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7D2FFB73-6048-496F-AE18-8B80AD7A5E79}" xr6:coauthVersionLast="36" xr6:coauthVersionMax="36" xr10:uidLastSave="{00000000-0000-0000-0000-000000000000}"/>
  <bookViews>
    <workbookView xWindow="-15" yWindow="13650" windowWidth="2424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M19" i="3" l="1"/>
  <c r="I12" i="11"/>
  <c r="I10" i="11"/>
  <c r="I8" i="11"/>
  <c r="F124" i="29" l="1"/>
  <c r="F5" i="29"/>
  <c r="E5" i="29"/>
  <c r="D5" i="29"/>
  <c r="C5" i="29"/>
  <c r="C4" i="3"/>
  <c r="E124" i="29" l="1"/>
  <c r="E182" i="29"/>
  <c r="F44" i="29"/>
  <c r="E44" i="29"/>
  <c r="D44" i="29"/>
  <c r="C44" i="29"/>
  <c r="C168" i="5" l="1"/>
  <c r="C107" i="5"/>
  <c r="C124" i="29"/>
  <c r="F182" i="29"/>
  <c r="D215" i="29"/>
  <c r="K4" i="3"/>
  <c r="G4" i="3"/>
  <c r="E4" i="3"/>
  <c r="L10" i="37"/>
  <c r="H10" i="37"/>
  <c r="F10" i="37"/>
  <c r="D10" i="37"/>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G39" i="181"/>
  <c r="E39" i="181"/>
  <c r="F39" i="181" s="1"/>
  <c r="G38" i="181"/>
  <c r="E38" i="181"/>
  <c r="F38" i="181" s="1"/>
  <c r="G37" i="181"/>
  <c r="E37" i="181"/>
  <c r="F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G26" i="181"/>
  <c r="E26" i="181"/>
  <c r="F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B7718" i="106" s="1"/>
  <c r="D7718" i="106" s="1"/>
  <c r="J21" i="12"/>
  <c r="B7727" i="106" s="1"/>
  <c r="D7727" i="106" s="1"/>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C221" i="5"/>
  <c r="B5304" i="106" s="1"/>
  <c r="D5304" i="106" s="1"/>
  <c r="C252" i="5"/>
  <c r="B7761" i="106"/>
  <c r="D7761" i="106" s="1"/>
  <c r="L127" i="29"/>
  <c r="L129" i="29" s="1"/>
  <c r="L139" i="29"/>
  <c r="L149" i="29"/>
  <c r="I7" i="145"/>
  <c r="I6" i="145"/>
  <c r="D78" i="36"/>
  <c r="K75" i="29"/>
  <c r="K130" i="29"/>
  <c r="B2805" i="106" s="1"/>
  <c r="D2805" i="106" s="1"/>
  <c r="K185" i="29"/>
  <c r="B2836" i="106" s="1"/>
  <c r="D2836" i="106"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K80" i="29"/>
  <c r="B2975" i="106" s="1"/>
  <c r="D2975" i="106" s="1"/>
  <c r="K81" i="29"/>
  <c r="K82" i="29"/>
  <c r="B2977" i="106" s="1"/>
  <c r="D2977" i="106" s="1"/>
  <c r="K83" i="29"/>
  <c r="K93" i="29"/>
  <c r="B6997" i="106" s="1"/>
  <c r="D6997" i="106" s="1"/>
  <c r="K94" i="29"/>
  <c r="K95" i="29"/>
  <c r="B7001" i="106" s="1"/>
  <c r="D7001" i="106" s="1"/>
  <c r="K96" i="29"/>
  <c r="K97" i="29"/>
  <c r="B7005" i="106" s="1"/>
  <c r="D7005" i="106" s="1"/>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B3009" i="106" s="1"/>
  <c r="D3009" i="106" s="1"/>
  <c r="K191" i="29"/>
  <c r="K192" i="29"/>
  <c r="B3011" i="106" s="1"/>
  <c r="D3011" i="106" s="1"/>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F69" i="34" s="1"/>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6" i="106"/>
  <c r="D2976"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10" i="106"/>
  <c r="D3010"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4" i="106"/>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H29" i="118" s="1"/>
  <c r="B4268" i="106"/>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5" i="106"/>
  <c r="D6285" i="106" s="1"/>
  <c r="B6287" i="106"/>
  <c r="D6287"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2" i="106"/>
  <c r="D7002" i="106" s="1"/>
  <c r="B7003" i="106"/>
  <c r="D7003" i="106" s="1"/>
  <c r="B7004" i="106"/>
  <c r="D7004" i="106" s="1"/>
  <c r="B7006" i="106"/>
  <c r="D7006" i="106" s="1"/>
  <c r="B7007" i="106"/>
  <c r="D7007" i="106" s="1"/>
  <c r="B7008" i="106"/>
  <c r="D7008" i="106" s="1"/>
  <c r="B7009" i="106"/>
  <c r="D7009" i="106" s="1"/>
  <c r="B7010" i="106"/>
  <c r="D7010" i="106" s="1"/>
  <c r="B7012" i="106"/>
  <c r="D7012"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D724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D26" i="108"/>
  <c r="E26" i="108"/>
  <c r="F26" i="108"/>
  <c r="G26" i="108"/>
  <c r="E27" i="108"/>
  <c r="F27" i="108"/>
  <c r="G27" i="108"/>
  <c r="F31" i="108"/>
  <c r="F36" i="108"/>
  <c r="F37" i="108"/>
  <c r="G28" i="108"/>
  <c r="E30" i="108"/>
  <c r="G30" i="108"/>
  <c r="D31" i="108"/>
  <c r="D36" i="108"/>
  <c r="D37" i="108"/>
  <c r="E31" i="108"/>
  <c r="G31" i="108"/>
  <c r="E33" i="108"/>
  <c r="G33" i="108"/>
  <c r="E34" i="108"/>
  <c r="G34" i="108"/>
  <c r="G35" i="108"/>
  <c r="E36" i="108"/>
  <c r="G36" i="108"/>
  <c r="E37" i="108"/>
  <c r="G37"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C38" i="34"/>
  <c r="D38" i="34"/>
  <c r="F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F49" i="34"/>
  <c r="C50" i="34"/>
  <c r="D50" i="34"/>
  <c r="F50" i="34"/>
  <c r="C51" i="34"/>
  <c r="D51" i="34"/>
  <c r="C52" i="34"/>
  <c r="F52" i="34"/>
  <c r="C53" i="34"/>
  <c r="D53" i="34"/>
  <c r="C56" i="34"/>
  <c r="C57" i="34"/>
  <c r="D57" i="34"/>
  <c r="C61" i="34"/>
  <c r="C62" i="34"/>
  <c r="C63" i="34"/>
  <c r="D63" i="34"/>
  <c r="C64" i="34"/>
  <c r="C67" i="34"/>
  <c r="D67" i="34"/>
  <c r="C68" i="34"/>
  <c r="D68" i="34"/>
  <c r="F68" i="34"/>
  <c r="C69" i="34"/>
  <c r="D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B2633" i="106"/>
  <c r="D2633" i="106" s="1"/>
  <c r="D7" i="118"/>
  <c r="D8" i="118"/>
  <c r="D9" i="118"/>
  <c r="H14" i="118"/>
  <c r="H19" i="118"/>
  <c r="H24" i="118"/>
  <c r="H33" i="118"/>
  <c r="L22" i="37"/>
  <c r="L5" i="11"/>
  <c r="B2056" i="106" s="1"/>
  <c r="D2056" i="106" s="1"/>
  <c r="D9" i="7"/>
  <c r="B1767" i="106" s="1"/>
  <c r="D1767" i="106" s="1"/>
  <c r="B5752" i="106"/>
  <c r="D5752" i="106" s="1"/>
  <c r="D17" i="7"/>
  <c r="B4104" i="106" s="1"/>
  <c r="D4104" i="106" s="1"/>
  <c r="B1308" i="106" l="1"/>
  <c r="D1308" i="106" s="1"/>
  <c r="E174" i="29"/>
  <c r="B1309" i="106" s="1"/>
  <c r="D1309" i="106" s="1"/>
  <c r="J22" i="37"/>
  <c r="L342" i="29"/>
  <c r="F72" i="34"/>
  <c r="F71" i="34"/>
  <c r="F64" i="34"/>
  <c r="F56" i="34"/>
  <c r="F37" i="34"/>
  <c r="F34" i="34"/>
  <c r="G39" i="108"/>
  <c r="E38" i="108"/>
  <c r="E35" i="108"/>
  <c r="B7235" i="106"/>
  <c r="D7235" i="106" s="1"/>
  <c r="B7047" i="106"/>
  <c r="D7047" i="106" s="1"/>
  <c r="H112" i="29"/>
  <c r="B7018" i="106" s="1"/>
  <c r="D7018" i="106" s="1"/>
  <c r="J41" i="3"/>
  <c r="D6103" i="106"/>
  <c r="K41" i="3"/>
  <c r="G210" i="29"/>
  <c r="B1274" i="106"/>
  <c r="D1274" i="106" s="1"/>
  <c r="G15" i="145"/>
  <c r="J23" i="12"/>
  <c r="D54" i="36"/>
  <c r="L15" i="11"/>
  <c r="B3459" i="106" s="1"/>
  <c r="D3459" i="106" s="1"/>
  <c r="F62" i="34"/>
  <c r="F14" i="4"/>
  <c r="B2597" i="106" s="1"/>
  <c r="D2597" i="106" s="1"/>
  <c r="L13" i="11"/>
  <c r="B2060" i="106" s="1"/>
  <c r="D2060" i="106" s="1"/>
  <c r="I24" i="12"/>
  <c r="B1996" i="106" s="1"/>
  <c r="D1996" i="106" s="1"/>
  <c r="I26" i="12"/>
  <c r="B7741" i="106" s="1"/>
  <c r="D7741" i="106" s="1"/>
  <c r="N22" i="3"/>
  <c r="B283" i="106" s="1"/>
  <c r="D283" i="106" s="1"/>
  <c r="D24" i="37"/>
  <c r="B4270" i="106" s="1"/>
  <c r="D4270" i="106" s="1"/>
  <c r="H28" i="118"/>
  <c r="K28" i="118" s="1"/>
  <c r="O27" i="118" s="1"/>
  <c r="O29" i="118" s="1"/>
  <c r="D22" i="37"/>
  <c r="F28" i="108"/>
  <c r="E28" i="108"/>
  <c r="C129" i="29"/>
  <c r="E29" i="108"/>
  <c r="K184" i="29"/>
  <c r="F13" i="4" s="1"/>
  <c r="B2596" i="106" s="1"/>
  <c r="D2596" i="106" s="1"/>
  <c r="G29" i="108"/>
  <c r="C342" i="29"/>
  <c r="B7216" i="106" s="1"/>
  <c r="D7216" i="106" s="1"/>
  <c r="F19" i="7"/>
  <c r="B1807" i="106" s="1"/>
  <c r="D1807" i="106" s="1"/>
  <c r="D31" i="36"/>
  <c r="D11" i="37"/>
  <c r="B3649" i="106"/>
  <c r="D3649" i="106" s="1"/>
  <c r="G367" i="29"/>
  <c r="B3650" i="106" s="1"/>
  <c r="D3650" i="106" s="1"/>
  <c r="D5" i="4"/>
  <c r="B3406" i="106" s="1"/>
  <c r="D3406" i="106" s="1"/>
  <c r="L312" i="29"/>
  <c r="I342" i="29"/>
  <c r="B7222" i="106" s="1"/>
  <c r="D7222" i="106" s="1"/>
  <c r="K350" i="29"/>
  <c r="F21" i="8"/>
  <c r="K24" i="12"/>
  <c r="B3621" i="106"/>
  <c r="D3621" i="106" s="1"/>
  <c r="C367" i="29"/>
  <c r="B3622" i="106" s="1"/>
  <c r="D3622" i="106" s="1"/>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D41" i="108"/>
  <c r="E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L114" i="29" s="1"/>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66"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B1365" i="106" l="1"/>
  <c r="D1365" i="106" s="1"/>
  <c r="F65" i="34"/>
  <c r="G6" i="4"/>
  <c r="B2604" i="106" s="1"/>
  <c r="D2604" i="106" s="1"/>
  <c r="B3568" i="106"/>
  <c r="D3568" i="106" s="1"/>
  <c r="D52" i="36"/>
  <c r="B1381" i="106"/>
  <c r="D1381" i="106" s="1"/>
  <c r="L16" i="11"/>
  <c r="B2061" i="106" s="1"/>
  <c r="D2061" i="106" s="1"/>
  <c r="C114" i="29"/>
  <c r="B757" i="106" s="1"/>
  <c r="D757" i="106" s="1"/>
  <c r="B1317" i="106"/>
  <c r="D1317" i="106" s="1"/>
  <c r="B5527" i="106"/>
  <c r="D5527" i="106" s="1"/>
  <c r="F174" i="34"/>
  <c r="K342" i="29"/>
  <c r="F13" i="34" s="1"/>
  <c r="D44"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224" i="106" l="1"/>
  <c r="D7224" i="106" s="1"/>
  <c r="F24" i="37"/>
  <c r="B1145" i="106"/>
  <c r="D1145" i="106" s="1"/>
  <c r="D268" i="5"/>
  <c r="B5508" i="106" s="1"/>
  <c r="D5508" i="106" s="1"/>
  <c r="E41" i="108"/>
  <c r="E44" i="108" s="1"/>
  <c r="E45" i="108" s="1"/>
  <c r="J17" i="4"/>
  <c r="J20" i="4"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2567" i="106"/>
  <c r="D2567" i="106" s="1"/>
  <c r="B6227" i="106" l="1"/>
  <c r="D6227" i="106" s="1"/>
  <c r="J19" i="4"/>
  <c r="B6229" i="106" s="1"/>
  <c r="D6229" i="106" s="1"/>
  <c r="F8" i="4"/>
  <c r="B2595" i="106" s="1"/>
  <c r="D2595" i="106" s="1"/>
  <c r="K17" i="4"/>
  <c r="K19" i="4" s="1"/>
  <c r="B4144" i="106" s="1"/>
  <c r="D4144"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K20" i="4" l="1"/>
  <c r="F10" i="4"/>
  <c r="B4125" i="106" s="1"/>
  <c r="D4125" i="106" s="1"/>
  <c r="D8" i="146"/>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B3239" i="106" s="1"/>
  <c r="D3239" i="106" s="1"/>
  <c r="D10" i="146"/>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D81" i="4"/>
  <c r="D82" i="4"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58" i="36"/>
  <c r="C11" i="146" l="1"/>
  <c r="B1644" i="106"/>
  <c r="D1644" i="106" s="1"/>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<sst xmlns="http://schemas.openxmlformats.org/spreadsheetml/2006/main" count="5076" uniqueCount="2094">
  <si>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</si>
  <si>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</si>
  <si>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</si>
  <si>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</si>
  <si>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</si>
  <si>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</si>
  <si>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</si>
  <si>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</si>
  <si>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</si>
  <si>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</si>
  <si>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</si>
  <si>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</si>
  <si>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</si>
  <si>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</si>
  <si>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</si>
  <si>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</si>
  <si>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</si>
  <si>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</si>
  <si>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</si>
  <si>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</si>
  <si>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</si>
  <si>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</si>
  <si>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</si>
  <si>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</si>
  <si>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</si>
  <si>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</si>
  <si>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</si>
  <si>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</si>
  <si>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</si>
  <si>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</si>
  <si>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</si>
  <si>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</si>
  <si>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</si>
  <si>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</si>
  <si>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</si>
  <si>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</si>
  <si>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</si>
  <si>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</si>
  <si>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</si>
  <si>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</si>
  <si>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</si>
  <si>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</si>
  <si>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</si>
  <si>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</si>
  <si>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</si>
  <si>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</si>
  <si>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</si>
  <si>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</si>
  <si>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</si>
  <si>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</si>
  <si>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</si>
  <si>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</si>
  <si>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</si>
  <si>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</si>
  <si>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</si>
  <si>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</si>
  <si>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</si>
  <si>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</si>
  <si>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</si>
  <si>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</si>
  <si>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</si>
  <si>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</si>
  <si>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</si>
  <si>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</si>
  <si>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</si>
  <si>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</si>
  <si>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</si>
  <si>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</si>
  <si>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</si>
  <si>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</si>
  <si>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</si>
  <si>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</si>
  <si>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</si>
  <si>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</si>
  <si>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</si>
  <si>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</si>
  <si>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</si>
  <si>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</si>
  <si>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</si>
  <si>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</si>
  <si>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</si>
  <si>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</si>
  <si>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</si>
  <si>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</si>
  <si>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</si>
  <si>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</si>
  <si>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</si>
  <si>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</si>
  <si>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</si>
  <si>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</si>
  <si>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</si>
  <si>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</si>
  <si>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</si>
  <si>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</si>
  <si>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</si>
  <si>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</si>
  <si>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</si>
  <si>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</si>
  <si>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</si>
  <si>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</si>
  <si>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</si>
  <si>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</si>
  <si>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</si>
  <si>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</si>
  <si>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</si>
  <si>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</si>
  <si>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</si>
  <si>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</si>
  <si>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</si>
  <si>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</si>
  <si>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</si>
  <si>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</si>
  <si>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</si>
  <si>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</si>
  <si>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</si>
  <si>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</si>
  <si>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</si>
  <si>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</si>
  <si>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</si>
  <si>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</si>
  <si>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</si>
  <si>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</si>
  <si>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</si>
  <si>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</si>
  <si>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</si>
  <si>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</si>
  <si>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</si>
  <si>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</si>
  <si>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</si>
  <si>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</si>
  <si>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</si>
  <si>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</si>
  <si>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</si>
  <si>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</si>
  <si>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</si>
  <si>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</si>
  <si>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</si>
  <si>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</si>
  <si>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</si>
  <si>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</si>
  <si>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</si>
  <si>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</si>
  <si>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</si>
  <si>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</si>
  <si>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</si>
  <si>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</si>
  <si>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</si>
  <si>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</si>
  <si>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</si>
  <si>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</si>
  <si>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</si>
  <si>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</si>
  <si>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</si>
  <si>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</si>
  <si>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</si>
  <si>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</si>
  <si>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</si>
  <si>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</si>
  <si>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</si>
  <si>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</si>
  <si>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</si>
  <si>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</si>
  <si>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</si>
  <si>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</si>
  <si>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</si>
  <si>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</si>
  <si>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</si>
  <si>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</si>
  <si>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</si>
  <si>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</si>
  <si>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</si>
  <si>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</si>
  <si>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</si>
  <si>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</si>
  <si>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</si>
  <si>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</si>
  <si>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</si>
  <si>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</si>
  <si>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</si>
  <si>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</si>
  <si>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</si>
  <si>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</si>
  <si>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</si>
  <si>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</si>
  <si>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</si>
  <si>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</si>
  <si>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</si>
  <si>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</si>
  <si>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</si>
  <si>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</si>
  <si>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</si>
  <si>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</si>
  <si>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</si>
  <si>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</si>
  <si>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</si>
  <si>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</si>
  <si>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</si>
  <si>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</si>
  <si>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</si>
  <si>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</si>
  <si>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</si>
  <si>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</si>
  <si>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</si>
  <si>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</si>
  <si>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</si>
  <si>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</si>
  <si>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</si>
  <si>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</si>
  <si>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</si>
  <si>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</si>
  <si>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</si>
  <si>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</si>
  <si>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</si>
  <si>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</si>
  <si>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</si>
  <si>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</si>
  <si>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</si>
  <si>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</si>
  <si>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</si>
  <si>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</si>
  <si>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</si>
  <si>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</si>
  <si>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</si>
  <si>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</si>
  <si>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</si>
  <si>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</si>
  <si>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</si>
  <si>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</si>
  <si>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</si>
  <si>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</si>
  <si>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</si>
  <si>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</si>
  <si>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</si>
  <si>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</si>
  <si>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</si>
  <si>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</si>
  <si>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</si>
  <si>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</si>
  <si>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</si>
  <si>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</si>
  <si>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</si>
  <si>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</si>
  <si>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</si>
  <si>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</si>
  <si>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</si>
  <si>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</si>
  <si>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</si>
  <si>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</si>
  <si>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</si>
  <si>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</si>
  <si>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</si>
  <si>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</si>
  <si>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</si>
  <si>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</si>
  <si>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</si>
  <si>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</si>
  <si>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</si>
  <si>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</si>
  <si>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</si>
  <si>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</si>
  <si>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</si>
  <si>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</si>
  <si>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</si>
  <si>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</si>
  <si>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</si>
  <si>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</si>
  <si>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</si>
  <si>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</si>
  <si>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</si>
  <si>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</si>
  <si>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</si>
  <si>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</si>
  <si>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</si>
  <si>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</si>
  <si>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</si>
  <si>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</si>
  <si>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</si>
  <si>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</si>
  <si>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</si>
  <si>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</si>
  <si>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</si>
  <si>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</si>
  <si>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</si>
  <si>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</si>
  <si>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</si>
  <si>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</si>
  <si>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</si>
  <si>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</si>
  <si>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</si>
  <si>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</si>
  <si>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</si>
  <si>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</si>
  <si>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</si>
  <si>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</si>
  <si>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</si>
  <si>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</si>
  <si>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</si>
  <si>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</si>
  <si>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</si>
  <si>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</si>
  <si>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</si>
  <si>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</si>
  <si>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</si>
  <si>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</si>
  <si>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</si>
  <si>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</si>
  <si>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</si>
  <si>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</si>
  <si>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</si>
  <si>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</si>
  <si>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</si>
  <si>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</si>
  <si>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</si>
  <si>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</si>
  <si>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</si>
  <si>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</si>
  <si>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</si>
  <si>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</si>
  <si>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</si>
  <si>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</si>
  <si>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</si>
  <si>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</si>
  <si>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</si>
  <si>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</si>
  <si>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</si>
  <si>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</si>
  <si>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</si>
  <si>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</si>
  <si>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</si>
  <si>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</si>
  <si>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</si>
  <si>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</si>
  <si>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</si>
  <si>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</si>
  <si>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</si>
  <si>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</si>
  <si>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</si>
  <si>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</si>
  <si>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</si>
  <si>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</si>
  <si>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</si>
  <si>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</si>
  <si>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</si>
  <si>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</si>
  <si>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</si>
  <si>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</si>
  <si>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</si>
  <si>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</si>
  <si>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</si>
  <si>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</si>
  <si>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</si>
  <si>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</si>
  <si>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</si>
  <si>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</si>
  <si>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</si>
  <si>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</si>
  <si>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</si>
  <si>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</si>
  <si>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</si>
  <si>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</si>
  <si>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</si>
  <si>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</si>
  <si>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</si>
  <si>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</si>
  <si>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</si>
  <si>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</si>
  <si>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</si>
  <si>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</si>
  <si>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</si>
  <si>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</si>
  <si>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</si>
  <si>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</si>
  <si>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</si>
  <si>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</si>
  <si>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</si>
  <si>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</si>
  <si>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</si>
  <si>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</si>
  <si>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</si>
  <si>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</si>
  <si>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</si>
  <si>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</si>
  <si>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</si>
  <si>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</si>
  <si>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</si>
  <si>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</si>
  <si>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</si>
  <si>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</si>
  <si>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</si>
  <si>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</si>
  <si>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</si>
  <si>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</si>
  <si>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</si>
  <si>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</si>
  <si>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</si>
  <si>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</si>
  <si>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</si>
  <si>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</si>
  <si>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</si>
  <si>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</si>
  <si>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</si>
  <si>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</si>
  <si>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</si>
  <si>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</si>
  <si>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</si>
  <si>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</si>
  <si>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</si>
  <si>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</si>
  <si>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</si>
  <si>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</si>
  <si>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</si>
  <si>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</si>
  <si>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</si>
  <si>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</si>
  <si>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</si>
  <si>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</si>
  <si>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</si>
  <si>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</si>
  <si>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</si>
  <si>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</si>
  <si>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</si>
  <si>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</si>
  <si>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</si>
  <si>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</si>
  <si>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</si>
  <si>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</si>
  <si>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</si>
  <si>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</si>
  <si>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</si>
  <si>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</si>
  <si>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</si>
  <si>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</si>
  <si>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</si>
  <si>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</si>
  <si>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</si>
  <si>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</si>
  <si>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</si>
  <si>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</si>
  <si>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</si>
  <si>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</si>
  <si>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</si>
  <si>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</si>
  <si>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</si>
  <si>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</si>
  <si>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</si>
  <si>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</si>
  <si>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</si>
  <si>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</si>
  <si>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</si>
  <si>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</si>
  <si>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</si>
  <si>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</si>
  <si>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</si>
  <si>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</si>
  <si>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</si>
  <si>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</si>
  <si>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</si>
  <si>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</si>
  <si>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</si>
  <si>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</si>
  <si>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</si>
  <si>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</si>
  <si>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</si>
  <si>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</si>
  <si>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</si>
  <si>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</si>
  <si>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</si>
  <si>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</si>
  <si>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</si>
  <si>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</si>
  <si>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</si>
  <si>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</si>
  <si>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</si>
  <si>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</si>
  <si>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</si>
  <si>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</si>
  <si>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</si>
  <si>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</si>
  <si>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</si>
  <si>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</si>
  <si>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</si>
  <si>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</si>
  <si>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</si>
  <si>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</si>
  <si>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</si>
  <si>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</si>
  <si>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</si>
  <si>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</si>
  <si>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</si>
  <si>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</si>
  <si>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</si>
  <si>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</si>
  <si>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</si>
  <si>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</si>
  <si>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</si>
  <si>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</si>
  <si>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</si>
  <si>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</si>
  <si>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</si>
  <si>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</si>
  <si>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</si>
  <si>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</si>
  <si>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</si>
  <si>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</si>
  <si>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</si>
  <si>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</si>
  <si>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</si>
  <si>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</si>
  <si>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</si>
  <si>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</si>
  <si>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</si>
  <si>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</si>
  <si>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</si>
  <si>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</si>
  <si>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</si>
  <si>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</si>
  <si>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</si>
  <si>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</si>
  <si>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</si>
  <si>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</si>
  <si>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</si>
  <si>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</si>
  <si>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</si>
  <si>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</si>
  <si>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</si>
  <si>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</si>
  <si>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</si>
  <si>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</si>
  <si>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</si>
  <si>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</si>
  <si>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</si>
  <si>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</si>
  <si>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</si>
  <si>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</si>
  <si>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</si>
  <si>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</si>
  <si>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</si>
  <si>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</si>
  <si>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</si>
  <si>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</si>
  <si>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</si>
  <si>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</si>
  <si>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</si>
  <si>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</si>
  <si>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</si>
  <si>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</si>
  <si>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</si>
  <si>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</si>
  <si>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</si>
  <si>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</si>
  <si>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</si>
  <si>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</si>
  <si>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</si>
  <si>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</si>
  <si>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</si>
  <si>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</si>
  <si>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</si>
  <si>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</si>
  <si>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</si>
  <si>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</si>
  <si>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</si>
  <si>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</si>
  <si>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</si>
  <si>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</si>
  <si>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</si>
  <si>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</si>
  <si>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</si>
  <si>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</si>
  <si>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</si>
  <si>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</si>
  <si>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</si>
  <si>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</si>
  <si>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</si>
  <si>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</si>
  <si>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</si>
  <si>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</si>
  <si>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</si>
  <si>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</si>
  <si>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</si>
  <si>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</si>
  <si>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</si>
  <si>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</si>
  <si>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</si>
  <si>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</si>
  <si>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</si>
  <si>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</si>
  <si>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</si>
  <si>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</si>
  <si>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</si>
  <si>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</si>
  <si>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</si>
  <si>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</si>
  <si>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</si>
  <si>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</si>
  <si>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</si>
  <si>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</si>
  <si>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</si>
  <si>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</si>
  <si>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</si>
  <si>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</si>
  <si>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</si>
  <si>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</si>
  <si>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</si>
  <si>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</si>
  <si>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</si>
  <si>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</si>
  <si>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</si>
  <si>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</si>
  <si>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</si>
  <si>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</si>
  <si>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</si>
  <si>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</si>
  <si>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</si>
  <si>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</si>
  <si>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</si>
  <si>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</si>
  <si>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</si>
  <si>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</si>
  <si>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</si>
  <si>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</si>
  <si>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</si>
  <si>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</si>
  <si>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</si>
  <si>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</si>
  <si>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</si>
  <si>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</si>
  <si>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</si>
  <si>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</si>
  <si>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</si>
  <si>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</si>
  <si>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</si>
  <si>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</si>
  <si>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</si>
  <si>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</si>
  <si>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</si>
  <si>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</si>
  <si>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</si>
  <si>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</si>
  <si>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</si>
  <si>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</si>
  <si>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</si>
  <si>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</si>
  <si>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</si>
  <si>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</si>
  <si>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</si>
  <si>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</si>
  <si>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</si>
  <si>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</si>
  <si>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</si>
  <si>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</si>
  <si>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</si>
  <si>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</si>
  <si>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</si>
  <si>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</si>
  <si>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</si>
  <si>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</si>
  <si>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</si>
  <si>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</si>
  <si>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</si>
  <si>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</si>
  <si>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</si>
  <si>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</si>
  <si>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</si>
  <si>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</si>
  <si>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</si>
  <si>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</si>
  <si>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</si>
  <si>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</si>
  <si>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</si>
  <si>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</si>
  <si>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</si>
  <si>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</si>
  <si>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</si>
  <si>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</si>
  <si>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</si>
  <si>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</si>
  <si>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</si>
  <si>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</si>
  <si>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</si>
  <si>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</si>
  <si>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</si>
  <si>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</si>
  <si>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</si>
  <si>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</si>
  <si>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</si>
  <si>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</si>
  <si>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</si>
  <si>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</si>
  <si>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</si>
  <si>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</si>
  <si>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</si>
  <si>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</si>
  <si>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</si>
  <si>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</si>
  <si>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</si>
  <si>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</si>
  <si>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</si>
  <si>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</si>
  <si>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</si>
  <si>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</si>
  <si>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</si>
  <si>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</si>
  <si>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</si>
  <si>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</si>
  <si>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</si>
  <si>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</si>
  <si>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</si>
  <si>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</si>
  <si>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</si>
  <si>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</si>
  <si>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</si>
  <si>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</si>
  <si>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</si>
  <si>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</si>
  <si>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</si>
  <si>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</si>
  <si>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</si>
  <si>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</si>
  <si>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</si>
  <si>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</si>
  <si>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</si>
  <si>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</si>
  <si>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</si>
  <si>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</si>
  <si>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</si>
  <si>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</si>
  <si>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</si>
  <si>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</si>
  <si>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</si>
  <si>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</si>
  <si>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</si>
  <si>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</si>
  <si>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</si>
  <si>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</si>
  <si>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</si>
  <si>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</si>
  <si>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</si>
  <si>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</si>
  <si>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</si>
  <si>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</si>
  <si>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</si>
  <si>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</si>
  <si>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</si>
  <si>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</si>
  <si>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</si>
  <si>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</si>
  <si>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</si>
  <si>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</si>
  <si>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</si>
  <si>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</si>
  <si>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</si>
  <si>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</si>
  <si>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</si>
  <si>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</si>
  <si>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</si>
  <si>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</si>
  <si>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</si>
  <si>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</si>
  <si>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</si>
  <si>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</si>
  <si>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</si>
  <si>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</si>
  <si>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</si>
  <si>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</si>
  <si>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</si>
  <si>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</si>
  <si>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</si>
  <si>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</si>
  <si>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</si>
  <si>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</si>
  <si>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</si>
  <si>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</si>
  <si>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</si>
  <si>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</si>
  <si>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</si>
  <si>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</si>
  <si>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</si>
  <si>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</si>
  <si>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</si>
  <si>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</si>
  <si>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</si>
  <si>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</si>
  <si>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</si>
  <si>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</si>
  <si>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</si>
  <si>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</si>
  <si>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</si>
  <si>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</si>
  <si>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</si>
  <si>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</si>
  <si>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</si>
  <si>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</si>
  <si>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</si>
  <si>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</si>
  <si>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</si>
  <si>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</si>
  <si>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</si>
  <si>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</si>
  <si>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</si>
  <si>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</si>
  <si>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</si>
  <si>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</si>
  <si>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</si>
  <si>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</si>
  <si>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</si>
  <si>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</si>
  <si>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</si>
  <si>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</si>
  <si>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</si>
  <si>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</si>
  <si>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</si>
  <si>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</si>
  <si>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</si>
  <si>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</si>
  <si>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</si>
  <si>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</si>
  <si>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</si>
  <si>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</si>
  <si>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</si>
  <si>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</si>
  <si>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</si>
  <si>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</si>
  <si>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</si>
  <si>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</si>
  <si>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</si>
  <si>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</si>
  <si>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</si>
  <si>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</si>
  <si>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</si>
  <si>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</si>
  <si>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</si>
  <si>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</si>
  <si>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</si>
  <si>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</si>
  <si>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</si>
  <si>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</si>
  <si>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</si>
  <si>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</si>
  <si>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</si>
  <si>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</si>
  <si>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</si>
  <si>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</si>
  <si>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</si>
  <si>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</si>
  <si>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</si>
  <si>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</si>
  <si>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</si>
  <si>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</si>
  <si>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</si>
  <si>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</si>
  <si>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</si>
  <si>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</si>
  <si>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</si>
  <si>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</si>
  <si>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</si>
  <si>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</si>
  <si>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</si>
  <si>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</si>
  <si>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</si>
  <si>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</si>
  <si>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</si>
  <si>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</si>
  <si>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</si>
  <si>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</si>
  <si>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</si>
  <si>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</si>
  <si>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</si>
  <si>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</si>
  <si>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</si>
  <si>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</si>
  <si>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</si>
  <si>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</si>
  <si>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</si>
  <si>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</si>
  <si>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</si>
  <si>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</si>
  <si>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</si>
  <si>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</si>
  <si>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</si>
  <si>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</si>
  <si>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</si>
  <si>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</si>
  <si>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</si>
  <si>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</si>
  <si>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</si>
  <si>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</si>
  <si>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</si>
  <si>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</si>
  <si>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</si>
  <si>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</si>
  <si>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</si>
  <si>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</si>
  <si>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</si>
  <si>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</si>
  <si>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</si>
  <si>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</si>
  <si>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</si>
  <si>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</si>
  <si>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</si>
  <si>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</si>
  <si>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</si>
  <si>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</si>
  <si>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</si>
  <si>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</si>
  <si>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</si>
  <si>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</si>
  <si>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</si>
  <si>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</si>
  <si>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</si>
  <si>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</si>
  <si>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</si>
  <si>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</si>
  <si>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</si>
  <si>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</si>
  <si>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</si>
  <si>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</si>
  <si>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</si>
  <si>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</si>
  <si>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</si>
  <si>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</si>
  <si>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</si>
  <si>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</si>
  <si>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</si>
  <si>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</si>
  <si>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</si>
  <si>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</si>
  <si>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</si>
  <si>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</si>
  <si>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</si>
  <si>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</si>
  <si>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</si>
  <si>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</si>
  <si>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</si>
  <si>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</si>
  <si>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</si>
  <si>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</si>
  <si>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</si>
  <si>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</si>
  <si>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</si>
  <si>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</si>
  <si>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</si>
  <si>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</si>
  <si>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</si>
  <si>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</si>
  <si>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</si>
  <si>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</si>
  <si>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</si>
  <si>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</si>
  <si>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</si>
  <si>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</si>
  <si>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</si>
  <si>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</si>
  <si>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</si>
  <si>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</si>
  <si>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</si>
  <si>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</si>
  <si>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</si>
  <si>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</si>
  <si>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</si>
  <si>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</si>
  <si>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</si>
  <si>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</si>
  <si>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</si>
  <si>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</si>
  <si>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</si>
  <si>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</si>
  <si>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</si>
  <si>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</si>
  <si>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</si>
  <si>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</si>
  <si>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</si>
  <si>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</si>
  <si>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</si>
  <si>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</si>
  <si>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</si>
  <si>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</si>
  <si>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</si>
  <si>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</si>
  <si>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</si>
  <si>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</si>
  <si>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</si>
  <si>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</si>
  <si>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</si>
  <si>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</si>
  <si>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</si>
  <si>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</si>
  <si>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</si>
  <si>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</si>
  <si>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</si>
  <si>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</si>
  <si>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</si>
  <si>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</si>
  <si>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</si>
  <si>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</si>
  <si>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</si>
  <si>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</si>
  <si>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</si>
  <si>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</si>
  <si>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</si>
  <si>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</si>
  <si>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</si>
  <si>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</si>
  <si>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</si>
  <si>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</si>
  <si>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</si>
  <si>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</si>
  <si>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</si>
  <si>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</si>
  <si>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</si>
  <si>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</si>
  <si>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</si>
  <si>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</si>
  <si>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</si>
  <si>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</si>
  <si>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</si>
  <si>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</si>
  <si>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</si>
  <si>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</si>
  <si>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</si>
  <si>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</si>
  <si>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</si>
  <si>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</si>
  <si>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</si>
  <si>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</si>
  <si>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</si>
  <si>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</si>
  <si>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</si>
  <si>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</si>
  <si>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</si>
  <si>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</si>
  <si>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</si>
  <si>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</si>
  <si>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</si>
  <si>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</si>
  <si>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</si>
  <si>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</si>
  <si>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</si>
  <si>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</si>
  <si>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</si>
  <si>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</si>
  <si>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</si>
  <si>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</si>
  <si>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</si>
  <si>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</si>
  <si>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</si>
  <si>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</si>
  <si>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</si>
  <si>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</si>
  <si>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</si>
  <si>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</si>
  <si>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</si>
  <si>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</si>
  <si>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</si>
  <si>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</si>
  <si>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</si>
  <si>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</si>
  <si>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</si>
  <si>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</si>
  <si>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</si>
  <si>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</si>
  <si>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</si>
  <si>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</si>
  <si>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</si>
  <si>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</si>
  <si>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</si>
  <si>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</si>
  <si>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</si>
  <si>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</si>
  <si>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</si>
  <si>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</si>
  <si>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</si>
  <si>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</si>
  <si>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</si>
  <si>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</si>
  <si>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</si>
  <si>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</si>
  <si>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</si>
  <si>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</si>
  <si>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</si>
  <si>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</si>
  <si>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</si>
  <si>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</si>
  <si>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</si>
  <si>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</si>
  <si>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</si>
  <si>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</si>
  <si>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</si>
  <si>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</si>
  <si>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</si>
  <si>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</si>
  <si>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</si>
  <si>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</si>
  <si>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</si>
  <si>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</si>
  <si>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</si>
  <si>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</si>
  <si>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</si>
  <si>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</si>
  <si>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</si>
  <si>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</si>
  <si>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</si>
  <si>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</si>
  <si>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</si>
  <si>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</si>
  <si>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</si>
  <si>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</si>
  <si>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</si>
  <si>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</si>
  <si>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</si>
  <si>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</si>
  <si>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</si>
  <si>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</si>
  <si>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</si>
  <si>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</si>
  <si>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</si>
  <si>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</si>
  <si>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</si>
  <si>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</si>
  <si>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</si>
  <si>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</si>
  <si>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</si>
  <si>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</si>
  <si>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</si>
  <si>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</si>
  <si>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</si>
  <si>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</si>
  <si>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</si>
  <si>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</si>
  <si>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</si>
  <si>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</si>
  <si>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</si>
  <si>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</si>
  <si>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</si>
  <si>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</si>
  <si>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</si>
  <si>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</si>
  <si>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</si>
  <si>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</si>
  <si>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</si>
  <si>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</si>
  <si>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</si>
  <si>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</si>
  <si>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</si>
  <si>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</si>
  <si>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</si>
  <si>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</si>
  <si>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</si>
  <si>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</si>
  <si>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</si>
  <si>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</si>
  <si>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</si>
  <si>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</si>
  <si>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</si>
  <si>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</si>
  <si>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</si>
  <si>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</si>
  <si>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</si>
  <si>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</si>
  <si>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</si>
  <si>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</si>
  <si>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</si>
  <si>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</si>
  <si>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</si>
  <si>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</si>
  <si>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</si>
  <si>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</si>
  <si>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</si>
  <si>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</si>
  <si>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</si>
  <si>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</si>
  <si>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</si>
  <si>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</si>
  <si>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</si>
  <si>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</si>
  <si>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</si>
  <si>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</si>
  <si>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</si>
  <si>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</si>
  <si>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</si>
  <si>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</si>
  <si>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</si>
  <si>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</si>
  <si>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</si>
  <si>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</si>
  <si>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</si>
  <si>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</si>
  <si>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</si>
  <si>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</si>
  <si>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</si>
  <si>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</si>
  <si>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</si>
  <si>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</si>
  <si>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</si>
  <si>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</si>
  <si>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</si>
  <si>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</si>
  <si>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</si>
  <si>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</si>
  <si>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</si>
  <si>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</si>
  <si>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</si>
  <si>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</si>
  <si>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</si>
  <si>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</si>
  <si>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</si>
  <si>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</si>
  <si>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</si>
  <si>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</si>
  <si>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</si>
  <si>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</si>
  <si>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</si>
  <si>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</si>
  <si>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</si>
  <si>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</si>
  <si>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</si>
  <si>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</si>
  <si>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</si>
  <si>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</si>
  <si>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</si>
  <si>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</si>
  <si>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</si>
  <si>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</si>
  <si>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</si>
  <si>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</si>
  <si>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</si>
  <si>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</si>
  <si>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</si>
  <si>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</si>
  <si>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</si>
  <si>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</si>
  <si>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</si>
  <si>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</si>
  <si>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</si>
  <si>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</si>
  <si>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</si>
  <si>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</si>
  <si>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</si>
  <si>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</si>
  <si>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</si>
  <si>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</si>
  <si>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</si>
  <si>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</si>
  <si>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</si>
  <si>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</si>
  <si>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</si>
  <si>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</si>
  <si>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</si>
  <si>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</si>
  <si>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</si>
  <si>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</si>
  <si>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</si>
  <si>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</si>
  <si>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</si>
  <si>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</si>
  <si>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</si>
  <si>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</si>
  <si>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</si>
  <si>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</si>
  <si>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</si>
  <si>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</si>
  <si>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</si>
  <si>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</si>
  <si>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</si>
  <si>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</si>
  <si>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</si>
  <si>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</si>
  <si>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</si>
  <si>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</si>
  <si>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</si>
  <si>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</si>
  <si>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</si>
  <si>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</si>
  <si>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</si>
  <si>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</si>
  <si>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</si>
  <si>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</si>
  <si>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</si>
  <si>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</si>
  <si>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</si>
  <si>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</si>
  <si>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</si>
  <si>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</si>
  <si>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</si>
  <si>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</si>
  <si>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</si>
  <si>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</si>
  <si>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</si>
  <si>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</si>
  <si>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</si>
  <si>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</si>
  <si>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</si>
  <si>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</si>
  <si>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</si>
  <si>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</si>
  <si>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</si>
  <si>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</si>
  <si>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</si>
  <si>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</si>
  <si>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</si>
  <si>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</si>
  <si>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</si>
  <si>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</si>
  <si>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</si>
  <si>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</si>
  <si>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</si>
  <si>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</si>
  <si>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</si>
  <si>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</si>
  <si>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</si>
  <si>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</si>
  <si>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</si>
  <si>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</si>
  <si>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</si>
  <si>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</si>
  <si>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</si>
  <si>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</si>
  <si>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</si>
  <si>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</si>
  <si>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</si>
  <si>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</si>
  <si>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</si>
  <si>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</si>
  <si>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</si>
  <si>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</si>
  <si>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</si>
  <si>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</si>
  <si>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</si>
  <si>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</si>
  <si>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</si>
  <si>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</si>
  <si>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</si>
  <si>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</si>
  <si>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</si>
  <si>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</si>
  <si>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</si>
  <si>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</si>
  <si>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</si>
  <si>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</si>
  <si>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</si>
  <si>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</si>
  <si>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</si>
  <si>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</si>
  <si>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</si>
  <si>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</si>
  <si>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</si>
  <si>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</si>
  <si>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</si>
  <si>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</si>
  <si>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</si>
  <si>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</si>
  <si>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</si>
  <si>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</si>
  <si>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</si>
  <si>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</si>
  <si>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</si>
  <si>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</si>
  <si>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</si>
  <si>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</si>
  <si>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</si>
  <si>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</si>
  <si>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</si>
  <si>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</si>
  <si>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</si>
  <si>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</si>
  <si>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</si>
  <si>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</si>
  <si>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</si>
  <si>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</si>
  <si>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</si>
  <si>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</si>
  <si>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</si>
  <si>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</si>
  <si>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</si>
  <si>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</si>
  <si>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</si>
  <si>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</si>
  <si>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</si>
  <si>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</si>
  <si>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</si>
  <si>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</si>
  <si>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</si>
  <si>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</si>
  <si>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</si>
  <si>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</si>
  <si>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</si>
  <si>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</si>
  <si>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</si>
  <si>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</si>
  <si>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</si>
  <si>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</si>
  <si>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</si>
  <si>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</si>
  <si>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</si>
  <si>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</si>
  <si>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</si>
  <si>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</si>
  <si>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</si>
  <si>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</si>
  <si>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</si>
  <si>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</si>
  <si>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</si>
  <si>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</si>
  <si>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</si>
  <si>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</si>
  <si>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</si>
  <si>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</si>
  <si>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</si>
  <si>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</si>
  <si>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</si>
  <si>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</si>
  <si>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</si>
  <si>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</si>
  <si>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</si>
  <si>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</si>
  <si>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</si>
  <si>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</si>
  <si>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</si>
  <si>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</si>
  <si>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</si>
  <si>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</si>
  <si>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</si>
  <si>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</si>
  <si>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</si>
  <si>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</si>
  <si>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</si>
  <si>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</si>
  <si>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</si>
  <si>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</si>
  <si>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</si>
  <si>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</si>
  <si>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</si>
  <si>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</si>
  <si>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</si>
  <si>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</si>
  <si>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</si>
  <si>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</si>
  <si>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</si>
  <si>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</si>
  <si>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</si>
  <si>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</si>
  <si>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</si>
  <si>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</si>
  <si>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</si>
  <si>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</si>
  <si>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</si>
  <si>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</si>
  <si>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</si>
  <si>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</si>
  <si>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</si>
  <si>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</si>
  <si>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</si>
  <si>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</si>
  <si>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</si>
  <si>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</si>
  <si>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</si>
  <si>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</si>
  <si>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</si>
  <si>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</si>
  <si>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</si>
  <si>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</si>
  <si>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</si>
  <si>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</si>
  <si>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</si>
  <si>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</si>
  <si>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</si>
  <si>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</si>
  <si>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</si>
  <si>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</si>
  <si>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</si>
  <si>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</si>
  <si>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</si>
  <si>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</si>
  <si>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</si>
  <si>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</si>
  <si>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</si>
  <si>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</si>
  <si>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</si>
  <si>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</si>
  <si>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</si>
  <si>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</si>
  <si>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</si>
  <si>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</si>
  <si>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</si>
  <si>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</si>
  <si>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</si>
  <si>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</si>
  <si>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</si>
  <si>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</si>
  <si>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</si>
  <si>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</si>
  <si>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</si>
  <si>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</si>
  <si>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</si>
  <si>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</si>
  <si>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</si>
  <si>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</si>
  <si>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</si>
  <si>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</si>
  <si>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</si>
  <si>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</si>
  <si>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</si>
  <si>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</si>
  <si>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</si>
  <si>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</si>
  <si>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</si>
  <si>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</si>
  <si>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</si>
  <si>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</si>
  <si>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</si>
  <si>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</si>
  <si>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</si>
  <si>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</si>
  <si>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</si>
  <si>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</si>
  <si>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</si>
  <si>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</si>
  <si>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</si>
  <si>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</si>
  <si>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</si>
  <si>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</si>
  <si>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</si>
  <si>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</si>
  <si>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</si>
  <si>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</si>
  <si>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</si>
  <si>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</si>
  <si>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</si>
  <si>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</si>
  <si>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</si>
  <si>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</si>
  <si>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</si>
  <si>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</si>
  <si>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</si>
  <si>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</si>
  <si>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</si>
  <si>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</si>
  <si>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</si>
  <si>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</si>
  <si>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</si>
  <si>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</si>
  <si>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</si>
  <si>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</si>
  <si>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</si>
  <si>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</si>
  <si>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</si>
  <si>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</si>
  <si>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</si>
  <si>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</si>
  <si>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</si>
  <si>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</si>
  <si>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</si>
  <si>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</si>
  <si>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</si>
  <si>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</si>
  <si>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</si>
  <si>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</si>
  <si>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</si>
  <si>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</si>
  <si>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</si>
  <si>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</si>
  <si>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</si>
  <si>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</si>
  <si>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</si>
  <si>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</si>
  <si>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</si>
  <si>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</si>
  <si>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</si>
  <si>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</si>
  <si>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</si>
  <si>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</si>
  <si>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</si>
  <si>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</si>
  <si>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</si>
  <si>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</si>
  <si>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</si>
  <si>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</si>
  <si>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</si>
  <si>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</si>
  <si>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</si>
  <si>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</si>
  <si>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</si>
  <si>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</si>
  <si>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</si>
  <si>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</si>
  <si>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</si>
  <si>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</si>
  <si>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</si>
  <si>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</si>
  <si>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</si>
  <si>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</si>
  <si>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</si>
  <si>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</si>
  <si>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</si>
  <si>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</si>
  <si>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</si>
  <si>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</si>
  <si>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</si>
  <si>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</si>
  <si>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</si>
  <si>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</si>
  <si>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</si>
  <si>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</si>
  <si>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</si>
  <si>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</si>
  <si>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</si>
  <si>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</si>
  <si>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</si>
  <si>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</si>
  <si>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</si>
  <si>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</si>
  <si>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</si>
  <si>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</si>
  <si>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</si>
  <si>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</si>
  <si>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</si>
  <si>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</si>
  <si>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</si>
  <si>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</si>
  <si>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</si>
  <si>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</si>
  <si>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</si>
  <si>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</si>
  <si>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</si>
  <si>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</si>
  <si>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</si>
  <si>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</si>
  <si>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</si>
  <si>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</si>
  <si>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</si>
  <si>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</si>
  <si>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</si>
  <si>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</si>
  <si>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</si>
  <si>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</si>
  <si>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</si>
  <si>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</si>
  <si>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</si>
  <si>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</si>
  <si>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</si>
  <si>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</si>
  <si>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</si>
  <si>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</si>
  <si>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</si>
  <si>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</si>
  <si>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</si>
  <si>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</si>
  <si>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</si>
  <si>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</si>
  <si>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</si>
  <si>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</si>
  <si>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</si>
  <si>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</si>
  <si>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</si>
  <si>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</si>
  <si>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</si>
  <si>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</si>
  <si>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</si>
  <si>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</si>
  <si>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</si>
  <si>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</si>
  <si>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</si>
  <si>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</si>
  <si>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</si>
  <si>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</si>
  <si>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</si>
  <si>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</si>
  <si>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</si>
  <si>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</si>
  <si>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</si>
  <si>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</si>
  <si>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</si>
  <si>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</si>
  <si>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</si>
  <si>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</si>
  <si>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</si>
  <si>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</si>
  <si>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</si>
  <si>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</si>
  <si>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</si>
  <si>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</si>
  <si>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</si>
  <si>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</si>
  <si>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</si>
  <si>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</si>
  <si>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</si>
  <si>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</si>
  <si>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</si>
  <si>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</si>
  <si>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</si>
  <si>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</si>
  <si>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</si>
  <si>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</si>
  <si>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</si>
  <si>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</si>
  <si>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</si>
  <si>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</si>
  <si>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</si>
  <si>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</si>
  <si>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</si>
  <si>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</si>
  <si>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</si>
  <si>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</si>
  <si>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</si>
  <si>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</si>
  <si>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</si>
  <si>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</si>
  <si>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</si>
  <si>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</si>
  <si>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</si>
  <si>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</si>
  <si>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</si>
  <si>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</si>
  <si>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</si>
  <si>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</si>
  <si>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</si>
  <si>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</si>
  <si>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</si>
  <si>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</si>
  <si>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</si>
  <si>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</si>
  <si>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</si>
  <si>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</si>
  <si>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</si>
  <si>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</si>
  <si>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</si>
  <si>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</si>
  <si>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</si>
  <si>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</si>
  <si>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</si>
  <si>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</si>
  <si>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</si>
  <si>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</si>
  <si>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</si>
  <si>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</si>
  <si>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</si>
  <si>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</si>
  <si>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</si>
  <si>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</si>
  <si>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</si>
  <si>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</si>
  <si>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</si>
  <si>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</si>
  <si>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</si>
  <si>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</si>
  <si>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</si>
  <si>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</si>
  <si>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</si>
  <si>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</si>
  <si>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</si>
  <si>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</si>
  <si>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</si>
  <si>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</si>
  <si>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</si>
  <si>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</si>
  <si>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</si>
  <si>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</si>
  <si>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</si>
  <si>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</si>
  <si>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</si>
  <si>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</si>
  <si>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</si>
  <si>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</si>
  <si>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</si>
  <si>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</si>
  <si>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</si>
  <si>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</si>
  <si>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</si>
  <si>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</si>
  <si>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</si>
  <si>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</si>
  <si>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</si>
  <si>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</si>
  <si>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</si>
  <si>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</si>
  <si>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</si>
  <si>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</si>
  <si>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</si>
  <si>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</si>
  <si>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</si>
  <si>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</si>
  <si>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</si>
  <si>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</si>
  <si>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</si>
  <si>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</si>
  <si>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</si>
  <si>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</si>
  <si>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</si>
  <si>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</si>
  <si>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</si>
  <si>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</si>
  <si>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</si>
  <si>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</si>
  <si>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</si>
  <si>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</si>
  <si>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</si>
  <si>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</si>
  <si>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</si>
  <si>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</si>
  <si>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</si>
  <si>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</si>
  <si>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</si>
  <si>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</si>
  <si>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</si>
  <si>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</si>
  <si>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</si>
  <si>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</si>
  <si>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</si>
  <si>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</si>
  <si>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</si>
  <si>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</si>
  <si>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</si>
  <si>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</si>
  <si>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</si>
  <si>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</si>
  <si>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</si>
  <si>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</si>
  <si>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</si>
  <si>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</si>
  <si>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</si>
  <si>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</si>
  <si>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</si>
  <si>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</si>
  <si>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</si>
  <si>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</si>
  <si>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</si>
  <si>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</si>
  <si>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</si>
  <si>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</si>
  <si>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</si>
  <si>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</si>
  <si>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</si>
  <si>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</si>
  <si>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</si>
  <si>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</si>
  <si>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</si>
  <si>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</si>
  <si>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</si>
  <si>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</si>
  <si>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</si>
  <si>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</si>
  <si>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</si>
  <si>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</si>
  <si>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</si>
  <si>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</si>
  <si>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</si>
  <si>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</si>
  <si>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</si>
  <si>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</si>
  <si>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</si>
  <si>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</si>
  <si>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</si>
  <si>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</si>
  <si>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</si>
  <si>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</si>
  <si>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</si>
  <si>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</si>
  <si>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</si>
  <si>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</si>
  <si>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</si>
  <si>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</si>
  <si>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</si>
  <si>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</si>
  <si>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</si>
  <si>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</si>
  <si>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</si>
  <si>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</si>
  <si>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</si>
  <si>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</si>
  <si>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</si>
  <si>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</si>
  <si>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</si>
  <si>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</si>
  <si>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</si>
  <si>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</si>
  <si>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</si>
  <si>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</si>
  <si>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</si>
  <si>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</si>
  <si>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</si>
  <si>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</si>
  <si>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</si>
  <si>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</si>
  <si>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</si>
  <si>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</si>
  <si>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</si>
  <si>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</si>
  <si>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</si>
  <si>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</si>
  <si>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</si>
  <si>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</si>
  <si>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</si>
  <si>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</si>
  <si>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</si>
  <si>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</si>
  <si>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</si>
  <si>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</si>
  <si>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</si>
  <si>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</si>
  <si>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</si>
  <si>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</si>
  <si>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</si>
  <si>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</si>
  <si>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</si>
  <si>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</si>
  <si>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</si>
  <si>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</si>
  <si>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</si>
  <si>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</si>
  <si>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</si>
  <si>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</si>
  <si>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</si>
  <si>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</si>
  <si>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</si>
  <si>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</si>
  <si>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</si>
  <si>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</si>
  <si>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</si>
  <si>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</si>
  <si>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</si>
  <si>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</si>
  <si>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</si>
  <si>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</si>
  <si>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</si>
  <si>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</si>
  <si>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</si>
  <si>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</si>
  <si>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</si>
  <si>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</si>
  <si>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</si>
  <si>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</si>
  <si>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</si>
  <si>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</si>
  <si>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</si>
  <si>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</si>
  <si>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</si>
  <si>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</si>
  <si>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</si>
  <si>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</si>
  <si>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</si>
  <si>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</si>
  <si>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</si>
  <si>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</si>
  <si>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</si>
  <si>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</si>
  <si>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</si>
  <si>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</si>
  <si>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</si>
  <si>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</si>
  <si>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</si>
  <si>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</si>
  <si>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</si>
  <si>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</si>
  <si>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</si>
  <si>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</si>
  <si>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</si>
  <si>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</si>
  <si>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</si>
  <si>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</si>
  <si>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</si>
  <si>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</si>
  <si>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</si>
  <si>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</si>
  <si>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</si>
  <si>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</si>
  <si>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</si>
  <si>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</si>
  <si>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</si>
  <si>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</si>
  <si>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</si>
  <si>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</si>
  <si>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</si>
  <si>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</si>
  <si>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</si>
  <si>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</si>
  <si>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</si>
  <si>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</si>
  <si>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</si>
  <si>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</si>
  <si>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</si>
  <si>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</si>
  <si>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</si>
  <si>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</si>
  <si>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</si>
  <si>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</si>
  <si>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</si>
  <si>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</si>
  <si>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</si>
  <si>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</si>
  <si>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</si>
  <si>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</si>
  <si>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</si>
  <si>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</si>
  <si>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</si>
  <si>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</si>
  <si>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</si>
  <si>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</si>
  <si>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</si>
  <si>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</si>
  <si>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</si>
  <si>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</si>
  <si>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</si>
  <si>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</si>
  <si>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</si>
  <si>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</si>
  <si>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</si>
  <si>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</si>
  <si>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</si>
  <si>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</si>
  <si>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</si>
  <si>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</si>
  <si>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</si>
  <si>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</si>
  <si>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</si>
  <si>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</si>
  <si>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</si>
  <si>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</si>
  <si>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</si>
  <si>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</si>
  <si>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</si>
  <si>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</si>
  <si>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</si>
  <si>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</si>
  <si>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</si>
  <si>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</si>
  <si>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</si>
  <si>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</si>
  <si>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</si>
  <si>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</si>
  <si>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</si>
  <si>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</si>
  <si>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</si>
  <si>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</si>
  <si>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</si>
  <si>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</si>
  <si>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</si>
  <si>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</si>
  <si>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</si>
  <si>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</si>
  <si>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</si>
  <si>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</si>
  <si>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</si>
  <si>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</si>
  <si>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</si>
  <si>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</si>
  <si>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</si>
  <si>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</si>
  <si>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</si>
  <si>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</si>
  <si>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</si>
  <si>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</si>
  <si>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</si>
  <si>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</si>
  <si>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</si>
  <si>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</si>
  <si>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</si>
  <si>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</si>
  <si>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</si>
  <si>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</si>
  <si>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</si>
  <si>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</si>
  <si>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</si>
  <si>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</si>
  <si>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</si>
  <si>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</si>
  <si>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</si>
  <si>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BEUSSINK HICKAM &amp; KOCHEL PC</t>
  </si>
  <si>
    <t>SCOTT A HICKAM CPA</t>
  </si>
  <si>
    <t>139 W VIENNA ST - PO BOX 556</t>
  </si>
  <si>
    <t>ANNA</t>
  </si>
  <si>
    <t>IL</t>
  </si>
  <si>
    <t>618-833-2721</t>
  </si>
  <si>
    <t>618-833-7077</t>
  </si>
  <si>
    <t>066-005023</t>
  </si>
  <si>
    <t>office@bhcpa1.com</t>
  </si>
  <si>
    <t>UNION</t>
  </si>
  <si>
    <t>3365 STATE HWY 3 NORTH</t>
  </si>
  <si>
    <t>WOLF LAKE</t>
  </si>
  <si>
    <t>SHELLY CLOVER-HILL</t>
  </si>
  <si>
    <t>sclover-hill@shawneedistrict84.com</t>
  </si>
  <si>
    <t>618-833-5709</t>
  </si>
  <si>
    <t>618-833-4171</t>
  </si>
  <si>
    <t>2016 WORKING CASH BONDS</t>
  </si>
  <si>
    <t>2018 WORKING CASH BONDS</t>
  </si>
  <si>
    <t>TRI COUNTY SPECIAL EDUCATION COOP</t>
  </si>
  <si>
    <t>SPEECH/DRIVERS ED-MURPHYSBORO 186-MASSAC CO</t>
  </si>
  <si>
    <t>FIVE COUNTY REGIONAL VOCATION COOP</t>
  </si>
  <si>
    <t>Fund 10, Account 3999: 3999HC $28,145, 3999PT $28,548</t>
  </si>
  <si>
    <t>Fund 10, Account 4999: REAP $ 20,882</t>
  </si>
  <si>
    <t>None</t>
  </si>
  <si>
    <t>00-0000-000</t>
  </si>
  <si>
    <t>ELVERADO 196-ANNA 37-ANNA 81</t>
  </si>
  <si>
    <t>See attached expanation of material decrease in EAV and the potential impact on the District in the Notes to the financial statements.</t>
  </si>
  <si>
    <t>Part B - 18:  The District has completed needed building upgrades over the last two years through the Operations and Maintenance Fund, if those expenditures were excluded, the District would not have shown a deficit in the operating funds for two consecutive years.</t>
  </si>
  <si>
    <t>Shawnee CUSD 84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</si>
</sst>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485">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5" xfId="12" applyNumberFormat="1" applyFont="1" applyBorder="1" applyAlignment="1" applyProtection="1">
      <alignment horizontal="right" vertical="center"/>
    </xf>
    <xf numFmtId="0" fontId="9" fillId="0" borderId="125" xfId="12" applyFont="1" applyBorder="1" applyAlignment="1" applyProtection="1">
      <alignment vertical="center"/>
    </xf>
    <xf numFmtId="0" fontId="12" fillId="0" borderId="128" xfId="12" applyFont="1" applyBorder="1" applyAlignment="1" applyProtection="1">
      <alignment vertical="center"/>
    </xf>
    <xf numFmtId="0" fontId="12" fillId="0" borderId="126" xfId="12" applyFont="1" applyBorder="1" applyAlignment="1" applyProtection="1">
      <alignment vertical="center"/>
    </xf>
    <xf numFmtId="1" fontId="8" fillId="0" borderId="0" xfId="0" applyNumberFormat="1" applyFont="1" applyAlignment="1">
      <alignment horizontal="center" vertical="center"/>
    </xf>
    <xf numFmtId="0" fontId="9" fillId="0" borderId="135"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9" borderId="101" xfId="0" applyFont="1" applyFill="1" applyBorder="1" applyAlignment="1">
      <alignment horizontal="center" vertical="center"/>
    </xf>
    <xf numFmtId="0" fontId="74" fillId="9" borderId="102" xfId="0" applyFont="1" applyFill="1" applyBorder="1" applyAlignment="1">
      <alignment horizontal="center" vertical="center"/>
    </xf>
    <xf numFmtId="0" fontId="52" fillId="17" borderId="121" xfId="0" applyFont="1" applyFill="1" applyBorder="1" applyAlignment="1" applyProtection="1">
      <alignment horizontal="left" vertical="center"/>
    </xf>
    <xf numFmtId="164" fontId="52" fillId="17" borderId="121" xfId="0" applyNumberFormat="1" applyFont="1" applyFill="1" applyBorder="1" applyAlignment="1" applyProtection="1">
      <alignment horizontal="center" vertical="center"/>
    </xf>
    <xf numFmtId="164" fontId="62" fillId="17" borderId="121" xfId="0" applyNumberFormat="1" applyFont="1" applyFill="1" applyBorder="1" applyAlignment="1" applyProtection="1">
      <alignment vertical="center"/>
    </xf>
    <xf numFmtId="0" fontId="75" fillId="10" borderId="122" xfId="0" applyFont="1" applyFill="1" applyBorder="1" applyAlignment="1">
      <alignment horizontal="left" vertical="center"/>
    </xf>
    <xf numFmtId="38" fontId="47" fillId="10" borderId="103" xfId="0" applyNumberFormat="1" applyFont="1" applyFill="1" applyBorder="1" applyAlignment="1">
      <alignment horizontal="right"/>
    </xf>
    <xf numFmtId="38" fontId="47" fillId="10" borderId="110" xfId="0" applyNumberFormat="1" applyFont="1" applyFill="1" applyBorder="1" applyAlignment="1">
      <alignment horizontal="right"/>
    </xf>
    <xf numFmtId="0" fontId="76" fillId="11" borderId="103" xfId="0" applyFont="1" applyFill="1" applyBorder="1" applyAlignment="1">
      <alignment vertical="center"/>
    </xf>
    <xf numFmtId="164" fontId="52" fillId="13" borderId="117"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55" fillId="13" borderId="103" xfId="0" applyFont="1" applyFill="1" applyBorder="1" applyAlignment="1" applyProtection="1">
      <alignment vertical="center"/>
    </xf>
    <xf numFmtId="38" fontId="47" fillId="11" borderId="120" xfId="0" applyNumberFormat="1" applyFont="1" applyFill="1" applyBorder="1" applyAlignment="1" applyProtection="1">
      <alignment horizontal="right"/>
      <protection locked="0"/>
    </xf>
    <xf numFmtId="38" fontId="47" fillId="11" borderId="103" xfId="0" applyNumberFormat="1" applyFont="1" applyFill="1" applyBorder="1" applyAlignment="1" applyProtection="1">
      <alignment horizontal="right"/>
      <protection locked="0"/>
    </xf>
    <xf numFmtId="38" fontId="47" fillId="11" borderId="110" xfId="0" applyNumberFormat="1" applyFont="1" applyFill="1" applyBorder="1" applyAlignment="1" applyProtection="1">
      <alignment horizontal="right"/>
      <protection locked="0"/>
    </xf>
    <xf numFmtId="0" fontId="52" fillId="17" borderId="110" xfId="0" applyFont="1" applyFill="1" applyBorder="1" applyAlignment="1" applyProtection="1">
      <alignment horizontal="center" vertical="center"/>
    </xf>
    <xf numFmtId="164" fontId="52" fillId="17" borderId="110" xfId="0" applyNumberFormat="1" applyFont="1" applyFill="1" applyBorder="1" applyAlignment="1" applyProtection="1">
      <alignment horizontal="center" vertical="center"/>
    </xf>
    <xf numFmtId="164" fontId="62" fillId="17" borderId="110" xfId="0" applyNumberFormat="1" applyFont="1" applyFill="1" applyBorder="1" applyAlignment="1" applyProtection="1">
      <alignment vertical="center"/>
    </xf>
    <xf numFmtId="0" fontId="75" fillId="10" borderId="103" xfId="0" applyFont="1" applyFill="1" applyBorder="1" applyAlignment="1">
      <alignment horizontal="left" vertical="center"/>
    </xf>
    <xf numFmtId="0" fontId="52" fillId="17" borderId="0" xfId="0" applyFont="1" applyFill="1" applyBorder="1" applyAlignment="1" applyProtection="1">
      <alignment horizontal="left" vertical="center"/>
    </xf>
    <xf numFmtId="164" fontId="52" fillId="17" borderId="0" xfId="0" applyNumberFormat="1" applyFont="1" applyFill="1" applyBorder="1" applyAlignment="1" applyProtection="1">
      <alignment horizontal="center" vertical="center"/>
    </xf>
    <xf numFmtId="164" fontId="62" fillId="17" borderId="0" xfId="0" applyNumberFormat="1" applyFont="1" applyFill="1" applyBorder="1" applyAlignment="1" applyProtection="1">
      <alignment vertical="center"/>
    </xf>
    <xf numFmtId="0" fontId="60" fillId="13" borderId="117" xfId="0" applyFont="1" applyFill="1" applyBorder="1" applyAlignment="1" applyProtection="1">
      <alignment horizontal="left" vertical="center"/>
    </xf>
    <xf numFmtId="164" fontId="52" fillId="13" borderId="110" xfId="0" applyNumberFormat="1" applyFont="1" applyFill="1" applyBorder="1" applyAlignment="1" applyProtection="1">
      <alignment horizontal="center" vertical="center"/>
    </xf>
    <xf numFmtId="164" fontId="60" fillId="13"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2" fillId="13" borderId="118" xfId="0" applyFont="1" applyFill="1" applyBorder="1" applyAlignment="1" applyProtection="1">
      <alignment horizontal="center" vertical="center"/>
    </xf>
    <xf numFmtId="164" fontId="52" fillId="13" borderId="119" xfId="0" applyNumberFormat="1" applyFont="1" applyFill="1" applyBorder="1" applyAlignment="1" applyProtection="1">
      <alignment horizontal="center" vertical="center"/>
    </xf>
    <xf numFmtId="164" fontId="62" fillId="13" borderId="119" xfId="0" applyNumberFormat="1" applyFont="1" applyFill="1" applyBorder="1" applyAlignment="1" applyProtection="1">
      <alignment vertical="center"/>
    </xf>
    <xf numFmtId="38" fontId="47" fillId="11" borderId="110" xfId="0" applyNumberFormat="1" applyFont="1" applyFill="1" applyBorder="1" applyAlignment="1">
      <alignment horizontal="right"/>
    </xf>
    <xf numFmtId="0" fontId="75" fillId="10" borderId="104" xfId="0" applyFont="1" applyFill="1" applyBorder="1" applyAlignment="1">
      <alignment horizontal="left" vertical="center"/>
    </xf>
    <xf numFmtId="38" fontId="47" fillId="10" borderId="104" xfId="0" applyNumberFormat="1" applyFont="1" applyFill="1" applyBorder="1" applyAlignment="1">
      <alignment horizontal="right"/>
    </xf>
    <xf numFmtId="38" fontId="47" fillId="10"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7" xfId="0" applyNumberFormat="1" applyFont="1" applyBorder="1" applyAlignment="1" applyProtection="1">
      <alignment horizontal="center" vertical="center"/>
    </xf>
    <xf numFmtId="38" fontId="53" fillId="0" borderId="127" xfId="0" applyNumberFormat="1" applyFont="1" applyBorder="1" applyAlignment="1" applyProtection="1">
      <alignment horizontal="right"/>
      <protection locked="0"/>
    </xf>
    <xf numFmtId="38" fontId="53" fillId="3" borderId="127"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3" xfId="0" applyNumberFormat="1" applyFont="1" applyFill="1" applyBorder="1" applyAlignment="1" applyProtection="1">
      <alignment horizontal="right"/>
      <protection locked="0"/>
    </xf>
    <xf numFmtId="38" fontId="53" fillId="0" borderId="111"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7"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7"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5"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7" xfId="0" applyFont="1" applyFill="1" applyBorder="1" applyAlignment="1">
      <alignment horizontal="center" vertical="center"/>
    </xf>
    <xf numFmtId="38" fontId="53" fillId="0" borderId="127"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5"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6" xfId="0" applyNumberFormat="1" applyFont="1" applyFill="1" applyBorder="1" applyAlignment="1">
      <alignment horizontal="center" vertical="center"/>
    </xf>
    <xf numFmtId="49" fontId="60" fillId="0" borderId="127"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7"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5"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19"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5"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5"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3" xfId="3" applyNumberFormat="1" applyFont="1" applyBorder="1" applyAlignment="1">
      <alignment horizontal="center" vertical="center"/>
    </xf>
    <xf numFmtId="0" fontId="55" fillId="0" borderId="133"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3"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2" xfId="0" applyFont="1" applyBorder="1"/>
    <xf numFmtId="0" fontId="53" fillId="0" borderId="13" xfId="0" applyFont="1" applyBorder="1"/>
    <xf numFmtId="0" fontId="53" fillId="0" borderId="125" xfId="0" applyFont="1" applyBorder="1" applyAlignment="1">
      <alignment horizontal="left" vertical="top"/>
    </xf>
    <xf numFmtId="164" fontId="111" fillId="0" borderId="128" xfId="0" applyNumberFormat="1" applyFont="1" applyBorder="1" applyAlignment="1">
      <alignment horizontal="right" vertical="top"/>
    </xf>
    <xf numFmtId="0" fontId="53" fillId="0" borderId="128" xfId="0" applyNumberFormat="1" applyFont="1" applyBorder="1" applyAlignment="1">
      <alignment horizontal="left" vertical="center" wrapText="1" indent="1"/>
    </xf>
    <xf numFmtId="0" fontId="83" fillId="0" borderId="127" xfId="0" applyFont="1" applyBorder="1" applyAlignment="1">
      <alignment horizontal="left" vertical="center" wrapText="1"/>
    </xf>
    <xf numFmtId="0" fontId="53" fillId="0" borderId="128" xfId="0" applyFont="1" applyBorder="1" applyAlignment="1">
      <alignment horizontal="left" vertical="top"/>
    </xf>
    <xf numFmtId="0" fontId="53" fillId="0" borderId="0" xfId="0" applyFont="1" applyBorder="1" applyAlignment="1">
      <alignment vertical="top"/>
    </xf>
    <xf numFmtId="0" fontId="113" fillId="0" borderId="128" xfId="0" applyNumberFormat="1" applyFont="1" applyBorder="1" applyAlignment="1">
      <alignment horizontal="left" vertical="center"/>
    </xf>
    <xf numFmtId="0" fontId="111" fillId="0" borderId="128" xfId="0" applyFont="1" applyBorder="1" applyAlignment="1">
      <alignment vertical="top"/>
    </xf>
    <xf numFmtId="0" fontId="111" fillId="0" borderId="128" xfId="0" applyFont="1" applyBorder="1" applyAlignment="1">
      <alignment horizontal="left" vertical="top"/>
    </xf>
    <xf numFmtId="0" fontId="53" fillId="0" borderId="125" xfId="0" applyFont="1" applyBorder="1" applyAlignment="1"/>
    <xf numFmtId="164" fontId="111" fillId="0" borderId="128" xfId="0" applyNumberFormat="1" applyFont="1" applyBorder="1" applyAlignment="1"/>
    <xf numFmtId="0" fontId="53" fillId="0" borderId="128" xfId="0" applyFont="1" applyBorder="1" applyAlignment="1"/>
    <xf numFmtId="0" fontId="60" fillId="0" borderId="126"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4"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5" xfId="0" applyFont="1" applyFill="1" applyBorder="1" applyAlignment="1"/>
    <xf numFmtId="0" fontId="52" fillId="0" borderId="128" xfId="0" applyFont="1" applyFill="1" applyBorder="1" applyAlignment="1">
      <alignment horizontal="left" vertical="top"/>
    </xf>
    <xf numFmtId="0" fontId="52" fillId="0" borderId="126"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6"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3" xfId="3" quotePrefix="1" applyNumberFormat="1" applyFont="1" applyBorder="1" applyAlignment="1" applyProtection="1">
      <alignment horizontal="left"/>
    </xf>
    <xf numFmtId="0" fontId="60" fillId="0" borderId="144" xfId="3" applyNumberFormat="1" applyFont="1" applyBorder="1" applyAlignment="1" applyProtection="1">
      <alignment horizontal="center"/>
    </xf>
    <xf numFmtId="0" fontId="60" fillId="0" borderId="144" xfId="3" applyNumberFormat="1" applyFont="1" applyBorder="1" applyProtection="1"/>
    <xf numFmtId="0" fontId="53" fillId="0" borderId="143" xfId="3" applyNumberFormat="1" applyFont="1" applyBorder="1" applyAlignment="1" applyProtection="1"/>
    <xf numFmtId="0" fontId="60" fillId="0" borderId="145" xfId="3" applyNumberFormat="1" applyFont="1" applyBorder="1" applyAlignment="1" applyProtection="1">
      <alignment horizontal="centerContinuous"/>
    </xf>
    <xf numFmtId="0" fontId="53" fillId="0" borderId="143" xfId="3" applyNumberFormat="1" applyFont="1" applyBorder="1" applyAlignment="1" applyProtection="1">
      <alignment horizontal="left"/>
    </xf>
    <xf numFmtId="0" fontId="60" fillId="0" borderId="145" xfId="3" applyNumberFormat="1" applyFont="1" applyBorder="1" applyProtection="1"/>
    <xf numFmtId="0" fontId="60" fillId="0" borderId="144"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3"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3" fillId="0" borderId="0" xfId="3" applyNumberFormat="1" applyFont="1" applyProtection="1"/>
    <xf numFmtId="0" fontId="60" fillId="0" borderId="0" xfId="3" quotePrefix="1" applyNumberFormat="1" applyFont="1" applyAlignment="1" applyProtection="1">
      <alignment horizontal="left"/>
    </xf>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7"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4"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8"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6" xfId="3" applyFont="1" applyBorder="1" applyProtection="1"/>
    <xf numFmtId="0" fontId="53" fillId="0" borderId="147" xfId="3" applyFont="1" applyBorder="1" applyProtection="1">
      <protection locked="0"/>
    </xf>
    <xf numFmtId="0" fontId="53" fillId="0" borderId="146"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5" xfId="3" applyNumberFormat="1" applyFont="1" applyBorder="1" applyAlignment="1" applyProtection="1">
      <alignment horizontal="center"/>
    </xf>
    <xf numFmtId="0" fontId="62" fillId="0" borderId="144" xfId="3" applyFont="1" applyBorder="1" applyAlignment="1" applyProtection="1">
      <alignment horizontal="centerContinuous"/>
    </xf>
    <xf numFmtId="0" fontId="62" fillId="0" borderId="145"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5"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0" borderId="72" xfId="3" applyFont="1" applyFill="1" applyBorder="1" applyAlignment="1" applyProtection="1">
      <alignment horizontal="center"/>
    </xf>
    <xf numFmtId="0" fontId="62" fillId="21"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0"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1"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0" borderId="0" xfId="3" applyFont="1" applyFill="1" applyProtection="1"/>
    <xf numFmtId="169" fontId="55" fillId="20" borderId="0" xfId="3" applyNumberFormat="1" applyFont="1" applyFill="1" applyProtection="1"/>
    <xf numFmtId="1" fontId="55" fillId="20" borderId="0" xfId="3" applyNumberFormat="1" applyFont="1" applyFill="1" applyProtection="1"/>
    <xf numFmtId="0" fontId="55" fillId="20"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4" xfId="3" applyFont="1" applyBorder="1" applyProtection="1"/>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4" xfId="3" quotePrefix="1" applyFont="1" applyBorder="1" applyAlignment="1" applyProtection="1">
      <alignment horizontal="left"/>
    </xf>
    <xf numFmtId="0" fontId="53" fillId="0" borderId="144" xfId="3" applyFont="1" applyBorder="1" applyProtection="1"/>
    <xf numFmtId="0" fontId="53" fillId="0" borderId="144"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4" xfId="3" applyFont="1" applyBorder="1" applyProtection="1"/>
    <xf numFmtId="0" fontId="55" fillId="0" borderId="0" xfId="3" applyFont="1" applyBorder="1" applyAlignment="1" applyProtection="1">
      <alignment horizontal="left"/>
    </xf>
    <xf numFmtId="0" fontId="62" fillId="0" borderId="144" xfId="3" applyFont="1" applyBorder="1" applyAlignment="1" applyProtection="1">
      <alignment horizontal="left"/>
    </xf>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4"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9"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70" fillId="0" borderId="151" xfId="3" applyFont="1" applyBorder="1" applyAlignment="1" applyProtection="1">
      <alignment horizontal="left"/>
    </xf>
    <xf numFmtId="0" fontId="55" fillId="0" borderId="151" xfId="3" applyFont="1" applyBorder="1" applyProtection="1"/>
    <xf numFmtId="0" fontId="55" fillId="0" borderId="151"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8"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9"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7" xfId="0" applyNumberFormat="1" applyFont="1" applyBorder="1" applyAlignment="1">
      <alignment horizontal="left" vertical="center" wrapText="1" indent="1"/>
    </xf>
    <xf numFmtId="3" fontId="60" fillId="0" borderId="125"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7"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7" xfId="0" applyNumberFormat="1" applyFont="1" applyFill="1" applyBorder="1" applyAlignment="1" applyProtection="1">
      <alignment horizontal="right" vertical="center"/>
      <protection locked="0"/>
    </xf>
    <xf numFmtId="38" fontId="52" fillId="6" borderId="155" xfId="0" applyNumberFormat="1" applyFont="1" applyFill="1" applyBorder="1" applyAlignment="1">
      <alignment horizontal="center" vertical="center" wrapText="1"/>
    </xf>
    <xf numFmtId="38" fontId="52" fillId="6" borderId="155" xfId="0" applyNumberFormat="1" applyFont="1" applyFill="1" applyBorder="1" applyAlignment="1">
      <alignment horizontal="center" vertical="top" wrapText="1"/>
    </xf>
    <xf numFmtId="38" fontId="62" fillId="6" borderId="155"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0" xfId="17" applyFont="1" applyBorder="1" applyAlignment="1">
      <alignment horizontal="left" vertical="top"/>
    </xf>
    <xf numFmtId="0" fontId="124" fillId="0" borderId="141" xfId="17" applyFont="1" applyBorder="1" applyAlignment="1">
      <alignment horizontal="center" vertical="top"/>
    </xf>
    <xf numFmtId="0" fontId="124" fillId="0" borderId="142"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2" borderId="157" xfId="17" applyNumberFormat="1" applyFill="1" applyBorder="1" applyAlignment="1">
      <alignment horizontal="right" vertical="top"/>
    </xf>
    <xf numFmtId="38" fontId="5" fillId="22" borderId="158"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3" borderId="156" xfId="17" applyFont="1" applyFill="1" applyBorder="1" applyAlignment="1">
      <alignment horizontal="center" vertical="center" wrapText="1"/>
    </xf>
    <xf numFmtId="38" fontId="123" fillId="23" borderId="156" xfId="17" applyNumberFormat="1" applyFont="1" applyFill="1" applyBorder="1" applyAlignment="1">
      <alignment horizontal="center" vertical="center" wrapText="1"/>
    </xf>
    <xf numFmtId="3" fontId="53" fillId="23" borderId="131" xfId="0" applyNumberFormat="1" applyFont="1" applyFill="1" applyBorder="1" applyAlignment="1">
      <alignment horizontal="center"/>
    </xf>
    <xf numFmtId="3" fontId="53" fillId="23" borderId="131" xfId="0" applyNumberFormat="1" applyFont="1" applyFill="1" applyBorder="1" applyAlignment="1">
      <alignment horizontal="right"/>
    </xf>
    <xf numFmtId="3" fontId="53" fillId="23" borderId="132"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5"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7" borderId="14" xfId="0" applyFont="1" applyFill="1" applyBorder="1" applyAlignment="1" applyProtection="1">
      <alignment horizontal="left" vertical="center"/>
    </xf>
    <xf numFmtId="0" fontId="62" fillId="17" borderId="2" xfId="0" applyFont="1" applyFill="1" applyBorder="1" applyAlignment="1" applyProtection="1">
      <alignment horizontal="center" vertical="top"/>
    </xf>
    <xf numFmtId="0" fontId="62" fillId="17"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7" borderId="20" xfId="0" applyNumberFormat="1" applyFont="1" applyFill="1" applyBorder="1" applyAlignment="1" applyProtection="1">
      <alignment horizontal="left" vertical="center"/>
    </xf>
    <xf numFmtId="0" fontId="62" fillId="17" borderId="2" xfId="0" applyFont="1" applyFill="1" applyBorder="1" applyAlignment="1">
      <alignment horizontal="center" vertical="center"/>
    </xf>
    <xf numFmtId="164" fontId="62" fillId="17" borderId="20" xfId="0" applyNumberFormat="1" applyFont="1" applyFill="1" applyBorder="1" applyAlignment="1" applyProtection="1">
      <alignment horizontal="left" vertical="center"/>
    </xf>
    <xf numFmtId="0" fontId="62" fillId="17" borderId="29" xfId="0" applyFont="1" applyFill="1" applyBorder="1" applyAlignment="1" applyProtection="1">
      <alignment horizontal="center" vertical="center"/>
    </xf>
    <xf numFmtId="0" fontId="62" fillId="17" borderId="127" xfId="0" applyFont="1" applyFill="1" applyBorder="1" applyAlignment="1" applyProtection="1">
      <alignment horizontal="center" vertical="center"/>
    </xf>
    <xf numFmtId="164" fontId="62" fillId="17" borderId="21" xfId="0" applyNumberFormat="1" applyFont="1" applyFill="1" applyBorder="1" applyAlignment="1" applyProtection="1">
      <alignment horizontal="left" vertical="center"/>
    </xf>
    <xf numFmtId="0" fontId="62" fillId="17" borderId="14" xfId="0" applyFont="1" applyFill="1" applyBorder="1" applyAlignment="1" applyProtection="1">
      <alignment horizontal="center" vertical="center"/>
    </xf>
    <xf numFmtId="0" fontId="62" fillId="17" borderId="31" xfId="0" applyFont="1" applyFill="1" applyBorder="1" applyAlignment="1" applyProtection="1">
      <alignment horizontal="center" vertical="center"/>
    </xf>
    <xf numFmtId="164" fontId="62" fillId="15" borderId="21" xfId="0" applyNumberFormat="1" applyFont="1" applyFill="1" applyBorder="1" applyAlignment="1" applyProtection="1">
      <alignment horizontal="left" vertical="center" indent="1"/>
    </xf>
    <xf numFmtId="0" fontId="60" fillId="15" borderId="14" xfId="0" applyFont="1" applyFill="1" applyBorder="1" applyAlignment="1" applyProtection="1">
      <alignment horizontal="center" vertical="center"/>
    </xf>
    <xf numFmtId="164" fontId="62" fillId="15" borderId="20" xfId="0" applyNumberFormat="1" applyFont="1" applyFill="1" applyBorder="1" applyAlignment="1" applyProtection="1">
      <alignment horizontal="left" vertical="center" indent="1"/>
    </xf>
    <xf numFmtId="1" fontId="60" fillId="15" borderId="11" xfId="0" applyNumberFormat="1" applyFont="1" applyFill="1" applyBorder="1" applyAlignment="1" applyProtection="1">
      <alignment horizontal="center" vertical="center"/>
    </xf>
    <xf numFmtId="1" fontId="60" fillId="15" borderId="4" xfId="0" applyNumberFormat="1" applyFont="1" applyFill="1" applyBorder="1" applyAlignment="1" applyProtection="1">
      <alignment horizontal="center" vertical="center"/>
    </xf>
    <xf numFmtId="0" fontId="62" fillId="15" borderId="21" xfId="0" applyFont="1" applyFill="1" applyBorder="1" applyAlignment="1">
      <alignment horizontal="left" vertical="center" indent="1"/>
    </xf>
    <xf numFmtId="0" fontId="60" fillId="15" borderId="14" xfId="0" applyFont="1" applyFill="1" applyBorder="1" applyAlignment="1">
      <alignment horizontal="left" vertical="center"/>
    </xf>
    <xf numFmtId="0" fontId="60" fillId="15" borderId="11" xfId="0" applyFont="1" applyFill="1" applyBorder="1" applyAlignment="1" applyProtection="1">
      <alignment horizontal="center" vertical="center"/>
    </xf>
    <xf numFmtId="3" fontId="62" fillId="17" borderId="125" xfId="0" applyNumberFormat="1" applyFont="1" applyFill="1" applyBorder="1" applyAlignment="1">
      <alignment horizontal="left" vertical="center" wrapText="1"/>
    </xf>
    <xf numFmtId="49" fontId="62" fillId="17" borderId="127" xfId="0" applyNumberFormat="1" applyFont="1" applyFill="1" applyBorder="1" applyAlignment="1">
      <alignment horizontal="center" vertical="center"/>
    </xf>
    <xf numFmtId="0" fontId="62" fillId="17" borderId="17" xfId="0" applyFont="1" applyFill="1" applyBorder="1" applyAlignment="1">
      <alignment horizontal="left" vertical="center" wrapText="1"/>
    </xf>
    <xf numFmtId="49" fontId="62" fillId="17" borderId="29" xfId="0" applyNumberFormat="1" applyFont="1" applyFill="1" applyBorder="1" applyAlignment="1">
      <alignment horizontal="center" vertical="center"/>
    </xf>
    <xf numFmtId="3" fontId="62" fillId="17" borderId="33" xfId="0" applyNumberFormat="1" applyFont="1" applyFill="1" applyBorder="1" applyAlignment="1">
      <alignment horizontal="left" vertical="center" wrapText="1"/>
    </xf>
    <xf numFmtId="49" fontId="62" fillId="17" borderId="33" xfId="0" applyNumberFormat="1" applyFont="1" applyFill="1" applyBorder="1" applyAlignment="1">
      <alignment horizontal="center" vertical="center"/>
    </xf>
    <xf numFmtId="164" fontId="62" fillId="17" borderId="125" xfId="0" applyNumberFormat="1" applyFont="1" applyFill="1" applyBorder="1" applyAlignment="1">
      <alignment horizontal="left" vertical="center" wrapText="1"/>
    </xf>
    <xf numFmtId="49" fontId="62" fillId="17" borderId="4" xfId="0" applyNumberFormat="1" applyFont="1" applyFill="1" applyBorder="1" applyAlignment="1">
      <alignment horizontal="center" vertical="center"/>
    </xf>
    <xf numFmtId="3" fontId="62" fillId="17" borderId="13" xfId="0" applyNumberFormat="1" applyFont="1" applyFill="1" applyBorder="1" applyAlignment="1">
      <alignment horizontal="left" vertical="center" wrapText="1"/>
    </xf>
    <xf numFmtId="49" fontId="62" fillId="17" borderId="2" xfId="0" applyNumberFormat="1" applyFont="1" applyFill="1" applyBorder="1" applyAlignment="1">
      <alignment horizontal="center" vertical="center"/>
    </xf>
    <xf numFmtId="164" fontId="62" fillId="17" borderId="17" xfId="0" applyNumberFormat="1" applyFont="1" applyFill="1" applyBorder="1" applyAlignment="1">
      <alignment horizontal="left" vertical="center" wrapText="1"/>
    </xf>
    <xf numFmtId="0" fontId="62" fillId="17" borderId="36" xfId="0" applyFont="1" applyFill="1" applyBorder="1" applyAlignment="1">
      <alignment horizontal="left" vertical="center" wrapText="1"/>
    </xf>
    <xf numFmtId="49" fontId="62" fillId="17" borderId="27" xfId="0" applyNumberFormat="1" applyFont="1" applyFill="1" applyBorder="1" applyAlignment="1">
      <alignment horizontal="center" vertical="center"/>
    </xf>
    <xf numFmtId="3" fontId="62" fillId="17" borderId="37" xfId="0" applyNumberFormat="1" applyFont="1" applyFill="1" applyBorder="1" applyAlignment="1">
      <alignment horizontal="left" vertical="center" wrapText="1"/>
    </xf>
    <xf numFmtId="0" fontId="62" fillId="17" borderId="13" xfId="0" applyFont="1" applyFill="1" applyBorder="1" applyAlignment="1">
      <alignment horizontal="left" vertical="center" wrapText="1"/>
    </xf>
    <xf numFmtId="49" fontId="62" fillId="17" borderId="14" xfId="0" applyNumberFormat="1" applyFont="1" applyFill="1" applyBorder="1" applyAlignment="1">
      <alignment horizontal="center" vertical="center"/>
    </xf>
    <xf numFmtId="0" fontId="62" fillId="17" borderId="37" xfId="0" applyFont="1" applyFill="1" applyBorder="1" applyAlignment="1">
      <alignment horizontal="left" vertical="center" wrapText="1"/>
    </xf>
    <xf numFmtId="164" fontId="62" fillId="17" borderId="13" xfId="0" applyNumberFormat="1" applyFont="1" applyFill="1" applyBorder="1" applyAlignment="1">
      <alignment horizontal="left" vertical="center" wrapText="1"/>
    </xf>
    <xf numFmtId="0" fontId="62" fillId="17" borderId="127" xfId="0" applyFont="1" applyFill="1" applyBorder="1" applyAlignment="1">
      <alignment horizontal="left" vertical="center" wrapText="1"/>
    </xf>
    <xf numFmtId="3" fontId="62" fillId="17" borderId="127"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7" borderId="50" xfId="0" applyFont="1" applyFill="1" applyBorder="1" applyAlignment="1" applyProtection="1">
      <alignment horizontal="left" vertical="center"/>
    </xf>
    <xf numFmtId="0" fontId="62" fillId="17" borderId="22" xfId="0" applyFont="1" applyFill="1" applyBorder="1" applyAlignment="1" applyProtection="1">
      <alignment horizontal="center" vertical="center"/>
    </xf>
    <xf numFmtId="0" fontId="62" fillId="17" borderId="46" xfId="0" applyFont="1" applyFill="1" applyBorder="1" applyAlignment="1" applyProtection="1">
      <alignment horizontal="left" vertical="center"/>
    </xf>
    <xf numFmtId="0" fontId="62" fillId="17" borderId="46" xfId="0" applyFont="1" applyFill="1" applyBorder="1" applyAlignment="1" applyProtection="1">
      <alignment horizontal="left" vertical="center" wrapText="1"/>
    </xf>
    <xf numFmtId="0" fontId="62" fillId="17"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5" borderId="12" xfId="0" applyFont="1" applyFill="1" applyBorder="1" applyAlignment="1" applyProtection="1">
      <alignment vertical="center"/>
    </xf>
    <xf numFmtId="0" fontId="62" fillId="0" borderId="159" xfId="0" applyFont="1" applyBorder="1" applyAlignment="1">
      <alignment horizontal="centerContinuous" vertical="center"/>
    </xf>
    <xf numFmtId="0" fontId="53" fillId="0" borderId="160" xfId="0" applyFont="1" applyBorder="1" applyAlignment="1">
      <alignment horizontal="centerContinuous" vertical="center"/>
    </xf>
    <xf numFmtId="0" fontId="55" fillId="0" borderId="160" xfId="0" applyFont="1" applyBorder="1" applyAlignment="1">
      <alignment horizontal="centerContinuous" vertical="center"/>
    </xf>
    <xf numFmtId="0" fontId="62" fillId="0" borderId="105"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5" fillId="20" borderId="157" xfId="17" applyFont="1" applyFill="1" applyBorder="1" applyAlignment="1" applyProtection="1">
      <alignment horizontal="left" vertical="top" wrapText="1"/>
    </xf>
    <xf numFmtId="49" fontId="125" fillId="20" borderId="157" xfId="17" applyNumberFormat="1" applyFont="1" applyFill="1" applyBorder="1" applyAlignment="1" applyProtection="1">
      <alignment horizontal="center" vertical="top"/>
    </xf>
    <xf numFmtId="0" fontId="125" fillId="20" borderId="157" xfId="17" applyFont="1" applyFill="1" applyBorder="1" applyAlignment="1" applyProtection="1">
      <alignment vertical="top"/>
    </xf>
    <xf numFmtId="38" fontId="125" fillId="20" borderId="157" xfId="17" applyNumberFormat="1" applyFont="1" applyFill="1" applyBorder="1" applyAlignment="1" applyProtection="1">
      <alignment horizontal="right" vertical="top"/>
    </xf>
    <xf numFmtId="38" fontId="125" fillId="20" borderId="157" xfId="17" applyNumberFormat="1" applyFont="1" applyFill="1" applyBorder="1" applyAlignment="1" applyProtection="1">
      <alignment vertical="top"/>
    </xf>
    <xf numFmtId="0" fontId="5" fillId="0" borderId="157" xfId="17" applyBorder="1" applyAlignment="1" applyProtection="1">
      <alignment horizontal="left" vertical="top" wrapText="1"/>
      <protection locked="0"/>
    </xf>
    <xf numFmtId="0" fontId="5" fillId="0" borderId="157" xfId="17" applyBorder="1" applyAlignment="1" applyProtection="1">
      <alignment vertical="top"/>
      <protection locked="0"/>
    </xf>
    <xf numFmtId="0" fontId="4" fillId="0" borderId="157" xfId="17" applyFont="1" applyBorder="1" applyAlignment="1" applyProtection="1">
      <alignment horizontal="left" vertical="top" wrapText="1"/>
      <protection locked="0"/>
    </xf>
    <xf numFmtId="0" fontId="4" fillId="0" borderId="157"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7" xfId="17" applyNumberFormat="1" applyBorder="1" applyAlignment="1" applyProtection="1">
      <alignment horizontal="center" vertical="center"/>
      <protection locked="0"/>
    </xf>
    <xf numFmtId="49" fontId="3" fillId="0" borderId="157" xfId="17" applyNumberFormat="1" applyFont="1" applyBorder="1" applyAlignment="1" applyProtection="1">
      <alignment horizontal="center" vertical="center"/>
      <protection locked="0"/>
    </xf>
    <xf numFmtId="3" fontId="62" fillId="16" borderId="36" xfId="0" applyNumberFormat="1" applyFont="1" applyFill="1" applyBorder="1" applyAlignment="1">
      <alignment horizontal="left" vertical="center" wrapText="1" indent="1"/>
    </xf>
    <xf numFmtId="49" fontId="62" fillId="16" borderId="27" xfId="0" applyNumberFormat="1" applyFont="1" applyFill="1" applyBorder="1" applyAlignment="1">
      <alignment horizontal="center" vertical="center"/>
    </xf>
    <xf numFmtId="38" fontId="53" fillId="16" borderId="27" xfId="0" applyNumberFormat="1" applyFont="1" applyFill="1" applyBorder="1" applyAlignment="1">
      <alignment horizontal="right"/>
    </xf>
    <xf numFmtId="38" fontId="53" fillId="16" borderId="2" xfId="0" applyNumberFormat="1" applyFont="1" applyFill="1" applyBorder="1" applyAlignment="1">
      <alignment horizontal="right"/>
    </xf>
    <xf numFmtId="38" fontId="53" fillId="16" borderId="4" xfId="0" applyNumberFormat="1" applyFont="1" applyFill="1" applyBorder="1" applyAlignment="1">
      <alignment horizontal="right"/>
    </xf>
    <xf numFmtId="49" fontId="62" fillId="16" borderId="36" xfId="0" applyNumberFormat="1" applyFont="1" applyFill="1" applyBorder="1" applyAlignment="1">
      <alignment horizontal="center" vertical="center"/>
    </xf>
    <xf numFmtId="38" fontId="53" fillId="16" borderId="30" xfId="0" applyNumberFormat="1" applyFont="1" applyFill="1" applyBorder="1" applyAlignment="1">
      <alignment horizontal="right"/>
    </xf>
    <xf numFmtId="49" fontId="62" fillId="16" borderId="30" xfId="0" applyNumberFormat="1" applyFont="1" applyFill="1" applyBorder="1" applyAlignment="1">
      <alignment horizontal="center" vertical="center"/>
    </xf>
    <xf numFmtId="0" fontId="62" fillId="16" borderId="32" xfId="0" applyNumberFormat="1" applyFont="1" applyFill="1" applyBorder="1" applyAlignment="1">
      <alignment horizontal="center" vertical="center"/>
    </xf>
    <xf numFmtId="38" fontId="53" fillId="16" borderId="32" xfId="0" applyNumberFormat="1" applyFont="1" applyFill="1" applyBorder="1" applyAlignment="1">
      <alignment horizontal="right"/>
    </xf>
    <xf numFmtId="0" fontId="62" fillId="16" borderId="27" xfId="0" applyFont="1" applyFill="1" applyBorder="1" applyAlignment="1">
      <alignment horizontal="center" vertical="center"/>
    </xf>
    <xf numFmtId="38" fontId="53" fillId="16" borderId="33" xfId="0" applyNumberFormat="1" applyFont="1" applyFill="1" applyBorder="1" applyAlignment="1">
      <alignment horizontal="right"/>
    </xf>
    <xf numFmtId="3" fontId="62" fillId="16" borderId="27" xfId="0" applyNumberFormat="1" applyFont="1" applyFill="1" applyBorder="1" applyAlignment="1">
      <alignment horizontal="left" vertical="center" indent="1"/>
    </xf>
    <xf numFmtId="0" fontId="62" fillId="16" borderId="27" xfId="0" applyFont="1" applyFill="1" applyBorder="1" applyAlignment="1">
      <alignment horizontal="center" vertical="top"/>
    </xf>
    <xf numFmtId="0" fontId="55" fillId="16" borderId="30" xfId="0" applyFont="1" applyFill="1" applyBorder="1" applyAlignment="1">
      <alignment horizontal="left" vertical="center" indent="1"/>
    </xf>
    <xf numFmtId="38" fontId="53" fillId="16" borderId="26" xfId="0" applyNumberFormat="1" applyFont="1" applyFill="1" applyBorder="1" applyAlignment="1">
      <alignment horizontal="right"/>
    </xf>
    <xf numFmtId="38" fontId="53" fillId="16" borderId="28" xfId="0" applyNumberFormat="1" applyFont="1" applyFill="1" applyBorder="1" applyAlignment="1">
      <alignment horizontal="right"/>
    </xf>
    <xf numFmtId="38" fontId="53" fillId="16" borderId="29" xfId="0" applyNumberFormat="1" applyFont="1" applyFill="1" applyBorder="1" applyAlignment="1">
      <alignment horizontal="right"/>
    </xf>
    <xf numFmtId="3" fontId="62" fillId="16" borderId="55" xfId="0" applyNumberFormat="1" applyFont="1" applyFill="1" applyBorder="1" applyAlignment="1">
      <alignment horizontal="left" vertical="center" wrapText="1" indent="1"/>
    </xf>
    <xf numFmtId="49" fontId="62" fillId="16" borderId="32" xfId="0" applyNumberFormat="1" applyFont="1" applyFill="1" applyBorder="1" applyAlignment="1">
      <alignment horizontal="center" vertical="center"/>
    </xf>
    <xf numFmtId="38" fontId="53" fillId="16" borderId="27" xfId="0" applyNumberFormat="1" applyFont="1" applyFill="1" applyBorder="1" applyAlignment="1" applyProtection="1">
      <alignment horizontal="right"/>
    </xf>
    <xf numFmtId="3" fontId="62" fillId="16" borderId="55" xfId="0" applyNumberFormat="1" applyFont="1" applyFill="1" applyBorder="1" applyAlignment="1">
      <alignment horizontal="left" vertical="top" wrapText="1" indent="1"/>
    </xf>
    <xf numFmtId="49" fontId="60" fillId="16" borderId="51" xfId="0" applyNumberFormat="1" applyFont="1" applyFill="1" applyBorder="1" applyAlignment="1">
      <alignment horizontal="center" vertical="top"/>
    </xf>
    <xf numFmtId="3" fontId="62" fillId="16" borderId="27" xfId="0" applyNumberFormat="1" applyFont="1" applyFill="1" applyBorder="1" applyAlignment="1">
      <alignment horizontal="left" vertical="center" wrapText="1" indent="1"/>
    </xf>
    <xf numFmtId="3" fontId="62" fillId="16" borderId="36" xfId="0" applyNumberFormat="1" applyFont="1" applyFill="1" applyBorder="1" applyAlignment="1">
      <alignment horizontal="left" vertical="top" wrapText="1" indent="1"/>
    </xf>
    <xf numFmtId="0" fontId="60" fillId="16" borderId="30" xfId="0" applyFont="1" applyFill="1" applyBorder="1" applyAlignment="1">
      <alignment vertical="top"/>
    </xf>
    <xf numFmtId="3" fontId="62" fillId="16" borderId="36" xfId="0" applyNumberFormat="1" applyFont="1" applyFill="1" applyBorder="1" applyAlignment="1">
      <alignment horizontal="left" vertical="center" indent="1"/>
    </xf>
    <xf numFmtId="0" fontId="62" fillId="16" borderId="30" xfId="0" applyFont="1" applyFill="1" applyBorder="1" applyAlignment="1">
      <alignment horizontal="center" vertical="center"/>
    </xf>
    <xf numFmtId="0" fontId="62" fillId="16" borderId="27" xfId="0" applyFont="1" applyFill="1" applyBorder="1" applyAlignment="1">
      <alignment horizontal="center" vertical="center" wrapText="1"/>
    </xf>
    <xf numFmtId="49" fontId="62" fillId="16" borderId="27" xfId="0" applyNumberFormat="1" applyFont="1" applyFill="1" applyBorder="1" applyAlignment="1">
      <alignment horizontal="center" vertical="top" wrapText="1"/>
    </xf>
    <xf numFmtId="3" fontId="62" fillId="16" borderId="36" xfId="0" applyNumberFormat="1" applyFont="1" applyFill="1" applyBorder="1" applyAlignment="1">
      <alignment horizontal="left" vertical="top" indent="1"/>
    </xf>
    <xf numFmtId="38" fontId="53" fillId="16" borderId="3" xfId="0" applyNumberFormat="1" applyFont="1" applyFill="1" applyBorder="1" applyAlignment="1">
      <alignment horizontal="right"/>
    </xf>
    <xf numFmtId="0" fontId="62" fillId="16" borderId="36" xfId="0" applyFont="1" applyFill="1" applyBorder="1" applyAlignment="1">
      <alignment horizontal="left" vertical="center" wrapText="1" indent="1"/>
    </xf>
    <xf numFmtId="49" fontId="60" fillId="16" borderId="51" xfId="0" applyNumberFormat="1" applyFont="1" applyFill="1" applyBorder="1" applyAlignment="1">
      <alignment horizontal="center" vertical="center"/>
    </xf>
    <xf numFmtId="38" fontId="53" fillId="16" borderId="33" xfId="0" applyNumberFormat="1" applyFont="1" applyFill="1" applyBorder="1" applyAlignment="1" applyProtection="1">
      <alignment horizontal="right"/>
    </xf>
    <xf numFmtId="38" fontId="53" fillId="16" borderId="32" xfId="0" applyNumberFormat="1" applyFont="1" applyFill="1" applyBorder="1" applyAlignment="1" applyProtection="1">
      <alignment horizontal="right"/>
    </xf>
    <xf numFmtId="0" fontId="60"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center" wrapText="1" indent="1"/>
    </xf>
    <xf numFmtId="0" fontId="60" fillId="16" borderId="30" xfId="0" applyFont="1" applyFill="1" applyBorder="1" applyAlignment="1" applyProtection="1">
      <alignment horizontal="left" vertical="center"/>
    </xf>
    <xf numFmtId="38" fontId="53" fillId="16" borderId="36" xfId="0" applyNumberFormat="1" applyFont="1" applyFill="1" applyBorder="1" applyAlignment="1" applyProtection="1">
      <alignment horizontal="right"/>
    </xf>
    <xf numFmtId="0" fontId="62" fillId="16" borderId="35" xfId="0" applyFont="1" applyFill="1" applyBorder="1" applyAlignment="1" applyProtection="1">
      <alignment horizontal="left" vertical="center" indent="1"/>
    </xf>
    <xf numFmtId="0" fontId="60" fillId="16" borderId="30" xfId="0" applyFont="1" applyFill="1" applyBorder="1" applyAlignment="1" applyProtection="1">
      <alignment horizontal="center" vertical="center"/>
    </xf>
    <xf numFmtId="37" fontId="53" fillId="16" borderId="36" xfId="0" applyNumberFormat="1" applyFont="1" applyFill="1" applyBorder="1" applyAlignment="1" applyProtection="1">
      <alignment horizontal="right"/>
    </xf>
    <xf numFmtId="37" fontId="53" fillId="16" borderId="27" xfId="0" applyNumberFormat="1" applyFont="1" applyFill="1" applyBorder="1" applyAlignment="1" applyProtection="1">
      <alignment horizontal="right"/>
    </xf>
    <xf numFmtId="0" fontId="60"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top" wrapText="1" indent="1"/>
    </xf>
    <xf numFmtId="49" fontId="62" fillId="16" borderId="33" xfId="0" applyNumberFormat="1" applyFont="1" applyFill="1" applyBorder="1" applyAlignment="1">
      <alignment horizontal="center" vertical="center"/>
    </xf>
    <xf numFmtId="38" fontId="53" fillId="16" borderId="37" xfId="0" applyNumberFormat="1" applyFont="1" applyFill="1" applyBorder="1" applyAlignment="1" applyProtection="1">
      <alignment horizontal="right"/>
    </xf>
    <xf numFmtId="49" fontId="62" fillId="16" borderId="35" xfId="0" applyNumberFormat="1" applyFont="1" applyFill="1" applyBorder="1" applyAlignment="1" applyProtection="1">
      <alignment horizontal="left" vertical="top" indent="1"/>
    </xf>
    <xf numFmtId="49" fontId="62" fillId="16" borderId="27" xfId="0" applyNumberFormat="1" applyFont="1" applyFill="1" applyBorder="1" applyAlignment="1">
      <alignment horizontal="center" vertical="top"/>
    </xf>
    <xf numFmtId="38" fontId="53" fillId="16" borderId="12" xfId="0" applyNumberFormat="1" applyFont="1" applyFill="1" applyBorder="1" applyAlignment="1" applyProtection="1">
      <alignment horizontal="right"/>
    </xf>
    <xf numFmtId="49" fontId="60" fillId="16" borderId="30" xfId="0" applyNumberFormat="1" applyFont="1" applyFill="1" applyBorder="1" applyAlignment="1" applyProtection="1">
      <alignment horizontal="center" vertical="center"/>
    </xf>
    <xf numFmtId="1" fontId="60" fillId="16" borderId="30"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55" xfId="0" applyNumberFormat="1" applyFont="1" applyFill="1" applyBorder="1" applyAlignment="1" applyProtection="1">
      <alignment horizontal="right"/>
    </xf>
    <xf numFmtId="0" fontId="62" fillId="16" borderId="35" xfId="0" applyFont="1" applyFill="1" applyBorder="1" applyAlignment="1" applyProtection="1">
      <alignment horizontal="left" indent="1"/>
    </xf>
    <xf numFmtId="0" fontId="60" fillId="16" borderId="30" xfId="0" applyFont="1" applyFill="1" applyBorder="1" applyAlignment="1" applyProtection="1">
      <alignment horizontal="center"/>
    </xf>
    <xf numFmtId="0" fontId="62" fillId="16" borderId="36" xfId="0" applyFont="1" applyFill="1" applyBorder="1" applyAlignment="1" applyProtection="1">
      <alignment horizontal="left" vertical="center" indent="1"/>
    </xf>
    <xf numFmtId="0" fontId="60" fillId="16" borderId="27" xfId="0" applyFont="1" applyFill="1" applyBorder="1" applyAlignment="1" applyProtection="1">
      <alignment horizontal="center" vertical="center"/>
    </xf>
    <xf numFmtId="0" fontId="62" fillId="16" borderId="30" xfId="0" applyFont="1" applyFill="1" applyBorder="1" applyAlignment="1">
      <alignment vertical="center"/>
    </xf>
    <xf numFmtId="49" fontId="62" fillId="16" borderId="33" xfId="0" applyNumberFormat="1" applyFont="1" applyFill="1" applyBorder="1" applyAlignment="1" applyProtection="1">
      <alignment horizontal="left" vertical="center" wrapText="1" indent="1"/>
    </xf>
    <xf numFmtId="49" fontId="62" fillId="16" borderId="53" xfId="0" applyNumberFormat="1" applyFont="1" applyFill="1" applyBorder="1" applyAlignment="1">
      <alignment horizontal="center" vertical="center"/>
    </xf>
    <xf numFmtId="0" fontId="62" fillId="16" borderId="52" xfId="0" applyFont="1" applyFill="1" applyBorder="1" applyAlignment="1" applyProtection="1">
      <alignment horizontal="left" wrapText="1" indent="1"/>
    </xf>
    <xf numFmtId="0" fontId="60" fillId="16" borderId="53" xfId="0" applyFont="1" applyFill="1" applyBorder="1" applyAlignment="1" applyProtection="1">
      <alignment horizontal="left" indent="2"/>
    </xf>
    <xf numFmtId="176" fontId="55" fillId="16" borderId="2" xfId="0" applyNumberFormat="1" applyFont="1" applyFill="1" applyBorder="1" applyAlignment="1" applyProtection="1">
      <alignment vertical="center"/>
    </xf>
    <xf numFmtId="38" fontId="55" fillId="16" borderId="2"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vertical="center"/>
    </xf>
    <xf numFmtId="37" fontId="55" fillId="16" borderId="13" xfId="5" applyNumberFormat="1" applyFont="1" applyFill="1" applyBorder="1" applyAlignment="1" applyProtection="1">
      <alignment horizontal="right"/>
    </xf>
    <xf numFmtId="0" fontId="62" fillId="16" borderId="35" xfId="0" applyFont="1" applyFill="1" applyBorder="1" applyAlignment="1" applyProtection="1">
      <alignment horizontal="left" vertical="center" indent="2"/>
    </xf>
    <xf numFmtId="38" fontId="53" fillId="16" borderId="30" xfId="0" applyNumberFormat="1" applyFont="1" applyFill="1" applyBorder="1" applyAlignment="1" applyProtection="1">
      <alignment horizontal="right"/>
    </xf>
    <xf numFmtId="0" fontId="62" fillId="16" borderId="20" xfId="0" applyFont="1" applyFill="1" applyBorder="1" applyAlignment="1" applyProtection="1">
      <alignment horizontal="left" vertical="center" indent="2"/>
    </xf>
    <xf numFmtId="0" fontId="62" fillId="16" borderId="14" xfId="0" applyFont="1" applyFill="1" applyBorder="1" applyAlignment="1" applyProtection="1">
      <alignment horizontal="center" vertical="center"/>
    </xf>
    <xf numFmtId="38" fontId="53" fillId="16" borderId="26" xfId="0" applyNumberFormat="1" applyFont="1" applyFill="1" applyBorder="1" applyAlignment="1" applyProtection="1">
      <alignment horizontal="right"/>
    </xf>
    <xf numFmtId="0" fontId="62" fillId="16" borderId="30" xfId="0" applyFont="1" applyFill="1" applyBorder="1" applyAlignment="1" applyProtection="1">
      <alignment horizontal="center" vertical="center"/>
    </xf>
    <xf numFmtId="38" fontId="53" fillId="16" borderId="4" xfId="0" applyNumberFormat="1" applyFont="1" applyFill="1" applyBorder="1" applyAlignment="1" applyProtection="1">
      <alignment horizontal="right"/>
    </xf>
    <xf numFmtId="38" fontId="53" fillId="16" borderId="2" xfId="0" applyNumberFormat="1" applyFont="1" applyFill="1" applyBorder="1" applyAlignment="1" applyProtection="1">
      <alignment horizontal="right"/>
    </xf>
    <xf numFmtId="0" fontId="71" fillId="16" borderId="20" xfId="0" applyFont="1" applyFill="1" applyBorder="1" applyAlignment="1" applyProtection="1">
      <alignment horizontal="left" vertical="center" indent="1"/>
    </xf>
    <xf numFmtId="0" fontId="60" fillId="16" borderId="4" xfId="0" applyFont="1" applyFill="1" applyBorder="1" applyAlignment="1" applyProtection="1">
      <alignment horizontal="center"/>
    </xf>
    <xf numFmtId="38" fontId="53" fillId="16" borderId="28" xfId="0" applyNumberFormat="1" applyFont="1" applyFill="1" applyBorder="1" applyAlignment="1" applyProtection="1">
      <alignment horizontal="right"/>
    </xf>
    <xf numFmtId="38" fontId="53" fillId="16" borderId="18" xfId="0" applyNumberFormat="1" applyFont="1" applyFill="1" applyBorder="1" applyAlignment="1" applyProtection="1">
      <alignment horizontal="right"/>
    </xf>
    <xf numFmtId="38" fontId="53" fillId="16" borderId="0" xfId="0" applyNumberFormat="1" applyFont="1" applyFill="1" applyAlignment="1" applyProtection="1">
      <alignment horizontal="right"/>
    </xf>
    <xf numFmtId="38" fontId="53" fillId="16" borderId="127" xfId="0" applyNumberFormat="1" applyFont="1" applyFill="1" applyBorder="1" applyAlignment="1" applyProtection="1">
      <alignment horizontal="right" vertical="center"/>
      <protection locked="0"/>
    </xf>
    <xf numFmtId="38" fontId="53" fillId="16" borderId="2" xfId="0" applyNumberFormat="1" applyFont="1" applyFill="1" applyBorder="1" applyAlignment="1" applyProtection="1">
      <alignment horizontal="right" vertical="center"/>
      <protection locked="0"/>
    </xf>
    <xf numFmtId="38" fontId="53" fillId="16" borderId="27" xfId="0" applyNumberFormat="1" applyFont="1" applyFill="1" applyBorder="1" applyAlignment="1" applyProtection="1">
      <alignment horizontal="right" vertical="center"/>
      <protection locked="0"/>
    </xf>
    <xf numFmtId="38" fontId="53" fillId="16" borderId="127" xfId="0" applyNumberFormat="1" applyFont="1" applyFill="1" applyBorder="1" applyAlignment="1" applyProtection="1">
      <alignment horizontal="right" vertical="center"/>
    </xf>
    <xf numFmtId="38" fontId="53" fillId="16" borderId="2" xfId="0" applyNumberFormat="1" applyFont="1" applyFill="1" applyBorder="1" applyAlignment="1" applyProtection="1">
      <alignment horizontal="right" vertical="center"/>
    </xf>
    <xf numFmtId="0" fontId="62" fillId="16" borderId="27" xfId="0" applyFont="1" applyFill="1" applyBorder="1" applyAlignment="1">
      <alignment horizontal="left" vertical="center" wrapText="1" indent="1"/>
    </xf>
    <xf numFmtId="38" fontId="53" fillId="16" borderId="27" xfId="0" applyNumberFormat="1" applyFont="1" applyFill="1" applyBorder="1" applyAlignment="1" applyProtection="1">
      <alignment horizontal="right" vertical="center"/>
    </xf>
    <xf numFmtId="38" fontId="53" fillId="16" borderId="2" xfId="9" applyNumberFormat="1" applyFont="1" applyFill="1" applyBorder="1" applyAlignment="1" applyProtection="1">
      <alignment horizontal="right"/>
    </xf>
    <xf numFmtId="49" fontId="60" fillId="16" borderId="41"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vertical="center"/>
    </xf>
    <xf numFmtId="49" fontId="60" fillId="16" borderId="7"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horizontal="right" vertical="center"/>
    </xf>
    <xf numFmtId="49" fontId="60" fillId="16" borderId="7" xfId="0" applyNumberFormat="1" applyFont="1" applyFill="1" applyBorder="1" applyAlignment="1" applyProtection="1">
      <alignment horizontal="left" vertical="center" indent="2"/>
    </xf>
    <xf numFmtId="0" fontId="55" fillId="16" borderId="7" xfId="0" applyFont="1" applyFill="1" applyBorder="1" applyAlignment="1">
      <alignment horizontal="left" indent="2"/>
    </xf>
    <xf numFmtId="38" fontId="53" fillId="16" borderId="60" xfId="0" applyNumberFormat="1" applyFont="1" applyFill="1" applyBorder="1" applyAlignment="1" applyProtection="1"/>
    <xf numFmtId="38" fontId="53" fillId="16" borderId="41" xfId="0" applyNumberFormat="1" applyFont="1" applyFill="1" applyBorder="1" applyAlignment="1" applyProtection="1">
      <alignment horizontal="right"/>
    </xf>
    <xf numFmtId="0" fontId="62" fillId="16" borderId="54" xfId="0" applyFont="1" applyFill="1" applyBorder="1" applyAlignment="1" applyProtection="1">
      <alignment horizontal="left" vertical="center" indent="2"/>
    </xf>
    <xf numFmtId="0" fontId="62" fillId="16" borderId="41" xfId="0" applyFont="1" applyFill="1" applyBorder="1" applyAlignment="1" applyProtection="1">
      <alignment horizontal="center" vertical="center"/>
    </xf>
    <xf numFmtId="0" fontId="62" fillId="16" borderId="41" xfId="0" applyFont="1" applyFill="1" applyBorder="1" applyAlignment="1" applyProtection="1">
      <alignment horizontal="left" vertical="center" indent="1"/>
    </xf>
    <xf numFmtId="0" fontId="55" fillId="16" borderId="41" xfId="0" applyFont="1" applyFill="1" applyBorder="1" applyAlignment="1" applyProtection="1">
      <alignment vertical="center"/>
    </xf>
    <xf numFmtId="38" fontId="53" fillId="16" borderId="22" xfId="0" applyNumberFormat="1" applyFont="1" applyFill="1" applyBorder="1" applyAlignment="1" applyProtection="1">
      <alignment horizontal="right" vertical="center"/>
    </xf>
    <xf numFmtId="0" fontId="60" fillId="16" borderId="0" xfId="10" applyFont="1" applyFill="1" applyAlignment="1">
      <alignment vertical="center"/>
    </xf>
    <xf numFmtId="0" fontId="60" fillId="16" borderId="0" xfId="10" applyFont="1" applyFill="1" applyAlignment="1">
      <alignment horizontal="center" vertical="center"/>
    </xf>
    <xf numFmtId="0" fontId="60" fillId="16" borderId="0" xfId="10" applyFont="1" applyFill="1" applyAlignment="1">
      <alignment horizontal="right" vertical="center"/>
    </xf>
    <xf numFmtId="0" fontId="62" fillId="16" borderId="0" xfId="10" applyFont="1" applyFill="1" applyAlignment="1">
      <alignment horizontal="right" vertical="center" indent="3"/>
    </xf>
    <xf numFmtId="0" fontId="60" fillId="16" borderId="0" xfId="10" applyFont="1" applyFill="1" applyBorder="1" applyAlignment="1">
      <alignment horizontal="right" vertical="center"/>
    </xf>
    <xf numFmtId="3" fontId="62" fillId="16" borderId="57" xfId="10" applyNumberFormat="1" applyFont="1" applyFill="1" applyBorder="1" applyAlignment="1" applyProtection="1">
      <alignment vertical="center"/>
    </xf>
    <xf numFmtId="0" fontId="60" fillId="16" borderId="0" xfId="10" applyFont="1" applyFill="1" applyAlignment="1">
      <alignment horizontal="left" vertical="center"/>
    </xf>
    <xf numFmtId="0" fontId="62" fillId="16" borderId="0" xfId="10" applyFont="1" applyFill="1" applyAlignment="1">
      <alignment horizontal="right" vertical="center"/>
    </xf>
    <xf numFmtId="38" fontId="62" fillId="16" borderId="47" xfId="10" applyNumberFormat="1" applyFont="1" applyFill="1" applyBorder="1" applyAlignment="1">
      <alignment horizontal="right"/>
    </xf>
    <xf numFmtId="0" fontId="60" fillId="16" borderId="0" xfId="10" quotePrefix="1" applyFont="1" applyFill="1" applyAlignment="1">
      <alignment horizontal="left" vertical="center"/>
    </xf>
    <xf numFmtId="38" fontId="60" fillId="16" borderId="58" xfId="10" applyNumberFormat="1" applyFont="1" applyFill="1" applyBorder="1" applyAlignment="1" applyProtection="1">
      <alignment horizontal="right"/>
    </xf>
    <xf numFmtId="0" fontId="60" fillId="16" borderId="0" xfId="11" quotePrefix="1" applyFont="1" applyFill="1" applyAlignment="1">
      <alignment horizontal="left" vertical="center"/>
    </xf>
    <xf numFmtId="0" fontId="62" fillId="16" borderId="0" xfId="10" quotePrefix="1" applyFont="1" applyFill="1" applyAlignment="1">
      <alignment horizontal="left" vertical="center"/>
    </xf>
    <xf numFmtId="40" fontId="62" fillId="16" borderId="47" xfId="10" applyNumberFormat="1" applyFont="1" applyFill="1" applyBorder="1" applyAlignment="1" applyProtection="1">
      <alignment horizontal="right"/>
    </xf>
    <xf numFmtId="0" fontId="60" fillId="16" borderId="0" xfId="11" applyFont="1" applyFill="1" applyAlignment="1">
      <alignment horizontal="left" vertical="center"/>
    </xf>
    <xf numFmtId="0" fontId="60" fillId="16" borderId="0" xfId="11" applyFont="1" applyFill="1" applyAlignment="1">
      <alignment horizontal="right" vertical="center"/>
    </xf>
    <xf numFmtId="0" fontId="62" fillId="16" borderId="0" xfId="11" applyFont="1" applyFill="1" applyAlignment="1">
      <alignment horizontal="right" vertical="center"/>
    </xf>
    <xf numFmtId="0" fontId="60" fillId="16" borderId="0" xfId="11" applyFont="1" applyFill="1" applyBorder="1" applyAlignment="1">
      <alignment horizontal="right" vertical="center"/>
    </xf>
    <xf numFmtId="38" fontId="62" fillId="16" borderId="9" xfId="11" applyNumberFormat="1" applyFont="1" applyFill="1" applyBorder="1" applyAlignment="1" applyProtection="1">
      <alignment horizontal="right"/>
    </xf>
    <xf numFmtId="38" fontId="60" fillId="16" borderId="6" xfId="11" applyNumberFormat="1" applyFont="1" applyFill="1" applyBorder="1" applyAlignment="1" applyProtection="1">
      <alignment horizontal="right"/>
    </xf>
    <xf numFmtId="0" fontId="60" fillId="16" borderId="0" xfId="11" applyFont="1" applyFill="1" applyAlignment="1">
      <alignment vertical="center"/>
    </xf>
    <xf numFmtId="40" fontId="60" fillId="16" borderId="9" xfId="11" applyNumberFormat="1" applyFont="1" applyFill="1" applyBorder="1" applyAlignment="1" applyProtection="1">
      <alignment horizontal="right"/>
    </xf>
    <xf numFmtId="40" fontId="62" fillId="16" borderId="57" xfId="11" applyNumberFormat="1" applyFont="1" applyFill="1" applyBorder="1" applyAlignment="1" applyProtection="1">
      <alignment horizontal="right"/>
    </xf>
    <xf numFmtId="38" fontId="5" fillId="16" borderId="157" xfId="17" applyNumberFormat="1" applyFill="1" applyBorder="1" applyAlignment="1" applyProtection="1">
      <alignment vertical="top"/>
    </xf>
    <xf numFmtId="38" fontId="5" fillId="16" borderId="158" xfId="17" applyNumberFormat="1" applyFill="1" applyBorder="1" applyAlignment="1" applyProtection="1">
      <alignment horizontal="right" vertical="top"/>
    </xf>
    <xf numFmtId="38" fontId="5" fillId="16" borderId="158" xfId="17" applyNumberFormat="1" applyFill="1" applyBorder="1" applyAlignment="1" applyProtection="1">
      <alignment vertical="top"/>
    </xf>
    <xf numFmtId="0" fontId="5" fillId="16" borderId="158" xfId="17" applyFill="1" applyBorder="1" applyAlignment="1" applyProtection="1">
      <alignment horizontal="left" vertical="top" wrapText="1"/>
    </xf>
    <xf numFmtId="49" fontId="5" fillId="16" borderId="158" xfId="17" applyNumberFormat="1" applyFill="1" applyBorder="1" applyAlignment="1" applyProtection="1">
      <alignment vertical="top"/>
    </xf>
    <xf numFmtId="0" fontId="5" fillId="16" borderId="158" xfId="17" applyFill="1" applyBorder="1" applyAlignment="1" applyProtection="1">
      <alignment vertical="top"/>
    </xf>
    <xf numFmtId="0" fontId="53" fillId="16" borderId="126" xfId="0" applyFont="1" applyFill="1" applyBorder="1"/>
    <xf numFmtId="37" fontId="53" fillId="16" borderId="126" xfId="0" applyNumberFormat="1" applyFont="1" applyFill="1" applyBorder="1"/>
    <xf numFmtId="37" fontId="53" fillId="16" borderId="128" xfId="0" applyNumberFormat="1" applyFont="1" applyFill="1" applyBorder="1"/>
    <xf numFmtId="0" fontId="53" fillId="16" borderId="14" xfId="0" applyFont="1" applyFill="1" applyBorder="1"/>
    <xf numFmtId="0" fontId="53" fillId="16" borderId="21" xfId="0" applyFont="1" applyFill="1" applyBorder="1"/>
    <xf numFmtId="37" fontId="53" fillId="16" borderId="14" xfId="0" applyNumberFormat="1" applyFont="1" applyFill="1" applyBorder="1"/>
    <xf numFmtId="37" fontId="53" fillId="16" borderId="21" xfId="0" applyNumberFormat="1" applyFont="1" applyFill="1" applyBorder="1"/>
    <xf numFmtId="38" fontId="53" fillId="16" borderId="14" xfId="0" applyNumberFormat="1" applyFont="1" applyFill="1" applyBorder="1"/>
    <xf numFmtId="0" fontId="60" fillId="16" borderId="0" xfId="0" applyFont="1" applyFill="1" applyBorder="1" applyAlignment="1">
      <alignment horizontal="right"/>
    </xf>
    <xf numFmtId="38" fontId="53" fillId="16" borderId="18" xfId="0" applyNumberFormat="1" applyFont="1" applyFill="1" applyBorder="1"/>
    <xf numFmtId="0" fontId="53" fillId="16" borderId="13" xfId="0" applyFont="1" applyFill="1" applyBorder="1" applyAlignment="1">
      <alignment horizontal="right"/>
    </xf>
    <xf numFmtId="10" fontId="52" fillId="16" borderId="14" xfId="0" applyNumberFormat="1" applyFont="1" applyFill="1" applyBorder="1" applyAlignment="1">
      <alignment horizontal="left" indent="2"/>
    </xf>
    <xf numFmtId="38" fontId="53" fillId="16" borderId="2" xfId="3" applyNumberFormat="1" applyFont="1" applyFill="1" applyBorder="1" applyAlignment="1">
      <alignment vertical="center"/>
    </xf>
    <xf numFmtId="38" fontId="53" fillId="16" borderId="2" xfId="3" applyNumberFormat="1" applyFont="1" applyFill="1" applyBorder="1" applyAlignment="1" applyProtection="1">
      <alignment vertical="center"/>
    </xf>
    <xf numFmtId="38" fontId="53" fillId="16" borderId="27" xfId="3" applyNumberFormat="1" applyFont="1" applyFill="1" applyBorder="1" applyAlignment="1">
      <alignment vertical="center"/>
    </xf>
    <xf numFmtId="9" fontId="53" fillId="16" borderId="4" xfId="3" applyNumberFormat="1" applyFont="1" applyFill="1" applyBorder="1" applyAlignment="1">
      <alignment horizontal="center" vertical="center"/>
    </xf>
    <xf numFmtId="38" fontId="53" fillId="16" borderId="22" xfId="3" applyNumberFormat="1" applyFont="1" applyFill="1" applyBorder="1" applyAlignment="1">
      <alignment horizontal="right" vertical="center"/>
    </xf>
    <xf numFmtId="38" fontId="53" fillId="16" borderId="41"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2" fillId="16" borderId="75"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2" fillId="16" borderId="60" xfId="3" applyNumberFormat="1" applyFont="1" applyFill="1" applyBorder="1" applyAlignment="1">
      <alignment horizontal="right" vertical="center"/>
    </xf>
    <xf numFmtId="38" fontId="53" fillId="16" borderId="127" xfId="0" applyNumberFormat="1" applyFont="1" applyFill="1" applyBorder="1" applyAlignment="1" applyProtection="1">
      <alignment horizontal="right"/>
    </xf>
    <xf numFmtId="0" fontId="62" fillId="15" borderId="17" xfId="0" applyFont="1" applyFill="1" applyBorder="1" applyAlignment="1">
      <alignment horizontal="left" vertical="center" wrapText="1"/>
    </xf>
    <xf numFmtId="49" fontId="62" fillId="15" borderId="26" xfId="0" applyNumberFormat="1" applyFont="1" applyFill="1" applyBorder="1" applyAlignment="1">
      <alignment horizontal="center" vertical="center"/>
    </xf>
    <xf numFmtId="38" fontId="53" fillId="15" borderId="26" xfId="0" applyNumberFormat="1" applyFont="1" applyFill="1" applyBorder="1" applyAlignment="1">
      <alignment horizontal="right"/>
    </xf>
    <xf numFmtId="38" fontId="53" fillId="15"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6" borderId="13" xfId="0" applyFont="1" applyFill="1" applyBorder="1" applyAlignment="1">
      <alignment horizontal="left" vertical="center" wrapText="1"/>
    </xf>
    <xf numFmtId="49" fontId="62" fillId="16"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6"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7"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1" xfId="3" applyFont="1" applyBorder="1" applyProtection="1"/>
    <xf numFmtId="49" fontId="60" fillId="0" borderId="14" xfId="0" applyNumberFormat="1" applyFont="1" applyFill="1" applyBorder="1" applyAlignment="1" applyProtection="1">
      <alignment horizontal="center" vertical="center"/>
    </xf>
    <xf numFmtId="38" fontId="53" fillId="15" borderId="3" xfId="0" applyNumberFormat="1" applyFont="1" applyFill="1" applyBorder="1" applyAlignment="1" applyProtection="1">
      <alignment horizontal="right"/>
    </xf>
    <xf numFmtId="38" fontId="53" fillId="15" borderId="26" xfId="0" applyNumberFormat="1" applyFont="1" applyFill="1" applyBorder="1" applyAlignment="1" applyProtection="1">
      <alignment horizontal="right"/>
    </xf>
    <xf numFmtId="38" fontId="5" fillId="0" borderId="157"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7"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2"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4"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9" xfId="18" applyFont="1" applyBorder="1" applyAlignment="1">
      <alignment horizontal="left" vertical="center" wrapText="1"/>
    </xf>
    <xf numFmtId="0" fontId="102" fillId="0" borderId="160" xfId="18" applyFont="1" applyBorder="1" applyAlignment="1">
      <alignment horizontal="left" vertical="center" wrapText="1"/>
    </xf>
    <xf numFmtId="49" fontId="102" fillId="17"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2"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0" xfId="18" applyFont="1" applyBorder="1" applyAlignment="1">
      <alignment vertical="top"/>
    </xf>
    <xf numFmtId="0" fontId="46" fillId="0" borderId="141" xfId="18" applyFont="1" applyBorder="1" applyAlignment="1">
      <alignment vertical="top"/>
    </xf>
    <xf numFmtId="0" fontId="47" fillId="15" borderId="76" xfId="18" applyFont="1" applyFill="1" applyBorder="1" applyAlignment="1">
      <alignment vertical="top"/>
    </xf>
    <xf numFmtId="0" fontId="46" fillId="0" borderId="140" xfId="18" applyFont="1" applyBorder="1" applyAlignment="1">
      <alignment vertical="top" wrapText="1"/>
    </xf>
    <xf numFmtId="0" fontId="46" fillId="0" borderId="141"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2" borderId="46" xfId="0" applyFont="1" applyFill="1" applyBorder="1" applyAlignment="1" applyProtection="1">
      <alignment horizontal="left" vertical="center"/>
    </xf>
    <xf numFmtId="0" fontId="62" fillId="12" borderId="6" xfId="0" applyFont="1" applyFill="1" applyBorder="1" applyAlignment="1" applyProtection="1">
      <alignment horizontal="left" vertical="center"/>
    </xf>
    <xf numFmtId="0" fontId="60" fillId="12" borderId="7" xfId="0" applyFont="1" applyFill="1" applyBorder="1" applyAlignment="1" applyProtection="1">
      <alignment horizontal="left" vertical="center" indent="2"/>
    </xf>
    <xf numFmtId="0" fontId="63" fillId="12"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8" xfId="18" applyFont="1" applyFill="1" applyBorder="1" applyAlignment="1">
      <alignment horizontal="center" vertical="center" wrapText="1"/>
    </xf>
    <xf numFmtId="0" fontId="102" fillId="23" borderId="163" xfId="18" applyFont="1" applyFill="1" applyBorder="1" applyAlignment="1">
      <alignment horizontal="center" vertical="center" wrapText="1"/>
    </xf>
    <xf numFmtId="0" fontId="102" fillId="17" borderId="139" xfId="18" applyFont="1" applyFill="1" applyBorder="1" applyAlignment="1">
      <alignment horizontal="center" vertical="center" wrapText="1"/>
    </xf>
    <xf numFmtId="49" fontId="102" fillId="17" borderId="107" xfId="18" applyNumberFormat="1" applyFont="1" applyFill="1" applyBorder="1" applyAlignment="1">
      <alignment horizontal="center" vertical="center" wrapText="1"/>
    </xf>
    <xf numFmtId="0" fontId="47" fillId="17" borderId="108" xfId="18" applyFont="1" applyFill="1" applyBorder="1" applyAlignment="1">
      <alignment horizontal="center"/>
    </xf>
    <xf numFmtId="0" fontId="100" fillId="0" borderId="139"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2" borderId="39" xfId="0" applyFont="1" applyFill="1" applyBorder="1"/>
    <xf numFmtId="0" fontId="53" fillId="12" borderId="23" xfId="0" applyFont="1" applyFill="1" applyBorder="1" applyAlignment="1">
      <alignment horizontal="left" vertical="top"/>
    </xf>
    <xf numFmtId="0" fontId="53" fillId="12" borderId="23" xfId="0" applyFont="1" applyFill="1" applyBorder="1" applyAlignment="1">
      <alignment vertical="top" wrapText="1"/>
    </xf>
    <xf numFmtId="0" fontId="62" fillId="12"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7" xfId="11" applyNumberFormat="1" applyFont="1" applyFill="1" applyBorder="1" applyAlignment="1" applyProtection="1">
      <alignment horizontal="right"/>
      <protection locked="0"/>
    </xf>
    <xf numFmtId="38" fontId="60" fillId="16" borderId="9" xfId="11" applyNumberFormat="1" applyFont="1" applyFill="1" applyBorder="1" applyAlignment="1" applyProtection="1">
      <alignment horizontal="right"/>
    </xf>
    <xf numFmtId="3" fontId="60" fillId="16" borderId="9" xfId="10" applyNumberFormat="1" applyFont="1" applyFill="1" applyBorder="1" applyAlignment="1" applyProtection="1">
      <alignment vertical="center"/>
    </xf>
    <xf numFmtId="3" fontId="60" fillId="16" borderId="6" xfId="10" applyNumberFormat="1" applyFont="1" applyFill="1" applyBorder="1" applyAlignment="1" applyProtection="1">
      <alignment vertical="center"/>
    </xf>
    <xf numFmtId="38" fontId="60" fillId="16" borderId="9" xfId="10" applyNumberFormat="1" applyFont="1" applyFill="1" applyBorder="1" applyAlignment="1" applyProtection="1">
      <alignment horizontal="right" vertical="center"/>
    </xf>
    <xf numFmtId="38" fontId="60" fillId="16" borderId="0" xfId="10" applyNumberFormat="1" applyFont="1" applyFill="1" applyAlignment="1">
      <alignment vertical="top"/>
    </xf>
    <xf numFmtId="38" fontId="60" fillId="16" borderId="6" xfId="10" applyNumberFormat="1" applyFont="1" applyFill="1" applyBorder="1" applyAlignment="1" applyProtection="1">
      <alignment horizontal="right" vertical="center"/>
    </xf>
    <xf numFmtId="38" fontId="60" fillId="16" borderId="6" xfId="10" applyNumberFormat="1" applyFont="1" applyFill="1" applyBorder="1" applyAlignment="1" applyProtection="1">
      <alignment horizontal="right"/>
    </xf>
    <xf numFmtId="38" fontId="60" fillId="16" borderId="0" xfId="10" applyNumberFormat="1" applyFont="1" applyFill="1" applyAlignment="1">
      <alignment horizontal="right"/>
    </xf>
    <xf numFmtId="38" fontId="60" fillId="16" borderId="9" xfId="10" applyNumberFormat="1" applyFont="1" applyFill="1" applyBorder="1" applyAlignment="1" applyProtection="1">
      <alignment horizontal="right"/>
    </xf>
    <xf numFmtId="38" fontId="60" fillId="16" borderId="6" xfId="10" applyNumberFormat="1" applyFont="1" applyFill="1" applyBorder="1" applyAlignment="1">
      <alignment horizontal="right"/>
    </xf>
    <xf numFmtId="38" fontId="60" fillId="16" borderId="147"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7" borderId="21" xfId="0" applyFont="1" applyFill="1" applyBorder="1" applyAlignment="1" applyProtection="1">
      <alignment vertical="center"/>
    </xf>
    <xf numFmtId="0" fontId="62" fillId="17" borderId="2" xfId="0" applyFont="1" applyFill="1" applyBorder="1" applyAlignment="1" applyProtection="1">
      <alignment vertical="center"/>
    </xf>
    <xf numFmtId="0" fontId="60" fillId="0" borderId="21" xfId="0" applyFont="1" applyBorder="1" applyAlignment="1" applyProtection="1">
      <alignment horizontal="left" vertical="center" indent="1"/>
    </xf>
    <xf numFmtId="0" fontId="122" fillId="0" borderId="21" xfId="0" applyFont="1" applyBorder="1" applyAlignment="1" applyProtection="1">
      <alignment horizontal="left" vertical="center" indent="1"/>
    </xf>
    <xf numFmtId="38" fontId="1" fillId="16" borderId="157" xfId="17" applyNumberFormat="1" applyFont="1" applyFill="1" applyBorder="1" applyAlignment="1" applyProtection="1">
      <alignment horizontal="right" vertical="top"/>
    </xf>
    <xf numFmtId="38" fontId="1" fillId="16" borderId="158" xfId="17" applyNumberFormat="1" applyFont="1" applyFill="1" applyBorder="1" applyAlignment="1" applyProtection="1">
      <alignment horizontal="right" vertical="top"/>
    </xf>
    <xf numFmtId="49" fontId="1" fillId="0" borderId="157" xfId="17" applyNumberFormat="1" applyFont="1" applyBorder="1" applyAlignment="1" applyProtection="1">
      <alignment horizontal="center" vertical="top"/>
      <protection locked="0"/>
    </xf>
    <xf numFmtId="49" fontId="1" fillId="0" borderId="157" xfId="17" applyNumberFormat="1" applyFont="1" applyBorder="1" applyAlignment="1" applyProtection="1">
      <alignment horizontal="center" vertical="center"/>
      <protection locked="0"/>
    </xf>
    <xf numFmtId="0" fontId="55" fillId="0" borderId="77" xfId="3"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0" fontId="1" fillId="0" borderId="157" xfId="17" applyFont="1" applyBorder="1" applyAlignment="1" applyProtection="1">
      <alignment vertical="top"/>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5" xfId="12" applyNumberFormat="1" applyFont="1" applyBorder="1" applyAlignment="1" applyProtection="1">
      <alignment horizontal="left" vertical="center" indent="1"/>
      <protection locked="0"/>
    </xf>
    <xf numFmtId="0" fontId="11" fillId="0" borderId="128" xfId="12"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8"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6" xfId="12"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8"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2" fillId="0" borderId="134"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8" borderId="0" xfId="0" applyFont="1" applyFill="1" applyBorder="1" applyAlignment="1" applyProtection="1">
      <alignment horizontal="center" vertical="center"/>
    </xf>
    <xf numFmtId="0" fontId="52" fillId="18"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6"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6" borderId="36" xfId="0" applyNumberFormat="1" applyFont="1" applyFill="1" applyBorder="1" applyAlignment="1" applyProtection="1">
      <alignment horizontal="left" vertical="center" wrapText="1" indent="2"/>
    </xf>
    <xf numFmtId="164" fontId="62" fillId="16" borderId="30" xfId="0" applyNumberFormat="1" applyFont="1" applyFill="1" applyBorder="1" applyAlignment="1" applyProtection="1">
      <alignment horizontal="left" vertical="center" wrapText="1" indent="2"/>
    </xf>
    <xf numFmtId="0" fontId="62" fillId="16" borderId="52" xfId="0" applyFont="1" applyFill="1" applyBorder="1" applyAlignment="1" applyProtection="1">
      <alignment horizontal="left" vertical="center" indent="2"/>
    </xf>
    <xf numFmtId="0" fontId="62" fillId="16" borderId="53" xfId="0" applyFont="1" applyFill="1" applyBorder="1" applyAlignment="1" applyProtection="1">
      <alignment horizontal="left" vertical="center" indent="2"/>
    </xf>
    <xf numFmtId="0" fontId="62" fillId="16" borderId="35" xfId="0" applyFont="1" applyFill="1" applyBorder="1" applyAlignment="1" applyProtection="1">
      <alignment horizontal="left" vertical="center" indent="2"/>
    </xf>
    <xf numFmtId="0" fontId="62" fillId="16" borderId="30" xfId="0" applyFont="1" applyFill="1" applyBorder="1" applyAlignment="1" applyProtection="1">
      <alignment horizontal="left" vertical="center" indent="2"/>
    </xf>
    <xf numFmtId="0" fontId="60" fillId="16" borderId="52" xfId="0" applyFont="1" applyFill="1" applyBorder="1" applyAlignment="1" applyProtection="1">
      <alignment horizontal="left" vertical="center" wrapText="1" indent="2"/>
    </xf>
    <xf numFmtId="0" fontId="55" fillId="16"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6" xfId="0" applyNumberFormat="1" applyFont="1" applyBorder="1" applyAlignment="1" applyProtection="1">
      <alignment horizontal="center" vertical="center" wrapText="1"/>
    </xf>
    <xf numFmtId="0" fontId="62" fillId="16" borderId="34" xfId="0" applyFont="1" applyFill="1" applyBorder="1" applyAlignment="1" applyProtection="1">
      <alignment horizontal="left" vertical="center" indent="1"/>
    </xf>
    <xf numFmtId="0" fontId="62" fillId="16"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4" borderId="13" xfId="0" applyNumberFormat="1" applyFont="1" applyFill="1" applyBorder="1" applyAlignment="1" applyProtection="1">
      <alignment horizontal="left" vertical="center" wrapText="1" indent="1"/>
    </xf>
    <xf numFmtId="164" fontId="62" fillId="14" borderId="14" xfId="0" applyNumberFormat="1" applyFont="1" applyFill="1" applyBorder="1" applyAlignment="1" applyProtection="1">
      <alignment horizontal="left" vertical="center" wrapText="1" indent="1"/>
    </xf>
    <xf numFmtId="164" fontId="62" fillId="17" borderId="13" xfId="0" applyNumberFormat="1" applyFont="1" applyFill="1" applyBorder="1" applyAlignment="1" applyProtection="1">
      <alignment horizontal="left" vertical="center" wrapText="1"/>
    </xf>
    <xf numFmtId="164" fontId="62" fillId="17"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6" borderId="13" xfId="0" applyNumberFormat="1" applyFont="1" applyFill="1" applyBorder="1" applyAlignment="1" applyProtection="1">
      <alignment horizontal="left" vertical="center" wrapText="1" indent="2"/>
    </xf>
    <xf numFmtId="164" fontId="62" fillId="16"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6" borderId="24" xfId="0" applyFont="1" applyFill="1" applyBorder="1" applyAlignment="1" applyProtection="1">
      <alignment horizontal="left" vertical="center" indent="1"/>
    </xf>
    <xf numFmtId="0" fontId="55" fillId="16" borderId="51" xfId="0" applyFont="1" applyFill="1" applyBorder="1" applyAlignment="1">
      <alignment horizontal="left" vertical="center" indent="1"/>
    </xf>
    <xf numFmtId="0" fontId="62" fillId="17" borderId="21" xfId="0" applyFont="1" applyFill="1" applyBorder="1" applyAlignment="1">
      <alignment horizontal="left" vertical="center" wrapText="1"/>
    </xf>
    <xf numFmtId="0" fontId="55" fillId="17" borderId="14" xfId="0" applyFont="1" applyFill="1" applyBorder="1" applyAlignment="1">
      <alignment horizontal="left" vertical="center" wrapText="1"/>
    </xf>
    <xf numFmtId="0" fontId="62" fillId="17" borderId="34" xfId="0" applyFont="1" applyFill="1" applyBorder="1" applyAlignment="1">
      <alignment vertical="top" wrapText="1"/>
    </xf>
    <xf numFmtId="0" fontId="55" fillId="17" borderId="31" xfId="0" applyFont="1" applyFill="1" applyBorder="1" applyAlignment="1">
      <alignment vertical="top" wrapText="1"/>
    </xf>
    <xf numFmtId="0" fontId="62" fillId="16" borderId="35" xfId="0" applyFont="1" applyFill="1" applyBorder="1" applyAlignment="1" applyProtection="1">
      <alignment horizontal="left" vertical="top" wrapText="1" indent="1"/>
    </xf>
    <xf numFmtId="0" fontId="55"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top" indent="1"/>
    </xf>
    <xf numFmtId="0" fontId="55" fillId="16" borderId="30" xfId="0" applyFont="1" applyFill="1" applyBorder="1" applyAlignment="1">
      <alignment horizontal="left" vertical="top" indent="1"/>
    </xf>
    <xf numFmtId="0" fontId="62" fillId="17" borderId="34" xfId="0" applyFont="1" applyFill="1" applyBorder="1" applyAlignment="1">
      <alignment vertical="center" wrapText="1"/>
    </xf>
    <xf numFmtId="0" fontId="55" fillId="17"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7" xfId="0" applyFont="1" applyFill="1" applyBorder="1" applyAlignment="1">
      <alignment horizontal="center" vertical="center"/>
    </xf>
    <xf numFmtId="0" fontId="55" fillId="23" borderId="131" xfId="0" applyFont="1" applyFill="1" applyBorder="1" applyAlignment="1">
      <alignment horizontal="center" vertical="center"/>
    </xf>
    <xf numFmtId="0" fontId="63" fillId="23" borderId="20" xfId="0" applyFont="1" applyFill="1" applyBorder="1" applyAlignment="1">
      <alignment horizontal="center" vertical="center"/>
    </xf>
    <xf numFmtId="3" fontId="62" fillId="16" borderId="34" xfId="0" applyNumberFormat="1" applyFont="1" applyFill="1" applyBorder="1" applyAlignment="1">
      <alignment horizontal="left" vertical="top" wrapText="1" indent="1"/>
    </xf>
    <xf numFmtId="0" fontId="55" fillId="16" borderId="31" xfId="0" applyFont="1" applyFill="1" applyBorder="1" applyAlignment="1">
      <alignment horizontal="left" vertical="top" wrapText="1"/>
    </xf>
    <xf numFmtId="3" fontId="62" fillId="16" borderId="23" xfId="0" applyNumberFormat="1" applyFont="1" applyFill="1" applyBorder="1" applyAlignment="1">
      <alignment horizontal="left" vertical="top" wrapText="1" indent="1"/>
    </xf>
    <xf numFmtId="0" fontId="55" fillId="16" borderId="38" xfId="0" applyFont="1" applyFill="1" applyBorder="1" applyAlignment="1">
      <alignment horizontal="left" vertical="top" wrapText="1" indent="1"/>
    </xf>
    <xf numFmtId="3" fontId="62" fillId="16" borderId="24" xfId="0" applyNumberFormat="1" applyFont="1" applyFill="1" applyBorder="1" applyAlignment="1">
      <alignment horizontal="left" vertical="top" wrapText="1" indent="1"/>
    </xf>
    <xf numFmtId="0" fontId="60" fillId="16" borderId="51" xfId="0" applyFont="1" applyFill="1" applyBorder="1" applyAlignment="1">
      <alignment horizontal="left" vertical="top" wrapText="1" indent="1"/>
    </xf>
    <xf numFmtId="3" fontId="62" fillId="16" borderId="35" xfId="0" applyNumberFormat="1" applyFont="1" applyFill="1" applyBorder="1" applyAlignment="1">
      <alignment horizontal="left" vertical="top" wrapText="1" indent="1"/>
    </xf>
    <xf numFmtId="3" fontId="62" fillId="16" borderId="35" xfId="0" applyNumberFormat="1" applyFont="1" applyFill="1" applyBorder="1" applyAlignment="1">
      <alignment horizontal="left" vertical="top" indent="1"/>
    </xf>
    <xf numFmtId="0" fontId="60" fillId="16"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6" borderId="49" xfId="0" applyNumberFormat="1" applyFont="1" applyFill="1" applyBorder="1" applyAlignment="1">
      <alignment horizontal="left" vertical="top" indent="1"/>
    </xf>
    <xf numFmtId="3" fontId="62" fillId="16" borderId="31" xfId="0" applyNumberFormat="1" applyFont="1" applyFill="1" applyBorder="1" applyAlignment="1">
      <alignment horizontal="left" vertical="top" indent="1"/>
    </xf>
    <xf numFmtId="3" fontId="62" fillId="15" borderId="10" xfId="0" applyNumberFormat="1" applyFont="1" applyFill="1" applyBorder="1" applyAlignment="1" applyProtection="1">
      <alignment horizontal="center" vertical="center" wrapText="1"/>
    </xf>
    <xf numFmtId="3" fontId="62" fillId="15" borderId="126"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6" borderId="13" xfId="0" applyNumberFormat="1" applyFont="1" applyFill="1" applyBorder="1" applyAlignment="1" applyProtection="1">
      <alignment horizontal="left" vertical="center" wrapText="1" indent="1"/>
    </xf>
    <xf numFmtId="0" fontId="55" fillId="16" borderId="14" xfId="0" applyFont="1" applyFill="1" applyBorder="1" applyAlignment="1">
      <alignment horizontal="left" vertical="center" wrapText="1" indent="1"/>
    </xf>
    <xf numFmtId="49" fontId="63" fillId="12" borderId="13" xfId="0" applyNumberFormat="1" applyFont="1" applyFill="1" applyBorder="1" applyAlignment="1" applyProtection="1">
      <alignment horizontal="center" vertical="center"/>
    </xf>
    <xf numFmtId="0" fontId="55" fillId="12"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6" borderId="13" xfId="0" applyNumberFormat="1" applyFont="1" applyFill="1" applyBorder="1" applyAlignment="1" applyProtection="1">
      <alignment horizontal="left" vertical="center" indent="1"/>
    </xf>
    <xf numFmtId="0" fontId="55" fillId="16"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2"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6" borderId="54" xfId="0" applyFont="1" applyFill="1" applyBorder="1" applyAlignment="1" applyProtection="1">
      <alignment horizontal="left" vertical="center" indent="1"/>
    </xf>
    <xf numFmtId="0" fontId="62" fillId="16" borderId="57" xfId="0" applyFont="1" applyFill="1" applyBorder="1" applyAlignment="1" applyProtection="1">
      <alignment horizontal="left" vertical="center" indent="1"/>
    </xf>
    <xf numFmtId="0" fontId="62" fillId="16" borderId="61" xfId="0" applyFont="1" applyFill="1" applyBorder="1" applyAlignment="1" applyProtection="1">
      <alignment horizontal="left" vertical="center" indent="1"/>
    </xf>
    <xf numFmtId="0" fontId="62" fillId="16" borderId="147" xfId="0" applyFont="1" applyFill="1" applyBorder="1" applyAlignment="1" applyProtection="1">
      <alignment horizontal="left" vertical="center" indent="1"/>
    </xf>
    <xf numFmtId="0" fontId="62" fillId="16" borderId="146" xfId="0" applyFont="1" applyFill="1" applyBorder="1" applyAlignment="1" applyProtection="1">
      <alignment horizontal="left" vertical="center" indent="1"/>
    </xf>
    <xf numFmtId="0" fontId="62" fillId="3" borderId="147" xfId="0" applyFont="1" applyFill="1" applyBorder="1" applyAlignment="1" applyProtection="1">
      <alignment horizontal="left" vertical="center"/>
    </xf>
    <xf numFmtId="0" fontId="62" fillId="3" borderId="148" xfId="0" applyFont="1" applyFill="1" applyBorder="1" applyAlignment="1" applyProtection="1">
      <alignment horizontal="left" vertical="center"/>
    </xf>
    <xf numFmtId="0" fontId="63" fillId="12" borderId="46" xfId="0" applyFont="1" applyFill="1" applyBorder="1" applyAlignment="1" applyProtection="1">
      <alignment horizontal="left" vertical="center" wrapText="1"/>
    </xf>
    <xf numFmtId="0" fontId="55" fillId="12" borderId="6" xfId="0" applyFont="1" applyFill="1" applyBorder="1" applyAlignment="1">
      <alignment horizontal="left" wrapText="1"/>
    </xf>
    <xf numFmtId="0" fontId="55" fillId="12"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7" xfId="0" applyFont="1" applyBorder="1" applyAlignment="1" applyProtection="1">
      <alignment horizontal="left" vertical="center" wrapText="1" indent="1"/>
    </xf>
    <xf numFmtId="0" fontId="60" fillId="0" borderId="148"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6" xfId="0" applyFont="1" applyFill="1" applyBorder="1" applyAlignment="1" applyProtection="1">
      <alignment horizontal="left" vertical="center" indent="1"/>
    </xf>
    <xf numFmtId="0" fontId="63" fillId="23" borderId="147" xfId="0" applyFont="1" applyFill="1" applyBorder="1" applyAlignment="1" applyProtection="1">
      <alignment horizontal="left" vertical="center" indent="1"/>
    </xf>
    <xf numFmtId="0" fontId="63" fillId="23" borderId="148"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3" borderId="92"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93" xfId="0" applyFont="1" applyFill="1" applyBorder="1" applyAlignment="1">
      <alignment horizontal="center" vertical="center" wrapText="1"/>
    </xf>
    <xf numFmtId="0" fontId="128" fillId="23" borderId="94"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3" borderId="140" xfId="17" applyFont="1" applyFill="1" applyBorder="1" applyAlignment="1">
      <alignment horizontal="center" vertical="center"/>
    </xf>
    <xf numFmtId="0" fontId="124" fillId="23" borderId="141" xfId="17" applyFont="1" applyFill="1" applyBorder="1" applyAlignment="1">
      <alignment horizontal="center" vertical="center"/>
    </xf>
    <xf numFmtId="0" fontId="124" fillId="23" borderId="142" xfId="17" applyFont="1" applyFill="1" applyBorder="1" applyAlignment="1">
      <alignment horizontal="center" vertical="center"/>
    </xf>
    <xf numFmtId="0" fontId="124" fillId="23" borderId="98" xfId="17" applyFont="1" applyFill="1" applyBorder="1" applyAlignment="1">
      <alignment horizontal="center" vertical="center"/>
    </xf>
    <xf numFmtId="0" fontId="124" fillId="23" borderId="78" xfId="17" applyFont="1" applyFill="1" applyBorder="1" applyAlignment="1">
      <alignment horizontal="center" vertical="center"/>
    </xf>
    <xf numFmtId="0" fontId="124" fillId="23"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19" borderId="13" xfId="0" applyFont="1" applyFill="1" applyBorder="1" applyAlignment="1" applyProtection="1">
      <alignment horizontal="left" vertical="center" wrapText="1" indent="1"/>
    </xf>
    <xf numFmtId="0" fontId="55" fillId="19" borderId="21" xfId="0" applyFont="1" applyFill="1" applyBorder="1" applyAlignment="1">
      <alignment horizontal="left" vertical="center" wrapText="1" indent="1"/>
    </xf>
    <xf numFmtId="0" fontId="55" fillId="19"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7"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1" xfId="18" applyFont="1" applyBorder="1" applyAlignment="1" applyProtection="1">
      <alignment horizontal="center" vertical="top" wrapText="1"/>
      <protection locked="0"/>
    </xf>
    <xf numFmtId="0" fontId="2" fillId="0" borderId="142"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1" xfId="18" applyFont="1" applyBorder="1" applyAlignment="1" applyProtection="1">
      <alignment horizontal="center" vertical="top" wrapText="1"/>
      <protection locked="0"/>
    </xf>
    <xf numFmtId="0" fontId="47" fillId="0" borderId="142"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3" xfId="3" applyFont="1" applyBorder="1" applyAlignment="1">
      <alignment horizontal="center" vertical="center" wrapText="1"/>
    </xf>
    <xf numFmtId="0" fontId="71" fillId="0" borderId="133" xfId="3" applyNumberFormat="1" applyFont="1" applyBorder="1" applyAlignment="1">
      <alignment horizontal="center"/>
    </xf>
    <xf numFmtId="0" fontId="55" fillId="0" borderId="134" xfId="3" applyNumberFormat="1" applyFont="1" applyBorder="1" applyAlignment="1" applyProtection="1">
      <alignment horizontal="center"/>
      <protection locked="0"/>
    </xf>
    <xf numFmtId="171" fontId="55" fillId="0" borderId="134" xfId="3" applyNumberFormat="1" applyFont="1" applyBorder="1" applyAlignment="1" applyProtection="1">
      <alignment horizontal="center"/>
      <protection locked="0"/>
    </xf>
    <xf numFmtId="0" fontId="55" fillId="0" borderId="134"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2" borderId="13" xfId="3" applyFont="1" applyFill="1" applyBorder="1" applyAlignment="1">
      <alignment horizontal="center" vertical="center" wrapText="1"/>
    </xf>
    <xf numFmtId="0" fontId="63" fillId="12" borderId="21" xfId="3" applyFont="1" applyFill="1" applyBorder="1" applyAlignment="1">
      <alignment horizontal="center" vertical="center" wrapText="1"/>
    </xf>
    <xf numFmtId="0" fontId="63" fillId="12" borderId="14" xfId="3" applyFont="1" applyFill="1" applyBorder="1" applyAlignment="1">
      <alignment horizontal="center" vertical="center" wrapText="1"/>
    </xf>
    <xf numFmtId="0" fontId="55" fillId="0" borderId="0" xfId="3" applyFont="1" applyBorder="1" applyAlignment="1">
      <alignment wrapText="1"/>
    </xf>
    <xf numFmtId="0" fontId="107" fillId="0" borderId="112"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2" borderId="125" xfId="0" applyFont="1" applyFill="1" applyBorder="1" applyAlignment="1">
      <alignment horizontal="center" vertical="center"/>
    </xf>
    <xf numFmtId="0" fontId="110" fillId="12" borderId="128" xfId="0" applyFont="1" applyFill="1" applyBorder="1" applyAlignment="1">
      <alignment horizontal="center" vertical="center"/>
    </xf>
    <xf numFmtId="0" fontId="110" fillId="12" borderId="153" xfId="0" applyFont="1" applyFill="1" applyBorder="1" applyAlignment="1">
      <alignment horizontal="center" vertical="center"/>
    </xf>
    <xf numFmtId="164" fontId="110" fillId="12" borderId="17" xfId="0" applyNumberFormat="1" applyFont="1" applyFill="1" applyBorder="1" applyAlignment="1">
      <alignment horizontal="center" vertical="center"/>
    </xf>
    <xf numFmtId="164" fontId="110" fillId="12" borderId="0" xfId="0" applyNumberFormat="1" applyFont="1" applyFill="1" applyBorder="1" applyAlignment="1">
      <alignment horizontal="center" vertical="center"/>
    </xf>
    <xf numFmtId="164" fontId="110" fillId="12" borderId="63" xfId="0" applyNumberFormat="1" applyFont="1" applyFill="1" applyBorder="1" applyAlignment="1">
      <alignment horizontal="center" vertical="center"/>
    </xf>
    <xf numFmtId="164" fontId="59" fillId="12" borderId="125" xfId="0" applyNumberFormat="1" applyFont="1" applyFill="1" applyBorder="1" applyAlignment="1">
      <alignment horizontal="center" vertical="top"/>
    </xf>
    <xf numFmtId="164" fontId="111" fillId="12" borderId="128" xfId="0" applyNumberFormat="1" applyFont="1" applyFill="1" applyBorder="1" applyAlignment="1">
      <alignment horizontal="center" vertical="top"/>
    </xf>
    <xf numFmtId="164" fontId="111" fillId="12" borderId="153"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8" xfId="0" applyNumberFormat="1" applyFont="1" applyBorder="1" applyAlignment="1">
      <alignment horizontal="left" vertical="center" wrapText="1"/>
    </xf>
    <xf numFmtId="0" fontId="55" fillId="0" borderId="126"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6" xfId="3" applyNumberFormat="1" applyFont="1" applyBorder="1" applyProtection="1"/>
    <xf numFmtId="0" fontId="53" fillId="0" borderId="147"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7" xfId="3" applyNumberFormat="1" applyFont="1" applyBorder="1" applyAlignment="1" applyProtection="1">
      <alignment horizontal="left" indent="1"/>
      <protection locked="0"/>
    </xf>
    <xf numFmtId="0" fontId="63" fillId="0" borderId="147" xfId="3"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49" xfId="3" applyNumberFormat="1" applyFont="1" applyBorder="1" applyAlignment="1" applyProtection="1">
      <protection locked="0"/>
    </xf>
    <xf numFmtId="0" fontId="63" fillId="0" borderId="150"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2" fillId="0" borderId="149"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0"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9" xfId="3" applyNumberFormat="1" applyFont="1" applyBorder="1" applyProtection="1">
      <protection locked="0"/>
    </xf>
    <xf numFmtId="6" fontId="60" fillId="0" borderId="150"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49"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0"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9" xfId="3" applyFont="1" applyBorder="1" applyAlignment="1" applyProtection="1">
      <alignment horizontal="center"/>
    </xf>
    <xf numFmtId="0" fontId="60" fillId="0" borderId="76" xfId="3" applyFont="1" applyBorder="1" applyAlignment="1" applyProtection="1">
      <alignment horizontal="center"/>
    </xf>
    <xf numFmtId="0" fontId="60" fillId="0" borderId="150" xfId="3" applyFont="1" applyBorder="1" applyAlignment="1" applyProtection="1">
      <alignment horizontal="center"/>
    </xf>
    <xf numFmtId="38" fontId="60" fillId="0" borderId="149"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0"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4"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649432</xdr:colOff>
          <xdr:row>4</xdr:row>
          <xdr:rowOff>8660</xdr:rowOff>
        </xdr:from>
        <xdr:to>
          <xdr:col>1</xdr:col>
          <xdr:colOff>1563832</xdr:colOff>
          <xdr:row>8</xdr:row>
          <xdr:rowOff>46760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14" t="s">
        <v>405</v>
      </c>
      <c r="J1" s="2015"/>
      <c r="K1" s="2015"/>
      <c r="L1" s="2015"/>
      <c r="M1" s="2015"/>
      <c r="N1" s="2015"/>
      <c r="O1" s="2015"/>
      <c r="P1" s="2015"/>
      <c r="Q1" s="2015"/>
      <c r="R1" s="2015"/>
      <c r="S1" s="2015"/>
    </row>
    <row r="2" spans="1:28" ht="12" customHeight="1" x14ac:dyDescent="0.2">
      <c r="A2" s="47" t="s">
        <v>1993</v>
      </c>
      <c r="D2" s="48"/>
      <c r="I2" s="2016" t="s">
        <v>979</v>
      </c>
      <c r="J2" s="2015"/>
      <c r="K2" s="2015"/>
      <c r="L2" s="2015"/>
      <c r="M2" s="2015"/>
      <c r="N2" s="2015"/>
      <c r="O2" s="2015"/>
      <c r="P2" s="2015"/>
      <c r="Q2" s="2015"/>
      <c r="R2" s="2015"/>
      <c r="S2" s="2015"/>
    </row>
    <row r="3" spans="1:28" ht="12" customHeight="1" x14ac:dyDescent="0.2">
      <c r="A3" s="155" t="s">
        <v>1945</v>
      </c>
      <c r="B3" s="156"/>
      <c r="C3" s="156"/>
      <c r="D3" s="157"/>
      <c r="I3" s="2016" t="s">
        <v>52</v>
      </c>
      <c r="J3" s="2015"/>
      <c r="K3" s="2015"/>
      <c r="L3" s="2015"/>
      <c r="M3" s="2015"/>
      <c r="N3" s="2015"/>
      <c r="O3" s="2015"/>
      <c r="P3" s="2015"/>
      <c r="Q3" s="2015"/>
      <c r="R3" s="2015"/>
      <c r="S3" s="2015"/>
    </row>
    <row r="4" spans="1:28" ht="12" customHeight="1" x14ac:dyDescent="0.2">
      <c r="A4" s="37"/>
      <c r="I4" s="2016" t="s">
        <v>524</v>
      </c>
      <c r="J4" s="2015"/>
      <c r="K4" s="2015"/>
      <c r="L4" s="2015"/>
      <c r="M4" s="2015"/>
      <c r="N4" s="2015"/>
      <c r="O4" s="2015"/>
      <c r="P4" s="2015"/>
      <c r="Q4" s="2015"/>
      <c r="R4" s="2015"/>
      <c r="S4" s="2015"/>
    </row>
    <row r="5" spans="1:28" ht="14.1" customHeight="1" x14ac:dyDescent="0.2">
      <c r="B5" s="104" t="s">
        <v>2064</v>
      </c>
      <c r="C5" s="26" t="s">
        <v>910</v>
      </c>
      <c r="D5" s="84"/>
      <c r="E5" s="84"/>
      <c r="H5" s="38"/>
      <c r="I5" s="2023" t="s">
        <v>680</v>
      </c>
      <c r="J5" s="1968"/>
      <c r="K5" s="1968"/>
      <c r="L5" s="1968"/>
      <c r="M5" s="1968"/>
      <c r="N5" s="1968"/>
      <c r="O5" s="1968"/>
      <c r="P5" s="1968"/>
      <c r="Q5" s="1968"/>
      <c r="R5" s="1968"/>
      <c r="S5" s="1968"/>
    </row>
    <row r="6" spans="1:28" ht="14.1" customHeight="1" x14ac:dyDescent="0.2">
      <c r="B6" s="104"/>
      <c r="C6" s="26" t="s">
        <v>911</v>
      </c>
      <c r="D6" s="84"/>
      <c r="E6" s="84"/>
      <c r="I6" s="2022" t="s">
        <v>883</v>
      </c>
      <c r="J6" s="1968"/>
      <c r="K6" s="1968"/>
      <c r="L6" s="1968"/>
      <c r="M6" s="1968"/>
      <c r="N6" s="1968"/>
      <c r="O6" s="1968"/>
      <c r="P6" s="1968"/>
      <c r="Q6" s="1968"/>
      <c r="R6" s="1968"/>
      <c r="S6" s="1968"/>
    </row>
    <row r="7" spans="1:28" ht="12.2" customHeight="1" x14ac:dyDescent="0.2">
      <c r="I7" s="2017">
        <v>43646</v>
      </c>
      <c r="J7" s="2018"/>
      <c r="K7" s="2018"/>
      <c r="L7" s="2018"/>
      <c r="M7" s="2018"/>
      <c r="N7" s="2018"/>
      <c r="O7" s="2018"/>
      <c r="P7" s="2018"/>
      <c r="Q7" s="2018"/>
      <c r="R7" s="2018"/>
      <c r="S7" s="201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9" t="s">
        <v>674</v>
      </c>
      <c r="J9" s="2020"/>
      <c r="K9" s="2020"/>
      <c r="L9" s="2020"/>
      <c r="M9" s="2020"/>
      <c r="N9" s="2020"/>
      <c r="O9" s="2020"/>
      <c r="P9" s="2020"/>
      <c r="Q9" s="2020"/>
      <c r="R9" s="2020"/>
      <c r="S9" s="2021"/>
      <c r="T9" s="1964" t="s">
        <v>533</v>
      </c>
      <c r="U9" s="1965"/>
      <c r="V9" s="1965"/>
      <c r="W9" s="1965"/>
      <c r="X9" s="1965"/>
      <c r="Y9" s="1965"/>
      <c r="Z9" s="1965"/>
      <c r="AA9" s="1966"/>
    </row>
    <row r="10" spans="1:28" ht="13.5" customHeight="1" x14ac:dyDescent="0.2">
      <c r="A10" s="1973" t="s">
        <v>675</v>
      </c>
      <c r="B10" s="1974"/>
      <c r="C10" s="1974"/>
      <c r="D10" s="1974"/>
      <c r="E10" s="1974"/>
      <c r="F10" s="1974"/>
      <c r="G10" s="1974"/>
      <c r="H10" s="1975"/>
      <c r="I10" s="29"/>
      <c r="J10" s="30"/>
      <c r="K10" s="28"/>
      <c r="R10" s="30"/>
      <c r="S10" s="30"/>
      <c r="T10" s="1967"/>
      <c r="U10" s="1968"/>
      <c r="V10" s="1968"/>
      <c r="W10" s="1968"/>
      <c r="X10" s="1968"/>
      <c r="Y10" s="1968"/>
      <c r="Z10" s="1968"/>
      <c r="AA10" s="1969"/>
    </row>
    <row r="11" spans="1:28" ht="14.25" customHeight="1" x14ac:dyDescent="0.2">
      <c r="A11" s="1976" t="s">
        <v>955</v>
      </c>
      <c r="B11" s="1977"/>
      <c r="C11" s="1977"/>
      <c r="D11" s="1977"/>
      <c r="E11" s="1977"/>
      <c r="F11" s="1977"/>
      <c r="G11" s="1977"/>
      <c r="H11" s="1978"/>
      <c r="I11" s="27"/>
      <c r="J11" s="74"/>
      <c r="K11" s="27"/>
      <c r="O11" s="148" t="s">
        <v>2064</v>
      </c>
      <c r="P11" s="100" t="s">
        <v>201</v>
      </c>
      <c r="Q11" s="30"/>
      <c r="R11" s="28"/>
      <c r="S11" s="27"/>
      <c r="T11" s="1970"/>
      <c r="U11" s="1971"/>
      <c r="V11" s="1971"/>
      <c r="W11" s="1971"/>
      <c r="X11" s="1971"/>
      <c r="Y11" s="1971"/>
      <c r="Z11" s="1971"/>
      <c r="AA11" s="1972"/>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84">
        <v>30091084026</v>
      </c>
      <c r="B13" s="1985"/>
      <c r="C13" s="1985"/>
      <c r="D13" s="1985"/>
      <c r="E13" s="1985"/>
      <c r="F13" s="1985"/>
      <c r="G13" s="1985"/>
      <c r="H13" s="1986"/>
      <c r="I13" s="31"/>
      <c r="J13" s="30"/>
      <c r="K13" s="28"/>
      <c r="L13" s="30"/>
      <c r="M13" s="30"/>
      <c r="N13" s="30"/>
      <c r="O13" s="30"/>
      <c r="P13" s="30"/>
      <c r="Q13" s="30"/>
      <c r="R13" s="30"/>
      <c r="S13" s="30"/>
      <c r="T13" s="1989" t="s">
        <v>2065</v>
      </c>
      <c r="U13" s="1990"/>
      <c r="V13" s="1990"/>
      <c r="W13" s="1990"/>
      <c r="X13" s="1990"/>
      <c r="Y13" s="1991"/>
      <c r="Z13" s="1991"/>
      <c r="AA13" s="1992"/>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2" t="s">
        <v>2074</v>
      </c>
      <c r="B15" s="1987"/>
      <c r="C15" s="1987"/>
      <c r="D15" s="1987"/>
      <c r="E15" s="1987"/>
      <c r="F15" s="1987"/>
      <c r="G15" s="1987"/>
      <c r="H15" s="1988"/>
      <c r="T15" s="1950" t="s">
        <v>2066</v>
      </c>
      <c r="U15" s="1951"/>
      <c r="V15" s="1951"/>
      <c r="W15" s="1951"/>
      <c r="X15" s="1951"/>
      <c r="Y15" s="1993"/>
      <c r="Z15" s="1993"/>
      <c r="AA15" s="1994"/>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2" t="s">
        <v>2093</v>
      </c>
      <c r="B17" s="2012"/>
      <c r="C17" s="2012"/>
      <c r="D17" s="2012"/>
      <c r="E17" s="2012"/>
      <c r="F17" s="2012"/>
      <c r="G17" s="2012"/>
      <c r="H17" s="2013"/>
      <c r="T17" s="1999" t="s">
        <v>2067</v>
      </c>
      <c r="U17" s="2000"/>
      <c r="V17" s="2000"/>
      <c r="W17" s="2000"/>
      <c r="X17" s="2000"/>
      <c r="Y17" s="2000"/>
      <c r="Z17" s="2000"/>
      <c r="AA17" s="2001"/>
    </row>
    <row r="18" spans="1:27" ht="13.5" customHeight="1" x14ac:dyDescent="0.2">
      <c r="A18" s="85" t="s">
        <v>530</v>
      </c>
      <c r="B18" s="76"/>
      <c r="C18" s="72"/>
      <c r="D18" s="76"/>
      <c r="E18" s="76"/>
      <c r="F18" s="76"/>
      <c r="G18" s="76"/>
      <c r="H18" s="56"/>
      <c r="I18" s="2009" t="s">
        <v>676</v>
      </c>
      <c r="J18" s="2010"/>
      <c r="K18" s="2010"/>
      <c r="L18" s="2010"/>
      <c r="M18" s="2010"/>
      <c r="N18" s="2010"/>
      <c r="O18" s="2010"/>
      <c r="P18" s="2010"/>
      <c r="Q18" s="2010"/>
      <c r="R18" s="2010"/>
      <c r="S18" s="2011"/>
      <c r="T18" s="85" t="s">
        <v>711</v>
      </c>
      <c r="U18" s="51"/>
      <c r="V18" s="72"/>
      <c r="W18" s="50"/>
      <c r="X18" s="85" t="s">
        <v>266</v>
      </c>
      <c r="Y18" s="81"/>
      <c r="Z18" s="159" t="s">
        <v>677</v>
      </c>
      <c r="AA18" s="46"/>
    </row>
    <row r="19" spans="1:27" ht="13.5" customHeight="1" x14ac:dyDescent="0.2">
      <c r="A19" s="1982" t="s">
        <v>2075</v>
      </c>
      <c r="B19" s="1983"/>
      <c r="C19" s="1983"/>
      <c r="D19" s="1983"/>
      <c r="E19" s="1983"/>
      <c r="F19" s="1983"/>
      <c r="G19" s="1983"/>
      <c r="H19" s="1981"/>
      <c r="I19" s="30"/>
      <c r="J19" s="99"/>
      <c r="K19" s="40"/>
      <c r="L19" s="38"/>
      <c r="M19" s="112" t="s">
        <v>315</v>
      </c>
      <c r="P19" s="27"/>
      <c r="Q19" s="27"/>
      <c r="R19" s="27"/>
      <c r="S19" s="31"/>
      <c r="T19" s="1982" t="s">
        <v>2068</v>
      </c>
      <c r="U19" s="1980"/>
      <c r="V19" s="1980"/>
      <c r="W19" s="1981"/>
      <c r="X19" s="1997" t="s">
        <v>2069</v>
      </c>
      <c r="Y19" s="1998"/>
      <c r="Z19" s="1995">
        <v>62906</v>
      </c>
      <c r="AA19" s="1996"/>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79" t="s">
        <v>2076</v>
      </c>
      <c r="B21" s="1980"/>
      <c r="C21" s="1980"/>
      <c r="D21" s="1980"/>
      <c r="E21" s="1980"/>
      <c r="F21" s="1980"/>
      <c r="G21" s="1980"/>
      <c r="H21" s="1981"/>
      <c r="I21" s="2005" t="s">
        <v>678</v>
      </c>
      <c r="J21" s="1968"/>
      <c r="K21" s="1968"/>
      <c r="L21" s="1968"/>
      <c r="M21" s="1968"/>
      <c r="N21" s="1968"/>
      <c r="O21" s="1968"/>
      <c r="P21" s="1968"/>
      <c r="Q21" s="1968"/>
      <c r="R21" s="1968"/>
      <c r="S21" s="1969"/>
      <c r="T21" s="1947" t="s">
        <v>2070</v>
      </c>
      <c r="U21" s="1948"/>
      <c r="V21" s="1948"/>
      <c r="W21" s="1948"/>
      <c r="X21" s="1961" t="s">
        <v>2071</v>
      </c>
      <c r="Y21" s="1962"/>
      <c r="Z21" s="1962"/>
      <c r="AA21" s="1963"/>
    </row>
    <row r="22" spans="1:27" ht="13.5" customHeight="1" x14ac:dyDescent="0.2">
      <c r="A22" s="87" t="s">
        <v>531</v>
      </c>
      <c r="B22" s="59"/>
      <c r="C22" s="59"/>
      <c r="D22" s="59"/>
      <c r="E22" s="59"/>
      <c r="F22" s="59"/>
      <c r="G22" s="59"/>
      <c r="H22" s="60"/>
      <c r="I22" s="2006" t="s">
        <v>1429</v>
      </c>
      <c r="J22" s="2007"/>
      <c r="K22" s="2007"/>
      <c r="L22" s="2007"/>
      <c r="M22" s="2007"/>
      <c r="N22" s="2007"/>
      <c r="O22" s="2007"/>
      <c r="P22" s="2007"/>
      <c r="Q22" s="2007"/>
      <c r="R22" s="2007"/>
      <c r="S22" s="2008"/>
      <c r="T22" s="85" t="s">
        <v>1516</v>
      </c>
      <c r="U22" s="51"/>
      <c r="V22" s="72"/>
      <c r="W22" s="51"/>
      <c r="X22" s="160" t="s">
        <v>1318</v>
      </c>
      <c r="Z22" s="45"/>
      <c r="AA22" s="46"/>
    </row>
    <row r="23" spans="1:27" ht="13.5" customHeight="1" x14ac:dyDescent="0.2">
      <c r="A23" s="2002"/>
      <c r="B23" s="2003"/>
      <c r="C23" s="2003"/>
      <c r="D23" s="2003"/>
      <c r="E23" s="2003"/>
      <c r="F23" s="2003"/>
      <c r="G23" s="2003"/>
      <c r="H23" s="2004"/>
      <c r="T23" s="1942" t="s">
        <v>2072</v>
      </c>
      <c r="U23" s="1943"/>
      <c r="V23" s="1943"/>
      <c r="W23" s="1943"/>
      <c r="X23" s="1958">
        <v>44530</v>
      </c>
      <c r="Y23" s="1959"/>
      <c r="Z23" s="1959"/>
      <c r="AA23" s="1960"/>
    </row>
    <row r="24" spans="1:27" ht="14.1" customHeight="1" x14ac:dyDescent="0.2">
      <c r="A24" s="88" t="s">
        <v>677</v>
      </c>
      <c r="B24" s="49"/>
      <c r="C24" s="49"/>
      <c r="D24" s="49"/>
      <c r="E24" s="49"/>
      <c r="F24" s="49"/>
      <c r="G24" s="49"/>
      <c r="H24" s="61"/>
      <c r="J24" s="2044">
        <f>IF(B5="x",IF(AUDITCHECK!D29="AFR form Incomplete.","",IF(AUDITCHECK!D29="Deficit reduction plan is required.","School District must complete a deficit reduction plan in the 2019-2020 Budget",)),"")</f>
        <v>0</v>
      </c>
      <c r="K24" s="2044"/>
      <c r="L24" s="2044"/>
      <c r="M24" s="2044"/>
      <c r="N24" s="2044"/>
      <c r="O24" s="2044"/>
      <c r="P24" s="2044"/>
      <c r="Q24" s="2044"/>
      <c r="R24" s="2044"/>
      <c r="S24" s="2045"/>
      <c r="T24" s="105" t="s">
        <v>531</v>
      </c>
      <c r="U24" s="106"/>
      <c r="V24" s="106"/>
      <c r="W24" s="106"/>
      <c r="X24" s="107"/>
      <c r="Y24" s="107"/>
      <c r="Z24" s="107"/>
      <c r="AA24" s="108"/>
    </row>
    <row r="25" spans="1:27" ht="14.1" customHeight="1" x14ac:dyDescent="0.2">
      <c r="A25" s="1979">
        <v>62998</v>
      </c>
      <c r="B25" s="1980"/>
      <c r="C25" s="1980"/>
      <c r="D25" s="1980"/>
      <c r="E25" s="1980"/>
      <c r="F25" s="1980"/>
      <c r="G25" s="1980"/>
      <c r="H25" s="1981"/>
      <c r="I25" s="113"/>
      <c r="J25" s="2046"/>
      <c r="K25" s="2046"/>
      <c r="L25" s="2046"/>
      <c r="M25" s="2046"/>
      <c r="N25" s="2046"/>
      <c r="O25" s="2046"/>
      <c r="P25" s="2046"/>
      <c r="Q25" s="2046"/>
      <c r="R25" s="2046"/>
      <c r="S25" s="2047"/>
      <c r="T25" s="1939" t="s">
        <v>2073</v>
      </c>
      <c r="U25" s="1940"/>
      <c r="V25" s="1940"/>
      <c r="W25" s="1940"/>
      <c r="X25" s="1940"/>
      <c r="Y25" s="1940"/>
      <c r="Z25" s="1940"/>
      <c r="AA25" s="194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37" t="s">
        <v>1511</v>
      </c>
      <c r="J27" s="2010"/>
      <c r="K27" s="2010"/>
      <c r="L27" s="2010"/>
      <c r="M27" s="2010"/>
      <c r="N27" s="2010"/>
      <c r="O27" s="2010"/>
      <c r="P27" s="2010"/>
      <c r="Q27" s="2010"/>
      <c r="R27" s="2010"/>
      <c r="S27" s="2011"/>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2064</v>
      </c>
      <c r="M29" s="40" t="s">
        <v>99</v>
      </c>
      <c r="N29" s="32" t="s">
        <v>1523</v>
      </c>
      <c r="O29" s="32"/>
      <c r="P29" s="32"/>
      <c r="Q29" s="32"/>
      <c r="R29" s="32"/>
      <c r="S29" s="123"/>
      <c r="T29" s="6"/>
      <c r="U29" s="6"/>
      <c r="V29" s="6"/>
      <c r="W29" s="6"/>
      <c r="X29" s="6"/>
      <c r="Y29" s="6"/>
      <c r="Z29" s="6"/>
      <c r="AA29" s="132"/>
    </row>
    <row r="30" spans="1:27" ht="13.5" customHeight="1" x14ac:dyDescent="0.2">
      <c r="A30" s="153"/>
      <c r="B30" s="136" t="s">
        <v>2064</v>
      </c>
      <c r="C30" s="124" t="s">
        <v>1164</v>
      </c>
      <c r="D30" s="28"/>
      <c r="E30" s="28"/>
      <c r="F30" s="140"/>
      <c r="G30" s="114"/>
      <c r="H30" s="114"/>
      <c r="I30" s="54"/>
      <c r="J30" s="102"/>
      <c r="K30" s="28" t="s">
        <v>576</v>
      </c>
      <c r="L30" s="148" t="s">
        <v>2064</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2064</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3"/>
      <c r="Q35" s="1980"/>
      <c r="R35" s="198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2" t="s">
        <v>2077</v>
      </c>
      <c r="B38" s="2012"/>
      <c r="C38" s="2012"/>
      <c r="D38" s="2012"/>
      <c r="E38" s="2012"/>
      <c r="F38" s="1980"/>
      <c r="G38" s="1980"/>
      <c r="H38" s="1981"/>
      <c r="I38" s="2031"/>
      <c r="J38" s="1951"/>
      <c r="K38" s="1951"/>
      <c r="L38" s="1951"/>
      <c r="M38" s="1951"/>
      <c r="N38" s="1951"/>
      <c r="O38" s="1951"/>
      <c r="P38" s="1952"/>
      <c r="Q38" s="1952"/>
      <c r="R38" s="1952"/>
      <c r="S38" s="1953"/>
      <c r="T38" s="1950"/>
      <c r="U38" s="1951"/>
      <c r="V38" s="1951"/>
      <c r="W38" s="1951"/>
      <c r="X38" s="1952"/>
      <c r="Y38" s="1952"/>
      <c r="Z38" s="1952"/>
      <c r="AA38" s="1953"/>
    </row>
    <row r="39" spans="1:27" ht="12" customHeight="1" x14ac:dyDescent="0.2">
      <c r="A39" s="2035" t="s">
        <v>531</v>
      </c>
      <c r="B39" s="2036"/>
      <c r="C39" s="72"/>
      <c r="D39" s="69"/>
      <c r="E39" s="69"/>
      <c r="F39" s="79"/>
      <c r="G39" s="69"/>
      <c r="H39" s="56"/>
      <c r="I39" s="2035" t="s">
        <v>531</v>
      </c>
      <c r="J39" s="2036"/>
      <c r="K39" s="2036"/>
      <c r="L39" s="2036"/>
      <c r="M39" s="2036"/>
      <c r="N39" s="67"/>
      <c r="O39" s="72"/>
      <c r="P39" s="72"/>
      <c r="Q39" s="78"/>
      <c r="R39" s="72"/>
      <c r="S39" s="56"/>
      <c r="T39" s="72" t="s">
        <v>531</v>
      </c>
      <c r="U39" s="51"/>
      <c r="V39" s="72"/>
      <c r="W39" s="50"/>
      <c r="X39" s="78"/>
      <c r="Y39" s="45"/>
      <c r="Z39" s="45"/>
      <c r="AA39" s="46"/>
    </row>
    <row r="40" spans="1:27" ht="13.5" customHeight="1" x14ac:dyDescent="0.2">
      <c r="A40" s="2038" t="s">
        <v>2078</v>
      </c>
      <c r="B40" s="2039"/>
      <c r="C40" s="2040"/>
      <c r="D40" s="2040"/>
      <c r="E40" s="2040"/>
      <c r="F40" s="2041"/>
      <c r="G40" s="2041"/>
      <c r="H40" s="2042"/>
      <c r="I40" s="1954"/>
      <c r="J40" s="1956"/>
      <c r="K40" s="1956"/>
      <c r="L40" s="1956"/>
      <c r="M40" s="1956"/>
      <c r="N40" s="1956"/>
      <c r="O40" s="1956"/>
      <c r="P40" s="1956"/>
      <c r="Q40" s="1956"/>
      <c r="R40" s="1956"/>
      <c r="S40" s="1957"/>
      <c r="T40" s="1954"/>
      <c r="U40" s="1955"/>
      <c r="V40" s="1956"/>
      <c r="W40" s="1956"/>
      <c r="X40" s="1956"/>
      <c r="Y40" s="1956"/>
      <c r="Z40" s="1956"/>
      <c r="AA40" s="1957"/>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28" t="s">
        <v>2079</v>
      </c>
      <c r="B42" s="2029"/>
      <c r="C42" s="2030"/>
      <c r="D42" s="2043" t="s">
        <v>2080</v>
      </c>
      <c r="E42" s="2029"/>
      <c r="F42" s="2029"/>
      <c r="G42" s="2029"/>
      <c r="H42" s="2030"/>
      <c r="I42" s="1949"/>
      <c r="J42" s="1945"/>
      <c r="K42" s="1945"/>
      <c r="L42" s="1945"/>
      <c r="M42" s="1945"/>
      <c r="N42" s="1945"/>
      <c r="O42" s="1946"/>
      <c r="P42" s="1944"/>
      <c r="Q42" s="1945"/>
      <c r="R42" s="1945"/>
      <c r="S42" s="1946"/>
      <c r="T42" s="1949"/>
      <c r="U42" s="1945"/>
      <c r="V42" s="1945"/>
      <c r="W42" s="1946"/>
      <c r="X42" s="1944"/>
      <c r="Y42" s="1945"/>
      <c r="Z42" s="1945"/>
      <c r="AA42" s="1946"/>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2"/>
      <c r="B44" s="2033"/>
      <c r="C44" s="2033"/>
      <c r="D44" s="2033"/>
      <c r="E44" s="2033"/>
      <c r="F44" s="2033"/>
      <c r="G44" s="2033"/>
      <c r="H44" s="2034"/>
      <c r="I44" s="2024"/>
      <c r="J44" s="2026"/>
      <c r="K44" s="2026"/>
      <c r="L44" s="2026"/>
      <c r="M44" s="2026"/>
      <c r="N44" s="2026"/>
      <c r="O44" s="2026"/>
      <c r="P44" s="2026"/>
      <c r="Q44" s="2026"/>
      <c r="R44" s="2026"/>
      <c r="S44" s="2027"/>
      <c r="T44" s="2024"/>
      <c r="U44" s="2025"/>
      <c r="V44" s="2025"/>
      <c r="W44" s="2025"/>
      <c r="X44" s="2025"/>
      <c r="Y44" s="2025"/>
      <c r="Z44" s="2026"/>
      <c r="AA44" s="2027"/>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E19" sqref="E19"/>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1" t="s">
        <v>1802</v>
      </c>
      <c r="B2" s="1528" t="s">
        <v>1951</v>
      </c>
      <c r="C2" s="714" t="s">
        <v>1952</v>
      </c>
      <c r="D2" s="714" t="s">
        <v>1953</v>
      </c>
      <c r="E2" s="714" t="s">
        <v>1954</v>
      </c>
      <c r="F2" s="714" t="s">
        <v>1955</v>
      </c>
    </row>
    <row r="3" spans="1:6" ht="12" customHeight="1" x14ac:dyDescent="0.2">
      <c r="A3" s="2182"/>
      <c r="B3" s="1525"/>
      <c r="C3" s="1526"/>
      <c r="D3" s="1527" t="s">
        <v>256</v>
      </c>
      <c r="E3" s="1526"/>
      <c r="F3" s="1527" t="s">
        <v>257</v>
      </c>
    </row>
    <row r="4" spans="1:6" ht="13.7" customHeight="1" x14ac:dyDescent="0.2">
      <c r="A4" s="715" t="s">
        <v>1155</v>
      </c>
      <c r="B4" s="1749">
        <f>'Revenues 9-14'!C5</f>
        <v>1285541</v>
      </c>
      <c r="C4" s="1524">
        <v>0</v>
      </c>
      <c r="D4" s="1752">
        <f>B4-C4</f>
        <v>1285541</v>
      </c>
      <c r="E4" s="1524">
        <v>1269184</v>
      </c>
      <c r="F4" s="1752">
        <f>E4-C4</f>
        <v>1269184</v>
      </c>
    </row>
    <row r="5" spans="1:6" ht="13.7" customHeight="1" x14ac:dyDescent="0.2">
      <c r="A5" s="715" t="s">
        <v>870</v>
      </c>
      <c r="B5" s="1750">
        <f>'Revenues 9-14'!D5</f>
        <v>308652</v>
      </c>
      <c r="C5" s="585">
        <v>0</v>
      </c>
      <c r="D5" s="1753">
        <f t="shared" ref="D5:D18" si="0">B5-C5</f>
        <v>308652</v>
      </c>
      <c r="E5" s="585">
        <v>303632</v>
      </c>
      <c r="F5" s="1753">
        <f>E5-C5</f>
        <v>303632</v>
      </c>
    </row>
    <row r="6" spans="1:6" ht="13.7" customHeight="1" x14ac:dyDescent="0.2">
      <c r="A6" s="715" t="s">
        <v>411</v>
      </c>
      <c r="B6" s="1750">
        <f>'Revenues 9-14'!E5</f>
        <v>537944</v>
      </c>
      <c r="C6" s="585">
        <v>0</v>
      </c>
      <c r="D6" s="1753">
        <f t="shared" si="0"/>
        <v>537944</v>
      </c>
      <c r="E6" s="585">
        <v>547792</v>
      </c>
      <c r="F6" s="1753">
        <f t="shared" ref="F6:F18" si="1">E6-C6</f>
        <v>547792</v>
      </c>
    </row>
    <row r="7" spans="1:6" ht="13.7" customHeight="1" x14ac:dyDescent="0.2">
      <c r="A7" s="715" t="s">
        <v>155</v>
      </c>
      <c r="B7" s="1750">
        <f>'Revenues 9-14'!F5</f>
        <v>123461</v>
      </c>
      <c r="C7" s="585">
        <v>0</v>
      </c>
      <c r="D7" s="1753">
        <f t="shared" si="0"/>
        <v>123461</v>
      </c>
      <c r="E7" s="585">
        <v>121453</v>
      </c>
      <c r="F7" s="1753">
        <f t="shared" si="1"/>
        <v>121453</v>
      </c>
    </row>
    <row r="8" spans="1:6" ht="13.7" customHeight="1" x14ac:dyDescent="0.2">
      <c r="A8" s="715" t="s">
        <v>1179</v>
      </c>
      <c r="B8" s="1750">
        <f>'Revenues 9-14'!G5</f>
        <v>32741</v>
      </c>
      <c r="C8" s="585">
        <v>0</v>
      </c>
      <c r="D8" s="1753">
        <f t="shared" si="0"/>
        <v>32741</v>
      </c>
      <c r="E8" s="585">
        <v>48915</v>
      </c>
      <c r="F8" s="1753">
        <f t="shared" si="1"/>
        <v>48915</v>
      </c>
    </row>
    <row r="9" spans="1:6" ht="13.7" customHeight="1" x14ac:dyDescent="0.2">
      <c r="A9" s="715" t="s">
        <v>408</v>
      </c>
      <c r="B9" s="1750">
        <f>'Revenues 9-14'!H5</f>
        <v>0</v>
      </c>
      <c r="C9" s="585">
        <v>0</v>
      </c>
      <c r="D9" s="1753">
        <f t="shared" si="0"/>
        <v>0</v>
      </c>
      <c r="E9" s="585">
        <v>0</v>
      </c>
      <c r="F9" s="1753">
        <f t="shared" si="1"/>
        <v>0</v>
      </c>
    </row>
    <row r="10" spans="1:6" ht="13.7" customHeight="1" x14ac:dyDescent="0.2">
      <c r="A10" s="715" t="s">
        <v>407</v>
      </c>
      <c r="B10" s="1750">
        <f>'Revenues 9-14'!I5</f>
        <v>30865</v>
      </c>
      <c r="C10" s="585">
        <v>0</v>
      </c>
      <c r="D10" s="1753">
        <f t="shared" si="0"/>
        <v>30865</v>
      </c>
      <c r="E10" s="585">
        <v>30363</v>
      </c>
      <c r="F10" s="1753">
        <f t="shared" si="1"/>
        <v>30363</v>
      </c>
    </row>
    <row r="11" spans="1:6" x14ac:dyDescent="0.2">
      <c r="A11" s="715" t="s">
        <v>409</v>
      </c>
      <c r="B11" s="1750">
        <f>'Revenues 9-14'!J5</f>
        <v>281562</v>
      </c>
      <c r="C11" s="585">
        <v>0</v>
      </c>
      <c r="D11" s="1753">
        <f t="shared" si="0"/>
        <v>281562</v>
      </c>
      <c r="E11" s="585">
        <v>244575</v>
      </c>
      <c r="F11" s="1753">
        <f t="shared" si="1"/>
        <v>244575</v>
      </c>
    </row>
    <row r="12" spans="1:6" ht="13.7" customHeight="1" x14ac:dyDescent="0.2">
      <c r="A12" s="715" t="s">
        <v>157</v>
      </c>
      <c r="B12" s="1750">
        <f>'Revenues 9-14'!K5</f>
        <v>30865</v>
      </c>
      <c r="C12" s="585">
        <v>0</v>
      </c>
      <c r="D12" s="1753">
        <f t="shared" si="0"/>
        <v>30865</v>
      </c>
      <c r="E12" s="585">
        <v>30363</v>
      </c>
      <c r="F12" s="1753">
        <f t="shared" si="1"/>
        <v>30363</v>
      </c>
    </row>
    <row r="13" spans="1:6" ht="13.7" customHeight="1" x14ac:dyDescent="0.2">
      <c r="A13" s="715" t="s">
        <v>936</v>
      </c>
      <c r="B13" s="1750">
        <f>SUM('Revenues 9-14'!C6:D6)</f>
        <v>0</v>
      </c>
      <c r="C13" s="585">
        <v>0</v>
      </c>
      <c r="D13" s="1753">
        <f t="shared" si="0"/>
        <v>0</v>
      </c>
      <c r="E13" s="585">
        <v>0</v>
      </c>
      <c r="F13" s="1753">
        <f t="shared" si="1"/>
        <v>0</v>
      </c>
    </row>
    <row r="14" spans="1:6" ht="13.7" customHeight="1" x14ac:dyDescent="0.2">
      <c r="A14" s="715" t="s">
        <v>410</v>
      </c>
      <c r="B14" s="1750">
        <f>SUM('Revenues 9-14'!C7:D7,'Revenues 9-14'!F7:H7)</f>
        <v>24693</v>
      </c>
      <c r="C14" s="585">
        <v>0</v>
      </c>
      <c r="D14" s="1753">
        <f t="shared" si="0"/>
        <v>24693</v>
      </c>
      <c r="E14" s="585">
        <v>24291</v>
      </c>
      <c r="F14" s="1753">
        <f t="shared" si="1"/>
        <v>24291</v>
      </c>
    </row>
    <row r="15" spans="1:6" ht="13.7" customHeight="1" x14ac:dyDescent="0.2">
      <c r="A15" s="715" t="s">
        <v>1158</v>
      </c>
      <c r="B15" s="1750">
        <f>SUM('Revenues 9-14'!D9:E9,'Revenues 9-14'!H9)</f>
        <v>0</v>
      </c>
      <c r="C15" s="585">
        <v>0</v>
      </c>
      <c r="D15" s="1753">
        <f t="shared" si="0"/>
        <v>0</v>
      </c>
      <c r="E15" s="585">
        <v>0</v>
      </c>
      <c r="F15" s="1753">
        <f t="shared" si="1"/>
        <v>0</v>
      </c>
    </row>
    <row r="16" spans="1:6" ht="13.7" customHeight="1" x14ac:dyDescent="0.2">
      <c r="A16" s="715" t="s">
        <v>1159</v>
      </c>
      <c r="B16" s="1750">
        <f>'Revenues 9-14'!G8</f>
        <v>35851</v>
      </c>
      <c r="C16" s="585">
        <v>0</v>
      </c>
      <c r="D16" s="1753">
        <f t="shared" si="0"/>
        <v>35851</v>
      </c>
      <c r="E16" s="585">
        <v>58901</v>
      </c>
      <c r="F16" s="1753">
        <f t="shared" si="1"/>
        <v>58901</v>
      </c>
    </row>
    <row r="17" spans="1:6" ht="13.7" customHeight="1" x14ac:dyDescent="0.2">
      <c r="A17" s="715" t="s">
        <v>1160</v>
      </c>
      <c r="B17" s="1750">
        <f>'Revenues 9-14'!C10</f>
        <v>0</v>
      </c>
      <c r="C17" s="585">
        <v>0</v>
      </c>
      <c r="D17" s="1753">
        <f t="shared" si="0"/>
        <v>0</v>
      </c>
      <c r="E17" s="585">
        <v>0</v>
      </c>
      <c r="F17" s="1753">
        <f t="shared" si="1"/>
        <v>0</v>
      </c>
    </row>
    <row r="18" spans="1:6" ht="13.7" customHeight="1" x14ac:dyDescent="0.2">
      <c r="A18" s="715" t="s">
        <v>762</v>
      </c>
      <c r="B18" s="1750">
        <f>SUM('Revenues 9-14'!C11:K11)</f>
        <v>0</v>
      </c>
      <c r="C18" s="585">
        <v>0</v>
      </c>
      <c r="D18" s="1753">
        <f t="shared" si="0"/>
        <v>0</v>
      </c>
      <c r="E18" s="585">
        <v>0</v>
      </c>
      <c r="F18" s="1753">
        <f t="shared" si="1"/>
        <v>0</v>
      </c>
    </row>
    <row r="19" spans="1:6" ht="13.7" customHeight="1" thickBot="1" x14ac:dyDescent="0.25">
      <c r="A19" s="1754" t="s">
        <v>1161</v>
      </c>
      <c r="B19" s="1751">
        <f>SUM(B4:B18)</f>
        <v>2692175</v>
      </c>
      <c r="C19" s="1751">
        <f>SUM(C4:C18)</f>
        <v>0</v>
      </c>
      <c r="D19" s="1751">
        <f>SUM(D4:D18)</f>
        <v>2692175</v>
      </c>
      <c r="E19" s="1751">
        <f>SUM(E4:E18)</f>
        <v>2679469</v>
      </c>
      <c r="F19" s="1751">
        <f>SUM(F4:F18)</f>
        <v>2679469</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4" colorId="8" zoomScale="110" zoomScaleNormal="110" workbookViewId="0">
      <selection activeCell="J33" sqref="J33"/>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87" t="s">
        <v>629</v>
      </c>
      <c r="B1" s="2188"/>
      <c r="C1" s="721"/>
    </row>
    <row r="2" spans="1:7" ht="33.75" x14ac:dyDescent="0.2">
      <c r="A2" s="2196" t="s">
        <v>1802</v>
      </c>
      <c r="B2" s="2197"/>
      <c r="C2" s="1884" t="s">
        <v>1956</v>
      </c>
      <c r="D2" s="723" t="s">
        <v>1957</v>
      </c>
      <c r="E2" s="723" t="s">
        <v>1958</v>
      </c>
      <c r="F2" s="1884" t="s">
        <v>1959</v>
      </c>
    </row>
    <row r="3" spans="1:7" ht="15.75" customHeight="1" x14ac:dyDescent="0.2">
      <c r="A3" s="2200" t="s">
        <v>1114</v>
      </c>
      <c r="B3" s="2201"/>
      <c r="C3" s="2189"/>
      <c r="D3" s="2190"/>
      <c r="E3" s="2190"/>
      <c r="F3" s="2191"/>
    </row>
    <row r="4" spans="1:7" ht="12.75" customHeight="1" thickBot="1" x14ac:dyDescent="0.25">
      <c r="A4" s="2198" t="s">
        <v>630</v>
      </c>
      <c r="B4" s="2199"/>
      <c r="C4" s="581">
        <v>0</v>
      </c>
      <c r="D4" s="581">
        <v>0</v>
      </c>
      <c r="E4" s="581">
        <v>0</v>
      </c>
      <c r="F4" s="1755">
        <f>SUM(C4+D4)-E4</f>
        <v>0</v>
      </c>
    </row>
    <row r="5" spans="1:7" ht="15.75" customHeight="1" thickTop="1" x14ac:dyDescent="0.2">
      <c r="A5" s="2183" t="s">
        <v>1110</v>
      </c>
      <c r="B5" s="2184"/>
      <c r="C5" s="2192"/>
      <c r="D5" s="2193"/>
      <c r="E5" s="2193"/>
      <c r="F5" s="2194"/>
    </row>
    <row r="6" spans="1:7" ht="12.75" customHeight="1" thickBot="1" x14ac:dyDescent="0.25">
      <c r="A6" s="724" t="s">
        <v>64</v>
      </c>
      <c r="B6" s="725"/>
      <c r="C6" s="726">
        <v>0</v>
      </c>
      <c r="D6" s="585">
        <v>0</v>
      </c>
      <c r="E6" s="726">
        <v>0</v>
      </c>
      <c r="F6" s="1755">
        <f t="shared" ref="F6:F14" si="0">SUM(C6+D6)-E6</f>
        <v>0</v>
      </c>
    </row>
    <row r="7" spans="1:7" ht="12.75" customHeight="1" thickTop="1" thickBot="1" x14ac:dyDescent="0.25">
      <c r="A7" s="724" t="s">
        <v>6</v>
      </c>
      <c r="B7" s="725"/>
      <c r="C7" s="726">
        <v>0</v>
      </c>
      <c r="D7" s="585">
        <v>0</v>
      </c>
      <c r="E7" s="726">
        <v>0</v>
      </c>
      <c r="F7" s="1755">
        <f t="shared" si="0"/>
        <v>0</v>
      </c>
    </row>
    <row r="8" spans="1:7" ht="12.75" customHeight="1" thickTop="1" thickBot="1" x14ac:dyDescent="0.25">
      <c r="A8" s="724" t="s">
        <v>508</v>
      </c>
      <c r="B8" s="725"/>
      <c r="C8" s="726">
        <v>0</v>
      </c>
      <c r="D8" s="585">
        <v>0</v>
      </c>
      <c r="E8" s="726">
        <v>0</v>
      </c>
      <c r="F8" s="1755">
        <f t="shared" si="0"/>
        <v>0</v>
      </c>
    </row>
    <row r="9" spans="1:7" ht="12.75" customHeight="1" thickTop="1" thickBot="1" x14ac:dyDescent="0.25">
      <c r="A9" s="724" t="s">
        <v>509</v>
      </c>
      <c r="B9" s="725"/>
      <c r="C9" s="726">
        <v>0</v>
      </c>
      <c r="D9" s="585">
        <v>0</v>
      </c>
      <c r="E9" s="726">
        <v>0</v>
      </c>
      <c r="F9" s="1755">
        <f t="shared" si="0"/>
        <v>0</v>
      </c>
    </row>
    <row r="10" spans="1:7" ht="12.75" customHeight="1" thickTop="1" thickBot="1" x14ac:dyDescent="0.25">
      <c r="A10" s="724" t="s">
        <v>510</v>
      </c>
      <c r="B10" s="725"/>
      <c r="C10" s="726">
        <v>0</v>
      </c>
      <c r="D10" s="585">
        <v>0</v>
      </c>
      <c r="E10" s="726">
        <v>0</v>
      </c>
      <c r="F10" s="1755">
        <f t="shared" si="0"/>
        <v>0</v>
      </c>
    </row>
    <row r="11" spans="1:7" ht="12.75" customHeight="1" thickTop="1" thickBot="1" x14ac:dyDescent="0.25">
      <c r="A11" s="724" t="s">
        <v>341</v>
      </c>
      <c r="B11" s="725"/>
      <c r="C11" s="726">
        <v>0</v>
      </c>
      <c r="D11" s="585">
        <v>0</v>
      </c>
      <c r="E11" s="726">
        <v>0</v>
      </c>
      <c r="F11" s="1755">
        <f t="shared" si="0"/>
        <v>0</v>
      </c>
    </row>
    <row r="12" spans="1:7" ht="12.75" customHeight="1" thickTop="1" thickBot="1" x14ac:dyDescent="0.25">
      <c r="A12" s="724" t="s">
        <v>1157</v>
      </c>
      <c r="B12" s="725"/>
      <c r="C12" s="726">
        <v>0</v>
      </c>
      <c r="D12" s="585">
        <v>0</v>
      </c>
      <c r="E12" s="726">
        <v>0</v>
      </c>
      <c r="F12" s="1755">
        <f t="shared" si="0"/>
        <v>0</v>
      </c>
    </row>
    <row r="13" spans="1:7" ht="12.75" customHeight="1" thickTop="1" thickBot="1" x14ac:dyDescent="0.25">
      <c r="A13" s="724" t="s">
        <v>388</v>
      </c>
      <c r="B13" s="725"/>
      <c r="C13" s="726">
        <v>0</v>
      </c>
      <c r="D13" s="585">
        <v>0</v>
      </c>
      <c r="E13" s="726">
        <v>0</v>
      </c>
      <c r="F13" s="1755">
        <f t="shared" si="0"/>
        <v>0</v>
      </c>
    </row>
    <row r="14" spans="1:7" ht="12.75" customHeight="1" thickTop="1" thickBot="1" x14ac:dyDescent="0.25">
      <c r="A14" s="724" t="s">
        <v>448</v>
      </c>
      <c r="B14" s="725"/>
      <c r="C14" s="726">
        <v>0</v>
      </c>
      <c r="D14" s="585">
        <v>0</v>
      </c>
      <c r="E14" s="726">
        <v>0</v>
      </c>
      <c r="F14" s="1755">
        <f t="shared" si="0"/>
        <v>0</v>
      </c>
    </row>
    <row r="15" spans="1:7" ht="14.25" thickTop="1" thickBot="1" x14ac:dyDescent="0.25">
      <c r="A15" s="2185" t="s">
        <v>631</v>
      </c>
      <c r="B15" s="2186"/>
      <c r="C15" s="1755">
        <f>SUM(C6:C14)</f>
        <v>0</v>
      </c>
      <c r="D15" s="1755">
        <f>SUM(D6:D14)</f>
        <v>0</v>
      </c>
      <c r="E15" s="1755">
        <f>SUM(E6:E14)</f>
        <v>0</v>
      </c>
      <c r="F15" s="1755">
        <f>SUM(F6:F14)</f>
        <v>0</v>
      </c>
      <c r="G15" s="552"/>
    </row>
    <row r="16" spans="1:7" s="202" customFormat="1" ht="15.75" customHeight="1" thickTop="1" x14ac:dyDescent="0.2">
      <c r="A16" s="2195" t="s">
        <v>1111</v>
      </c>
      <c r="B16" s="2184"/>
      <c r="C16" s="2192"/>
      <c r="D16" s="2193"/>
      <c r="E16" s="2193"/>
      <c r="F16" s="2194"/>
    </row>
    <row r="17" spans="1:11" ht="12.75" customHeight="1" thickBot="1" x14ac:dyDescent="0.25">
      <c r="A17" s="2208" t="s">
        <v>64</v>
      </c>
      <c r="B17" s="2209"/>
      <c r="C17" s="726">
        <v>0</v>
      </c>
      <c r="D17" s="585">
        <v>0</v>
      </c>
      <c r="E17" s="726">
        <v>0</v>
      </c>
      <c r="F17" s="1755">
        <f>SUM(C17+D17)-E17</f>
        <v>0</v>
      </c>
    </row>
    <row r="18" spans="1:11" ht="12.75" customHeight="1" thickTop="1" thickBot="1" x14ac:dyDescent="0.25">
      <c r="A18" s="2208" t="s">
        <v>6</v>
      </c>
      <c r="B18" s="2209"/>
      <c r="C18" s="726">
        <v>0</v>
      </c>
      <c r="D18" s="585">
        <v>0</v>
      </c>
      <c r="E18" s="726">
        <v>0</v>
      </c>
      <c r="F18" s="1755">
        <f>SUM(C18+D18)-E18</f>
        <v>0</v>
      </c>
    </row>
    <row r="19" spans="1:11" ht="12.75" customHeight="1" thickTop="1" thickBot="1" x14ac:dyDescent="0.25">
      <c r="A19" s="2208" t="s">
        <v>388</v>
      </c>
      <c r="B19" s="2209"/>
      <c r="C19" s="726">
        <v>0</v>
      </c>
      <c r="D19" s="585">
        <v>0</v>
      </c>
      <c r="E19" s="726">
        <v>0</v>
      </c>
      <c r="F19" s="1755">
        <f>SUM(C19+D19)-E19</f>
        <v>0</v>
      </c>
    </row>
    <row r="20" spans="1:11" ht="12.75" customHeight="1" thickTop="1" thickBot="1" x14ac:dyDescent="0.25">
      <c r="A20" s="2208" t="s">
        <v>448</v>
      </c>
      <c r="B20" s="2209"/>
      <c r="C20" s="726">
        <v>0</v>
      </c>
      <c r="D20" s="585">
        <v>0</v>
      </c>
      <c r="E20" s="726">
        <v>0</v>
      </c>
      <c r="F20" s="1755">
        <f>SUM(C20+D20)-E20</f>
        <v>0</v>
      </c>
    </row>
    <row r="21" spans="1:11" ht="14.25" thickTop="1" thickBot="1" x14ac:dyDescent="0.25">
      <c r="A21" s="2185" t="s">
        <v>632</v>
      </c>
      <c r="B21" s="2186"/>
      <c r="C21" s="1755">
        <f>SUM(C17:C20)</f>
        <v>0</v>
      </c>
      <c r="D21" s="1755">
        <f>SUM(D17:D20)</f>
        <v>0</v>
      </c>
      <c r="E21" s="1755">
        <f>SUM(E17:E20)</f>
        <v>0</v>
      </c>
      <c r="F21" s="1755">
        <f>SUM(F17:F20)</f>
        <v>0</v>
      </c>
      <c r="G21" s="552"/>
    </row>
    <row r="22" spans="1:11" ht="15.75" customHeight="1" thickTop="1" x14ac:dyDescent="0.2">
      <c r="A22" s="2210" t="s">
        <v>1112</v>
      </c>
      <c r="B22" s="2184"/>
      <c r="C22" s="2192"/>
      <c r="D22" s="2193"/>
      <c r="E22" s="2193"/>
      <c r="F22" s="2194"/>
    </row>
    <row r="23" spans="1:11" ht="13.5" thickBot="1" x14ac:dyDescent="0.25">
      <c r="A23" s="2198" t="s">
        <v>633</v>
      </c>
      <c r="B23" s="2199"/>
      <c r="C23" s="581">
        <v>0</v>
      </c>
      <c r="D23" s="581">
        <v>0</v>
      </c>
      <c r="E23" s="581">
        <v>0</v>
      </c>
      <c r="F23" s="1755">
        <f>SUM(C23+D23)-E23</f>
        <v>0</v>
      </c>
      <c r="G23" s="552"/>
    </row>
    <row r="24" spans="1:11" ht="15.75" customHeight="1" thickTop="1" x14ac:dyDescent="0.2">
      <c r="A24" s="2210" t="s">
        <v>1113</v>
      </c>
      <c r="B24" s="2184"/>
      <c r="C24" s="2192"/>
      <c r="D24" s="2193"/>
      <c r="E24" s="2193"/>
      <c r="F24" s="2194"/>
    </row>
    <row r="25" spans="1:11" ht="13.5" thickBot="1" x14ac:dyDescent="0.25">
      <c r="A25" s="2198" t="s">
        <v>634</v>
      </c>
      <c r="B25" s="2199"/>
      <c r="C25" s="581">
        <v>0</v>
      </c>
      <c r="D25" s="581">
        <v>0</v>
      </c>
      <c r="E25" s="581">
        <v>0</v>
      </c>
      <c r="F25" s="1755">
        <f>SUM(C25+D25)-E25</f>
        <v>0</v>
      </c>
      <c r="G25" s="552"/>
    </row>
    <row r="26" spans="1:11" ht="15.75" customHeight="1" thickTop="1" x14ac:dyDescent="0.2">
      <c r="A26" s="2183" t="s">
        <v>657</v>
      </c>
      <c r="B26" s="2184"/>
      <c r="C26" s="727"/>
      <c r="D26" s="727"/>
      <c r="E26" s="727"/>
      <c r="F26" s="728"/>
    </row>
    <row r="27" spans="1:11" ht="13.5" thickBot="1" x14ac:dyDescent="0.25">
      <c r="A27" s="2185" t="s">
        <v>1070</v>
      </c>
      <c r="B27" s="2186"/>
      <c r="C27" s="585">
        <v>0</v>
      </c>
      <c r="D27" s="585">
        <v>0</v>
      </c>
      <c r="E27" s="585">
        <v>0</v>
      </c>
      <c r="F27" s="1755">
        <f>SUM(C27+D27)-E27</f>
        <v>0</v>
      </c>
      <c r="G27" s="552"/>
    </row>
    <row r="28" spans="1:11" ht="7.5" customHeight="1" thickTop="1" x14ac:dyDescent="0.2">
      <c r="A28" s="593"/>
    </row>
    <row r="29" spans="1:11" ht="23.25" customHeight="1" x14ac:dyDescent="0.2">
      <c r="A29" s="2211" t="s">
        <v>582</v>
      </c>
      <c r="B29" s="2188"/>
      <c r="C29" s="729"/>
      <c r="D29" s="729"/>
      <c r="E29" s="729"/>
      <c r="F29" s="729"/>
      <c r="G29" s="729"/>
      <c r="H29" s="729"/>
      <c r="I29" s="729"/>
      <c r="J29" s="729"/>
    </row>
    <row r="30" spans="1:11" ht="33.75" x14ac:dyDescent="0.2">
      <c r="A30" s="1529" t="s">
        <v>1071</v>
      </c>
      <c r="B30" s="730" t="s">
        <v>1124</v>
      </c>
      <c r="C30" s="1885" t="s">
        <v>583</v>
      </c>
      <c r="D30" s="1885" t="s">
        <v>1673</v>
      </c>
      <c r="E30" s="1885" t="s">
        <v>1960</v>
      </c>
      <c r="F30" s="1885" t="s">
        <v>1961</v>
      </c>
      <c r="G30" s="1885" t="s">
        <v>1911</v>
      </c>
      <c r="H30" s="1885" t="s">
        <v>1962</v>
      </c>
      <c r="I30" s="1885" t="s">
        <v>1963</v>
      </c>
      <c r="J30" s="1886" t="s">
        <v>2</v>
      </c>
      <c r="K30" s="731"/>
    </row>
    <row r="31" spans="1:11" ht="12" customHeight="1" x14ac:dyDescent="0.2">
      <c r="A31" s="732" t="s">
        <v>2081</v>
      </c>
      <c r="B31" s="733">
        <v>42446</v>
      </c>
      <c r="C31" s="734">
        <v>1413300</v>
      </c>
      <c r="D31" s="735">
        <v>1</v>
      </c>
      <c r="E31" s="734">
        <v>372200</v>
      </c>
      <c r="F31" s="734"/>
      <c r="G31" s="734"/>
      <c r="H31" s="734">
        <v>372200</v>
      </c>
      <c r="I31" s="1756">
        <f>((E31+F31)-H31)+G31</f>
        <v>0</v>
      </c>
      <c r="J31" s="734">
        <v>0</v>
      </c>
      <c r="K31" s="736"/>
    </row>
    <row r="32" spans="1:11" ht="12" customHeight="1" x14ac:dyDescent="0.2">
      <c r="A32" s="732" t="s">
        <v>2082</v>
      </c>
      <c r="B32" s="733">
        <v>43132</v>
      </c>
      <c r="C32" s="734">
        <v>986700</v>
      </c>
      <c r="D32" s="735">
        <v>1</v>
      </c>
      <c r="E32" s="734">
        <v>986700</v>
      </c>
      <c r="F32" s="734"/>
      <c r="G32" s="734"/>
      <c r="H32" s="734">
        <v>127100</v>
      </c>
      <c r="I32" s="1756">
        <f>((E32+F32)-H32)+G32</f>
        <v>859600</v>
      </c>
      <c r="J32" s="734">
        <v>779238</v>
      </c>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2400000</v>
      </c>
      <c r="D49" s="745"/>
      <c r="E49" s="1756">
        <f t="shared" ref="E49:J49" si="2">SUM(E31:E48)</f>
        <v>1358900</v>
      </c>
      <c r="F49" s="1756">
        <f t="shared" si="2"/>
        <v>0</v>
      </c>
      <c r="G49" s="1756">
        <f t="shared" si="2"/>
        <v>0</v>
      </c>
      <c r="H49" s="1756">
        <f t="shared" si="2"/>
        <v>499300</v>
      </c>
      <c r="I49" s="1756">
        <f t="shared" si="2"/>
        <v>859600</v>
      </c>
      <c r="J49" s="1756">
        <f t="shared" si="2"/>
        <v>779238</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02" t="s">
        <v>584</v>
      </c>
      <c r="C52" s="2203"/>
      <c r="D52" s="2203"/>
      <c r="E52" s="749" t="s">
        <v>845</v>
      </c>
      <c r="F52" s="2204"/>
      <c r="G52" s="2205"/>
      <c r="H52" s="736"/>
      <c r="I52" s="736"/>
      <c r="J52" s="746"/>
    </row>
    <row r="53" spans="1:11" ht="11.25" customHeight="1" x14ac:dyDescent="0.2">
      <c r="A53" s="750" t="s">
        <v>913</v>
      </c>
      <c r="B53" s="751" t="s">
        <v>951</v>
      </c>
      <c r="C53" s="746"/>
      <c r="D53" s="737"/>
      <c r="E53" s="749" t="s">
        <v>497</v>
      </c>
      <c r="F53" s="2206"/>
      <c r="G53" s="2207"/>
      <c r="H53" s="736"/>
      <c r="I53" s="736"/>
      <c r="J53" s="746"/>
    </row>
    <row r="54" spans="1:11" ht="11.25" customHeight="1" x14ac:dyDescent="0.2">
      <c r="A54" s="752" t="s">
        <v>914</v>
      </c>
      <c r="B54" s="747" t="s">
        <v>952</v>
      </c>
      <c r="C54" s="746"/>
      <c r="D54" s="737"/>
      <c r="E54" s="749" t="s">
        <v>498</v>
      </c>
      <c r="F54" s="2206"/>
      <c r="G54" s="2207"/>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J26" sqref="J26"/>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6" t="s">
        <v>856</v>
      </c>
      <c r="B1" s="2237"/>
      <c r="C1" s="2237"/>
      <c r="D1" s="2237"/>
      <c r="E1" s="2237"/>
      <c r="F1" s="2237"/>
      <c r="G1" s="2238"/>
      <c r="H1" s="1530"/>
      <c r="I1" s="760"/>
      <c r="J1" s="433"/>
    </row>
    <row r="2" spans="1:11" ht="26.25" x14ac:dyDescent="0.2">
      <c r="A2" s="2215" t="s">
        <v>1677</v>
      </c>
      <c r="B2" s="2216"/>
      <c r="C2" s="2216"/>
      <c r="D2" s="2216"/>
      <c r="E2" s="2217"/>
      <c r="F2" s="761" t="s">
        <v>904</v>
      </c>
      <c r="G2" s="762" t="s">
        <v>1674</v>
      </c>
      <c r="H2" s="762" t="s">
        <v>410</v>
      </c>
      <c r="I2" s="762" t="s">
        <v>1158</v>
      </c>
      <c r="J2" s="762" t="s">
        <v>1812</v>
      </c>
      <c r="K2" s="762" t="s">
        <v>138</v>
      </c>
    </row>
    <row r="3" spans="1:11" x14ac:dyDescent="0.2">
      <c r="A3" s="2218" t="s">
        <v>1964</v>
      </c>
      <c r="B3" s="2219"/>
      <c r="C3" s="2219"/>
      <c r="D3" s="2219"/>
      <c r="E3" s="2220"/>
      <c r="F3" s="763"/>
      <c r="G3" s="764">
        <v>0</v>
      </c>
      <c r="H3" s="764">
        <v>0</v>
      </c>
      <c r="I3" s="764">
        <v>0</v>
      </c>
      <c r="J3" s="765">
        <v>53299</v>
      </c>
      <c r="K3" s="765">
        <v>0</v>
      </c>
    </row>
    <row r="4" spans="1:11" x14ac:dyDescent="0.2">
      <c r="A4" s="2221" t="s">
        <v>369</v>
      </c>
      <c r="B4" s="2222"/>
      <c r="C4" s="2222"/>
      <c r="D4" s="2222"/>
      <c r="E4" s="2203"/>
      <c r="F4" s="766"/>
      <c r="G4" s="767"/>
      <c r="H4" s="768"/>
      <c r="I4" s="767"/>
      <c r="J4" s="769"/>
      <c r="K4" s="769"/>
    </row>
    <row r="5" spans="1:11" x14ac:dyDescent="0.2">
      <c r="A5" s="2239" t="s">
        <v>1069</v>
      </c>
      <c r="B5" s="2212"/>
      <c r="C5" s="2212"/>
      <c r="D5" s="2212"/>
      <c r="E5" s="2240"/>
      <c r="F5" s="770" t="s">
        <v>848</v>
      </c>
      <c r="G5" s="771"/>
      <c r="H5" s="764">
        <v>24693</v>
      </c>
      <c r="I5" s="772">
        <v>0</v>
      </c>
      <c r="J5" s="773"/>
      <c r="K5" s="773"/>
    </row>
    <row r="6" spans="1:11" x14ac:dyDescent="0.2">
      <c r="A6" s="774" t="s">
        <v>720</v>
      </c>
      <c r="B6" s="775"/>
      <c r="C6" s="775"/>
      <c r="D6" s="775"/>
      <c r="E6" s="776"/>
      <c r="F6" s="777" t="s">
        <v>849</v>
      </c>
      <c r="G6" s="764">
        <v>0</v>
      </c>
      <c r="H6" s="764">
        <v>0</v>
      </c>
      <c r="I6" s="764">
        <v>0</v>
      </c>
      <c r="J6" s="765">
        <v>0</v>
      </c>
      <c r="K6" s="765">
        <v>0</v>
      </c>
    </row>
    <row r="7" spans="1:11" x14ac:dyDescent="0.2">
      <c r="A7" s="778" t="s">
        <v>246</v>
      </c>
      <c r="B7" s="779"/>
      <c r="C7" s="779"/>
      <c r="D7" s="779"/>
      <c r="E7" s="780"/>
      <c r="F7" s="770" t="s">
        <v>850</v>
      </c>
      <c r="G7" s="767"/>
      <c r="H7" s="767"/>
      <c r="I7" s="767"/>
      <c r="J7" s="781"/>
      <c r="K7" s="765">
        <v>0</v>
      </c>
    </row>
    <row r="8" spans="1:11" x14ac:dyDescent="0.2">
      <c r="A8" s="778" t="s">
        <v>345</v>
      </c>
      <c r="B8" s="779"/>
      <c r="C8" s="779"/>
      <c r="D8" s="779"/>
      <c r="E8" s="780"/>
      <c r="F8" s="770" t="s">
        <v>851</v>
      </c>
      <c r="G8" s="782"/>
      <c r="H8" s="782"/>
      <c r="I8" s="782"/>
      <c r="J8" s="765">
        <v>77112</v>
      </c>
      <c r="K8" s="769"/>
    </row>
    <row r="9" spans="1:11" x14ac:dyDescent="0.2">
      <c r="A9" s="778" t="s">
        <v>138</v>
      </c>
      <c r="B9" s="779"/>
      <c r="C9" s="779"/>
      <c r="D9" s="779"/>
      <c r="E9" s="780"/>
      <c r="F9" s="777" t="s">
        <v>853</v>
      </c>
      <c r="G9" s="782"/>
      <c r="H9" s="771"/>
      <c r="I9" s="771"/>
      <c r="J9" s="781"/>
      <c r="K9" s="765">
        <v>3889</v>
      </c>
    </row>
    <row r="10" spans="1:11" x14ac:dyDescent="0.2">
      <c r="A10" s="2239" t="s">
        <v>1813</v>
      </c>
      <c r="B10" s="2212"/>
      <c r="C10" s="2212"/>
      <c r="D10" s="2212"/>
      <c r="E10" s="2241"/>
      <c r="F10" s="783" t="s">
        <v>862</v>
      </c>
      <c r="G10" s="782"/>
      <c r="H10" s="784">
        <v>0</v>
      </c>
      <c r="I10" s="764">
        <v>0</v>
      </c>
      <c r="J10" s="765">
        <v>0</v>
      </c>
      <c r="K10" s="765">
        <v>0</v>
      </c>
    </row>
    <row r="11" spans="1:11" x14ac:dyDescent="0.2">
      <c r="A11" s="2239" t="s">
        <v>160</v>
      </c>
      <c r="B11" s="2212"/>
      <c r="C11" s="2212"/>
      <c r="D11" s="2212"/>
      <c r="E11" s="2240"/>
      <c r="F11" s="770" t="s">
        <v>852</v>
      </c>
      <c r="G11" s="771"/>
      <c r="H11" s="764">
        <v>0</v>
      </c>
      <c r="I11" s="764">
        <v>0</v>
      </c>
      <c r="J11" s="765">
        <v>0</v>
      </c>
      <c r="K11" s="773"/>
    </row>
    <row r="12" spans="1:11" ht="13.5" thickBot="1" x14ac:dyDescent="0.25">
      <c r="A12" s="2229" t="s">
        <v>905</v>
      </c>
      <c r="B12" s="2230"/>
      <c r="C12" s="2230"/>
      <c r="D12" s="2230"/>
      <c r="E12" s="2231"/>
      <c r="F12" s="1757"/>
      <c r="G12" s="1758">
        <f>SUM(G5:G11)</f>
        <v>0</v>
      </c>
      <c r="H12" s="1758">
        <f>SUM(H5:H11)</f>
        <v>24693</v>
      </c>
      <c r="I12" s="1758">
        <f>SUM(I5:I11)</f>
        <v>0</v>
      </c>
      <c r="J12" s="1758">
        <f>SUM(J5:J11)</f>
        <v>77112</v>
      </c>
      <c r="K12" s="1758">
        <f>SUM(K5:K11)</f>
        <v>3889</v>
      </c>
    </row>
    <row r="13" spans="1:11" ht="13.5" thickTop="1" x14ac:dyDescent="0.2">
      <c r="A13" s="2223" t="s">
        <v>370</v>
      </c>
      <c r="B13" s="2224"/>
      <c r="C13" s="2224"/>
      <c r="D13" s="2224"/>
      <c r="E13" s="2225"/>
      <c r="F13" s="785"/>
      <c r="G13" s="786"/>
      <c r="H13" s="787"/>
      <c r="I13" s="788"/>
      <c r="J13" s="788"/>
      <c r="K13" s="788"/>
    </row>
    <row r="14" spans="1:11" x14ac:dyDescent="0.2">
      <c r="A14" s="2245" t="s">
        <v>456</v>
      </c>
      <c r="B14" s="2245"/>
      <c r="C14" s="2245"/>
      <c r="D14" s="2245"/>
      <c r="E14" s="2246"/>
      <c r="F14" s="789" t="s">
        <v>854</v>
      </c>
      <c r="G14" s="782"/>
      <c r="H14" s="764">
        <v>24693</v>
      </c>
      <c r="I14" s="771"/>
      <c r="J14" s="773"/>
      <c r="K14" s="765">
        <v>3889</v>
      </c>
    </row>
    <row r="15" spans="1:11" x14ac:dyDescent="0.2">
      <c r="A15" s="2212" t="s">
        <v>4</v>
      </c>
      <c r="B15" s="2212"/>
      <c r="C15" s="2212"/>
      <c r="D15" s="2212"/>
      <c r="E15" s="2240"/>
      <c r="F15" s="789" t="s">
        <v>855</v>
      </c>
      <c r="G15" s="771"/>
      <c r="H15" s="764">
        <v>0</v>
      </c>
      <c r="I15" s="764">
        <v>0</v>
      </c>
      <c r="J15" s="765">
        <v>23488</v>
      </c>
      <c r="K15" s="765">
        <v>0</v>
      </c>
    </row>
    <row r="16" spans="1:11" x14ac:dyDescent="0.2">
      <c r="A16" s="2212" t="s">
        <v>298</v>
      </c>
      <c r="B16" s="2212"/>
      <c r="C16" s="2212"/>
      <c r="D16" s="2212"/>
      <c r="E16" s="2240"/>
      <c r="F16" s="789" t="s">
        <v>923</v>
      </c>
      <c r="G16" s="772">
        <v>0</v>
      </c>
      <c r="H16" s="767"/>
      <c r="I16" s="767"/>
      <c r="J16" s="769"/>
      <c r="K16" s="769"/>
    </row>
    <row r="17" spans="1:11" x14ac:dyDescent="0.2">
      <c r="A17" s="2234" t="s">
        <v>935</v>
      </c>
      <c r="B17" s="2234"/>
      <c r="C17" s="2234"/>
      <c r="D17" s="2234"/>
      <c r="E17" s="2235"/>
      <c r="F17" s="790"/>
      <c r="G17" s="791"/>
      <c r="H17" s="792"/>
      <c r="I17" s="792"/>
      <c r="J17" s="793"/>
      <c r="K17" s="794"/>
    </row>
    <row r="18" spans="1:11" x14ac:dyDescent="0.2">
      <c r="A18" s="2226" t="s">
        <v>368</v>
      </c>
      <c r="B18" s="2227"/>
      <c r="C18" s="2227"/>
      <c r="D18" s="2227"/>
      <c r="E18" s="2228"/>
      <c r="F18" s="789" t="s">
        <v>932</v>
      </c>
      <c r="G18" s="782"/>
      <c r="H18" s="782"/>
      <c r="I18" s="782"/>
      <c r="J18" s="765">
        <v>0</v>
      </c>
      <c r="K18" s="795"/>
    </row>
    <row r="19" spans="1:11" ht="21.75" customHeight="1" x14ac:dyDescent="0.2">
      <c r="A19" s="2247" t="s">
        <v>1809</v>
      </c>
      <c r="B19" s="2247"/>
      <c r="C19" s="2247"/>
      <c r="D19" s="2247"/>
      <c r="E19" s="2248"/>
      <c r="F19" s="789" t="s">
        <v>933</v>
      </c>
      <c r="G19" s="782"/>
      <c r="H19" s="782"/>
      <c r="I19" s="782"/>
      <c r="J19" s="765">
        <v>0</v>
      </c>
      <c r="K19" s="795"/>
    </row>
    <row r="20" spans="1:11" x14ac:dyDescent="0.2">
      <c r="A20" s="2226" t="s">
        <v>1814</v>
      </c>
      <c r="B20" s="2227"/>
      <c r="C20" s="2227"/>
      <c r="D20" s="2227"/>
      <c r="E20" s="2228"/>
      <c r="F20" s="789" t="s">
        <v>934</v>
      </c>
      <c r="G20" s="782"/>
      <c r="H20" s="782"/>
      <c r="I20" s="782"/>
      <c r="J20" s="765">
        <v>0</v>
      </c>
      <c r="K20" s="795"/>
    </row>
    <row r="21" spans="1:11" ht="13.5" thickBot="1" x14ac:dyDescent="0.25">
      <c r="A21" s="2232" t="s">
        <v>638</v>
      </c>
      <c r="B21" s="2232"/>
      <c r="C21" s="2232"/>
      <c r="D21" s="2232"/>
      <c r="E21" s="2232"/>
      <c r="F21" s="1759"/>
      <c r="G21" s="792"/>
      <c r="H21" s="796"/>
      <c r="I21" s="796"/>
      <c r="J21" s="1760">
        <f>SUM(J18:J20)</f>
        <v>0</v>
      </c>
      <c r="K21" s="793"/>
    </row>
    <row r="22" spans="1:11" ht="13.5" thickTop="1" x14ac:dyDescent="0.2">
      <c r="A22" s="2212" t="s">
        <v>1815</v>
      </c>
      <c r="B22" s="2212"/>
      <c r="C22" s="2212"/>
      <c r="D22" s="2212"/>
      <c r="E22" s="2240"/>
      <c r="F22" s="789" t="s">
        <v>862</v>
      </c>
      <c r="G22" s="782"/>
      <c r="H22" s="764">
        <v>0</v>
      </c>
      <c r="I22" s="764">
        <v>0</v>
      </c>
      <c r="J22" s="797">
        <v>0</v>
      </c>
      <c r="K22" s="765">
        <v>0</v>
      </c>
    </row>
    <row r="23" spans="1:11" ht="13.5" thickBot="1" x14ac:dyDescent="0.25">
      <c r="A23" s="2233" t="s">
        <v>906</v>
      </c>
      <c r="B23" s="2232"/>
      <c r="C23" s="2232"/>
      <c r="D23" s="2232"/>
      <c r="E23" s="2232"/>
      <c r="F23" s="1761"/>
      <c r="G23" s="1758">
        <f>SUM(G14:G16,G21,G22)</f>
        <v>0</v>
      </c>
      <c r="H23" s="1758">
        <f>SUM(H14:H16,H21,H22)</f>
        <v>24693</v>
      </c>
      <c r="I23" s="1758">
        <f>SUM(I14:I16,I21,I22)</f>
        <v>0</v>
      </c>
      <c r="J23" s="1758">
        <f>SUM(J14:J16,J21,J22)</f>
        <v>23488</v>
      </c>
      <c r="K23" s="1758">
        <f>SUM(K14:K16,K21,K22)</f>
        <v>3889</v>
      </c>
    </row>
    <row r="24" spans="1:11" ht="14.25" thickTop="1" thickBot="1" x14ac:dyDescent="0.25">
      <c r="A24" s="2233" t="s">
        <v>1965</v>
      </c>
      <c r="B24" s="2232"/>
      <c r="C24" s="2232"/>
      <c r="D24" s="2232"/>
      <c r="E24" s="2232"/>
      <c r="F24" s="1762"/>
      <c r="G24" s="1763">
        <f>SUM(G3,G12)-G23</f>
        <v>0</v>
      </c>
      <c r="H24" s="1763">
        <f>SUM(H3,H12)-H23</f>
        <v>0</v>
      </c>
      <c r="I24" s="1763">
        <f>SUM(I3,I12)-I23</f>
        <v>0</v>
      </c>
      <c r="J24" s="1763">
        <f>SUM(J3,J12)-J23</f>
        <v>106923</v>
      </c>
      <c r="K24" s="1763">
        <f>SUM(K3,K12)-K23</f>
        <v>0</v>
      </c>
    </row>
    <row r="25" spans="1:11" ht="13.5" thickTop="1" x14ac:dyDescent="0.2">
      <c r="A25" s="798" t="s">
        <v>420</v>
      </c>
      <c r="B25" s="799"/>
      <c r="C25" s="799"/>
      <c r="D25" s="799"/>
      <c r="E25" s="800"/>
      <c r="F25" s="801">
        <v>714</v>
      </c>
      <c r="G25" s="802">
        <v>0</v>
      </c>
      <c r="H25" s="802">
        <v>0</v>
      </c>
      <c r="I25" s="802">
        <v>0</v>
      </c>
      <c r="J25" s="797">
        <v>106923</v>
      </c>
      <c r="K25" s="797">
        <v>0</v>
      </c>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1910</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t="s">
        <v>2064</v>
      </c>
      <c r="E30" s="808" t="s">
        <v>768</v>
      </c>
      <c r="F30" s="202"/>
      <c r="G30" s="805"/>
    </row>
    <row r="31" spans="1:11" x14ac:dyDescent="0.2">
      <c r="A31" s="809"/>
      <c r="D31" s="237"/>
      <c r="E31" s="810" t="s">
        <v>769</v>
      </c>
      <c r="F31" s="811" t="s">
        <v>539</v>
      </c>
      <c r="G31" s="764"/>
      <c r="H31" s="2242"/>
      <c r="I31" s="2243"/>
      <c r="J31" s="2243"/>
      <c r="K31" s="2243"/>
    </row>
    <row r="32" spans="1:11" x14ac:dyDescent="0.2">
      <c r="A32" s="809"/>
      <c r="B32" s="237"/>
      <c r="C32" s="237"/>
      <c r="D32" s="237"/>
      <c r="E32" s="805"/>
      <c r="F32" s="811" t="s">
        <v>540</v>
      </c>
      <c r="G32" s="764"/>
      <c r="H32" s="2244"/>
      <c r="I32" s="2243"/>
      <c r="J32" s="2243"/>
      <c r="K32" s="2243"/>
    </row>
    <row r="33" spans="1:11" ht="1.5" customHeight="1" x14ac:dyDescent="0.2">
      <c r="A33" s="812" t="s">
        <v>1169</v>
      </c>
      <c r="B33" s="364"/>
      <c r="C33" s="364"/>
      <c r="D33" s="364"/>
      <c r="E33" s="364"/>
      <c r="F33" s="364"/>
      <c r="G33" s="813"/>
      <c r="H33" s="2244"/>
      <c r="I33" s="2243"/>
      <c r="J33" s="2243"/>
      <c r="K33" s="2243"/>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2" t="s">
        <v>541</v>
      </c>
      <c r="B41" s="2213"/>
      <c r="C41" s="2213"/>
      <c r="D41" s="2213"/>
      <c r="E41" s="2213"/>
      <c r="F41" s="2214"/>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K16" sqref="K16"/>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1" t="s">
        <v>1909</v>
      </c>
      <c r="B1" s="2252"/>
      <c r="C1" s="2253"/>
      <c r="D1" s="826"/>
      <c r="E1" s="827"/>
      <c r="F1" s="827"/>
      <c r="G1" s="828"/>
      <c r="H1" s="829"/>
      <c r="I1" s="830"/>
      <c r="J1" s="2249"/>
      <c r="K1" s="2250"/>
      <c r="L1" s="2250"/>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9" t="s">
        <v>892</v>
      </c>
      <c r="B3" s="1630">
        <v>210</v>
      </c>
      <c r="C3" s="835">
        <v>0</v>
      </c>
      <c r="D3" s="835">
        <v>0</v>
      </c>
      <c r="E3" s="835">
        <v>0</v>
      </c>
      <c r="F3" s="1760">
        <f>(C3+D3)-E3</f>
        <v>0</v>
      </c>
      <c r="G3" s="836"/>
      <c r="H3" s="835">
        <v>0</v>
      </c>
      <c r="I3" s="835">
        <v>0</v>
      </c>
      <c r="J3" s="835">
        <v>0</v>
      </c>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27700</v>
      </c>
      <c r="D5" s="841">
        <v>0</v>
      </c>
      <c r="E5" s="841">
        <v>0</v>
      </c>
      <c r="F5" s="1760">
        <f>(C5+D5)-E5</f>
        <v>27700</v>
      </c>
      <c r="G5" s="837"/>
      <c r="H5" s="842"/>
      <c r="I5" s="842"/>
      <c r="J5" s="842"/>
      <c r="K5" s="793"/>
      <c r="L5" s="1769">
        <f>F5-K5</f>
        <v>27700</v>
      </c>
    </row>
    <row r="6" spans="1:14" ht="14.25" thickTop="1" thickBot="1" x14ac:dyDescent="0.25">
      <c r="A6" s="778" t="s">
        <v>1117</v>
      </c>
      <c r="B6" s="840">
        <v>222</v>
      </c>
      <c r="C6" s="765">
        <v>0</v>
      </c>
      <c r="D6" s="765">
        <v>0</v>
      </c>
      <c r="E6" s="765">
        <v>0</v>
      </c>
      <c r="F6" s="1760">
        <f>(C6+D6)-E6</f>
        <v>0</v>
      </c>
      <c r="G6" s="837">
        <v>50</v>
      </c>
      <c r="H6" s="765">
        <v>0</v>
      </c>
      <c r="I6" s="765">
        <v>0</v>
      </c>
      <c r="J6" s="765">
        <v>0</v>
      </c>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8275831</v>
      </c>
      <c r="D8" s="844">
        <v>731447</v>
      </c>
      <c r="E8" s="844">
        <v>0</v>
      </c>
      <c r="F8" s="1760">
        <f>(C8+D8)-E8</f>
        <v>9007278</v>
      </c>
      <c r="G8" s="843">
        <v>50</v>
      </c>
      <c r="H8" s="765">
        <v>3822829</v>
      </c>
      <c r="I8" s="765">
        <f>112695+36572</f>
        <v>149267</v>
      </c>
      <c r="J8" s="765">
        <v>0</v>
      </c>
      <c r="K8" s="1769">
        <f>(H8+I8)-J8</f>
        <v>3972096</v>
      </c>
      <c r="L8" s="1769">
        <f>F8-K8</f>
        <v>5035182</v>
      </c>
    </row>
    <row r="9" spans="1:14" ht="14.25" thickTop="1" thickBot="1" x14ac:dyDescent="0.25">
      <c r="A9" s="778" t="s">
        <v>1119</v>
      </c>
      <c r="B9" s="840">
        <v>232</v>
      </c>
      <c r="C9" s="765">
        <v>0</v>
      </c>
      <c r="D9" s="765">
        <v>0</v>
      </c>
      <c r="E9" s="765">
        <v>0</v>
      </c>
      <c r="F9" s="1760">
        <f>(C9+D9)-E9</f>
        <v>0</v>
      </c>
      <c r="G9" s="843">
        <v>20</v>
      </c>
      <c r="H9" s="765">
        <v>0</v>
      </c>
      <c r="I9" s="765">
        <v>0</v>
      </c>
      <c r="J9" s="765">
        <v>0</v>
      </c>
      <c r="K9" s="1769">
        <f>(H9+I9)-J9</f>
        <v>0</v>
      </c>
      <c r="L9" s="1769">
        <f>F9-K9</f>
        <v>0</v>
      </c>
    </row>
    <row r="10" spans="1:14" ht="24" thickTop="1" thickBot="1" x14ac:dyDescent="0.25">
      <c r="A10" s="845" t="s">
        <v>1120</v>
      </c>
      <c r="B10" s="840">
        <v>240</v>
      </c>
      <c r="C10" s="846">
        <v>2454587</v>
      </c>
      <c r="D10" s="846">
        <v>0</v>
      </c>
      <c r="E10" s="846">
        <v>0</v>
      </c>
      <c r="F10" s="1764">
        <f>(C10+D10)-E10</f>
        <v>2454587</v>
      </c>
      <c r="G10" s="843">
        <v>20</v>
      </c>
      <c r="H10" s="847">
        <v>1045573</v>
      </c>
      <c r="I10" s="847">
        <f>153836-36572</f>
        <v>117264</v>
      </c>
      <c r="J10" s="847">
        <v>0</v>
      </c>
      <c r="K10" s="1769">
        <f>(H10+I10)-J10</f>
        <v>1162837</v>
      </c>
      <c r="L10" s="1769">
        <f>F10-K10</f>
        <v>1291750</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865553</v>
      </c>
      <c r="D12" s="844">
        <v>114358</v>
      </c>
      <c r="E12" s="844">
        <v>0</v>
      </c>
      <c r="F12" s="1760">
        <f>(C12+D12)-E12</f>
        <v>979911</v>
      </c>
      <c r="G12" s="843">
        <v>10</v>
      </c>
      <c r="H12" s="765">
        <v>765696</v>
      </c>
      <c r="I12" s="765">
        <f>24626+4393</f>
        <v>29019</v>
      </c>
      <c r="J12" s="765">
        <v>0</v>
      </c>
      <c r="K12" s="1769">
        <f>(H12+I12)-J12</f>
        <v>794715</v>
      </c>
      <c r="L12" s="1769">
        <f>F12-K12</f>
        <v>185196</v>
      </c>
    </row>
    <row r="13" spans="1:14" ht="14.25" thickTop="1" thickBot="1" x14ac:dyDescent="0.25">
      <c r="A13" s="848" t="s">
        <v>1122</v>
      </c>
      <c r="B13" s="840">
        <v>252</v>
      </c>
      <c r="C13" s="844">
        <v>44247</v>
      </c>
      <c r="D13" s="844">
        <v>0</v>
      </c>
      <c r="E13" s="844">
        <v>0</v>
      </c>
      <c r="F13" s="1760">
        <f>(C13+D13)-E13</f>
        <v>44247</v>
      </c>
      <c r="G13" s="843">
        <v>5</v>
      </c>
      <c r="H13" s="765">
        <v>44247</v>
      </c>
      <c r="I13" s="765">
        <v>0</v>
      </c>
      <c r="J13" s="765">
        <v>0</v>
      </c>
      <c r="K13" s="1769">
        <f>(H13+I13)-J13</f>
        <v>44247</v>
      </c>
      <c r="L13" s="1769">
        <f>F13-K13</f>
        <v>0</v>
      </c>
    </row>
    <row r="14" spans="1:14" ht="14.25" thickTop="1" thickBot="1" x14ac:dyDescent="0.25">
      <c r="A14" s="848" t="s">
        <v>1123</v>
      </c>
      <c r="B14" s="840">
        <v>253</v>
      </c>
      <c r="C14" s="765">
        <v>402900</v>
      </c>
      <c r="D14" s="765">
        <v>7728</v>
      </c>
      <c r="E14" s="765">
        <v>0</v>
      </c>
      <c r="F14" s="1760">
        <f>(C14+D14)-E14</f>
        <v>410628</v>
      </c>
      <c r="G14" s="843">
        <v>3</v>
      </c>
      <c r="H14" s="765">
        <v>373400</v>
      </c>
      <c r="I14" s="765">
        <v>18029</v>
      </c>
      <c r="J14" s="765">
        <v>0</v>
      </c>
      <c r="K14" s="1769">
        <f>(H14+I14)-J14</f>
        <v>391429</v>
      </c>
      <c r="L14" s="1769">
        <f>F14-K14</f>
        <v>19199</v>
      </c>
    </row>
    <row r="15" spans="1:14" ht="15" customHeight="1" thickTop="1" thickBot="1" x14ac:dyDescent="0.25">
      <c r="A15" s="1631" t="s">
        <v>528</v>
      </c>
      <c r="B15" s="1630">
        <v>260</v>
      </c>
      <c r="C15" s="844">
        <v>56030</v>
      </c>
      <c r="D15" s="844">
        <v>125942</v>
      </c>
      <c r="E15" s="844">
        <v>56030</v>
      </c>
      <c r="F15" s="1760">
        <f>(C15+D15)-E15</f>
        <v>125942</v>
      </c>
      <c r="G15" s="849" t="s">
        <v>862</v>
      </c>
      <c r="H15" s="781"/>
      <c r="I15" s="781"/>
      <c r="J15" s="781"/>
      <c r="K15" s="781"/>
      <c r="L15" s="1769">
        <f>F15-K15</f>
        <v>125942</v>
      </c>
    </row>
    <row r="16" spans="1:14" ht="15" customHeight="1" thickTop="1" thickBot="1" x14ac:dyDescent="0.25">
      <c r="A16" s="1765" t="s">
        <v>643</v>
      </c>
      <c r="B16" s="1766">
        <v>200</v>
      </c>
      <c r="C16" s="1760">
        <f>SUM(C3,C5:C6,C8:C10,C12:C15)</f>
        <v>12126848</v>
      </c>
      <c r="D16" s="1760">
        <f>SUM(D3,D5:D6,D8:D10,D12:D15)</f>
        <v>979475</v>
      </c>
      <c r="E16" s="1760">
        <f>SUM(E3,E5:E6,E8:E10,E12:E15)</f>
        <v>56030</v>
      </c>
      <c r="F16" s="1760">
        <f>SUM(F3,F5:F6,F8:F10,F12:F15)</f>
        <v>13050293</v>
      </c>
      <c r="G16" s="843"/>
      <c r="H16" s="1760">
        <f>SUM(H3,H6,H8:H10,H12:H14,)</f>
        <v>6051745</v>
      </c>
      <c r="I16" s="1760">
        <f>SUM(I3,I6,I8:I10,I12:I14,)</f>
        <v>313579</v>
      </c>
      <c r="J16" s="1760">
        <f>SUM(J3,J6,J8:J10,J12:J14,)</f>
        <v>0</v>
      </c>
      <c r="K16" s="1760">
        <f>(H16+I16)-J16</f>
        <v>6365324</v>
      </c>
      <c r="L16" s="1760">
        <f>F16-K16</f>
        <v>6684969</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313579</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60" activePane="bottomLeft" state="frozen"/>
      <selection activeCell="A47" sqref="A47"/>
      <selection pane="bottomLeft" activeCell="A160" sqref="A160"/>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7" t="s">
        <v>1975</v>
      </c>
      <c r="B1" s="2258"/>
      <c r="C1" s="2258"/>
      <c r="D1" s="2258"/>
      <c r="E1" s="2258"/>
      <c r="F1" s="2259"/>
      <c r="G1" s="855"/>
    </row>
    <row r="2" spans="1:7" ht="15" customHeight="1" thickBot="1" x14ac:dyDescent="0.25">
      <c r="A2" s="2260" t="s">
        <v>477</v>
      </c>
      <c r="B2" s="2261"/>
      <c r="C2" s="2261"/>
      <c r="D2" s="2261"/>
      <c r="E2" s="2261"/>
      <c r="F2" s="2262"/>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3"/>
      <c r="B5" s="2264"/>
      <c r="C5" s="2264"/>
      <c r="D5" s="2264"/>
      <c r="E5" s="2264"/>
      <c r="F5" s="2264"/>
    </row>
    <row r="6" spans="1:7" ht="13.5" customHeight="1" thickBot="1" x14ac:dyDescent="0.25">
      <c r="A6" s="2254" t="s">
        <v>1104</v>
      </c>
      <c r="B6" s="2255"/>
      <c r="C6" s="2255"/>
      <c r="D6" s="2255"/>
      <c r="E6" s="2255"/>
      <c r="F6" s="2256"/>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3269187</v>
      </c>
      <c r="G8" s="865"/>
    </row>
    <row r="9" spans="1:7" x14ac:dyDescent="0.2">
      <c r="A9" s="869" t="s">
        <v>460</v>
      </c>
      <c r="B9" s="870" t="s">
        <v>1877</v>
      </c>
      <c r="C9" s="871"/>
      <c r="D9" s="869" t="s">
        <v>501</v>
      </c>
      <c r="E9" s="868"/>
      <c r="F9" s="1909">
        <f>'Expenditures 15-22'!K151</f>
        <v>487106</v>
      </c>
      <c r="G9" s="872"/>
    </row>
    <row r="10" spans="1:7" x14ac:dyDescent="0.2">
      <c r="A10" s="869" t="s">
        <v>499</v>
      </c>
      <c r="B10" s="870" t="s">
        <v>1878</v>
      </c>
      <c r="C10" s="871"/>
      <c r="D10" s="869" t="s">
        <v>501</v>
      </c>
      <c r="E10" s="868"/>
      <c r="F10" s="1909">
        <f>'Expenditures 15-22'!K174</f>
        <v>548772</v>
      </c>
      <c r="G10" s="872"/>
    </row>
    <row r="11" spans="1:7" x14ac:dyDescent="0.2">
      <c r="A11" s="869" t="s">
        <v>461</v>
      </c>
      <c r="B11" s="870" t="s">
        <v>1879</v>
      </c>
      <c r="C11" s="871"/>
      <c r="D11" s="869" t="s">
        <v>501</v>
      </c>
      <c r="E11" s="868"/>
      <c r="F11" s="1909">
        <f>'Expenditures 15-22'!K210</f>
        <v>529761</v>
      </c>
      <c r="G11" s="872"/>
    </row>
    <row r="12" spans="1:7" x14ac:dyDescent="0.2">
      <c r="A12" s="869" t="s">
        <v>462</v>
      </c>
      <c r="B12" s="870" t="s">
        <v>1880</v>
      </c>
      <c r="C12" s="871"/>
      <c r="D12" s="869" t="s">
        <v>501</v>
      </c>
      <c r="E12" s="868"/>
      <c r="F12" s="1909">
        <f>'Expenditures 15-22'!K295</f>
        <v>124076</v>
      </c>
      <c r="G12" s="872"/>
    </row>
    <row r="13" spans="1:7" x14ac:dyDescent="0.2">
      <c r="A13" s="869" t="s">
        <v>106</v>
      </c>
      <c r="B13" s="870" t="s">
        <v>1881</v>
      </c>
      <c r="C13" s="871"/>
      <c r="D13" s="869" t="s">
        <v>501</v>
      </c>
      <c r="E13" s="868"/>
      <c r="F13" s="1909">
        <f>'Expenditures 15-22'!K342</f>
        <v>283942</v>
      </c>
      <c r="G13" s="873"/>
    </row>
    <row r="14" spans="1:7" ht="12" customHeight="1" thickBot="1" x14ac:dyDescent="0.25">
      <c r="A14" s="1770"/>
      <c r="B14" s="1771"/>
      <c r="C14" s="1772"/>
      <c r="D14" s="1773" t="s">
        <v>501</v>
      </c>
      <c r="E14" s="1774" t="s">
        <v>958</v>
      </c>
      <c r="F14" s="1775">
        <f>SUM(F8:F13)</f>
        <v>5242844</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4">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2002</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242288</v>
      </c>
      <c r="G53" s="865"/>
    </row>
    <row r="54" spans="1:7" x14ac:dyDescent="0.2">
      <c r="A54" s="869" t="s">
        <v>459</v>
      </c>
      <c r="B54" s="869" t="s">
        <v>1476</v>
      </c>
      <c r="C54" s="889" t="s">
        <v>982</v>
      </c>
      <c r="D54" s="885" t="s">
        <v>1095</v>
      </c>
      <c r="E54" s="868"/>
      <c r="F54" s="1913">
        <f>'Expenditures 15-22'!G114</f>
        <v>7728</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3">
        <f>'Expenditures 15-22'!K139</f>
        <v>0</v>
      </c>
      <c r="G57" s="865"/>
    </row>
    <row r="58" spans="1:7" x14ac:dyDescent="0.2">
      <c r="A58" s="869" t="s">
        <v>460</v>
      </c>
      <c r="B58" s="869" t="s">
        <v>1883</v>
      </c>
      <c r="C58" s="886" t="s">
        <v>982</v>
      </c>
      <c r="D58" s="885" t="s">
        <v>1095</v>
      </c>
      <c r="E58" s="868"/>
      <c r="F58" s="1915">
        <f>'Expenditures 15-22'!G151</f>
        <v>96638</v>
      </c>
      <c r="G58" s="865"/>
    </row>
    <row r="59" spans="1:7" x14ac:dyDescent="0.2">
      <c r="A59" s="893" t="s">
        <v>460</v>
      </c>
      <c r="B59" s="856" t="s">
        <v>1884</v>
      </c>
      <c r="C59" s="894" t="s">
        <v>982</v>
      </c>
      <c r="D59" s="856" t="s">
        <v>291</v>
      </c>
      <c r="F59" s="1916">
        <f>'Expenditures 15-22'!I151</f>
        <v>0</v>
      </c>
      <c r="G59" s="865"/>
    </row>
    <row r="60" spans="1:7" x14ac:dyDescent="0.2">
      <c r="A60" s="893" t="s">
        <v>499</v>
      </c>
      <c r="B60" s="856" t="s">
        <v>1885</v>
      </c>
      <c r="C60" s="894">
        <v>4000</v>
      </c>
      <c r="D60" s="856" t="s">
        <v>312</v>
      </c>
      <c r="F60" s="1914">
        <f>'Expenditures 15-22'!K160</f>
        <v>0</v>
      </c>
      <c r="G60" s="865"/>
    </row>
    <row r="61" spans="1:7" x14ac:dyDescent="0.2">
      <c r="A61" s="895" t="s">
        <v>499</v>
      </c>
      <c r="B61" s="895" t="s">
        <v>1886</v>
      </c>
      <c r="C61" s="896" t="str">
        <f>'Expenditures 15-22'!B170</f>
        <v>5300</v>
      </c>
      <c r="D61" s="897" t="s">
        <v>311</v>
      </c>
      <c r="E61" s="879"/>
      <c r="F61" s="1913">
        <f>'Expenditures 15-22'!K170</f>
        <v>499300</v>
      </c>
      <c r="G61" s="865"/>
    </row>
    <row r="62" spans="1:7" x14ac:dyDescent="0.2">
      <c r="A62" s="869" t="s">
        <v>461</v>
      </c>
      <c r="B62" s="869" t="s">
        <v>1887</v>
      </c>
      <c r="C62" s="886">
        <f>'Expenditures 15-22'!B185</f>
        <v>3000</v>
      </c>
      <c r="D62" s="876" t="s">
        <v>449</v>
      </c>
      <c r="E62" s="868"/>
      <c r="F62" s="1913">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1889</v>
      </c>
      <c r="C64" s="896" t="str">
        <f>'Expenditures 15-22'!B206</f>
        <v>5300</v>
      </c>
      <c r="D64" s="892" t="s">
        <v>311</v>
      </c>
      <c r="E64" s="868"/>
      <c r="F64" s="1913">
        <f>'Expenditures 15-22'!K206</f>
        <v>0</v>
      </c>
      <c r="G64" s="865"/>
    </row>
    <row r="65" spans="1:8" x14ac:dyDescent="0.2">
      <c r="A65" s="869" t="s">
        <v>461</v>
      </c>
      <c r="B65" s="869" t="s">
        <v>1890</v>
      </c>
      <c r="C65" s="886" t="s">
        <v>982</v>
      </c>
      <c r="D65" s="885" t="s">
        <v>1095</v>
      </c>
      <c r="E65" s="868"/>
      <c r="F65" s="1913">
        <f>'Expenditures 15-22'!G210</f>
        <v>0</v>
      </c>
      <c r="G65" s="865"/>
    </row>
    <row r="66" spans="1:8" x14ac:dyDescent="0.2">
      <c r="A66" s="869" t="s">
        <v>461</v>
      </c>
      <c r="B66" s="869" t="s">
        <v>1891</v>
      </c>
      <c r="C66" s="886" t="s">
        <v>982</v>
      </c>
      <c r="D66" s="885" t="s">
        <v>291</v>
      </c>
      <c r="E66" s="868"/>
      <c r="F66" s="1913">
        <f>'Expenditures 15-22'!I210</f>
        <v>0</v>
      </c>
      <c r="G66" s="865"/>
    </row>
    <row r="67" spans="1:8" x14ac:dyDescent="0.2">
      <c r="A67" s="869" t="s">
        <v>462</v>
      </c>
      <c r="B67" s="869" t="s">
        <v>1892</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1893</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1894</v>
      </c>
      <c r="C70" s="886">
        <f>'Expenditures 15-22'!B221</f>
        <v>1300</v>
      </c>
      <c r="D70" s="887" t="str">
        <f>'Expenditures 15-22'!A221</f>
        <v>Adult/Continuing Education Programs</v>
      </c>
      <c r="E70" s="868"/>
      <c r="F70" s="1913">
        <f>'Expenditures 15-22'!K221</f>
        <v>0</v>
      </c>
      <c r="G70" s="865"/>
    </row>
    <row r="71" spans="1:8" x14ac:dyDescent="0.2">
      <c r="A71" s="869" t="s">
        <v>462</v>
      </c>
      <c r="B71" s="869" t="s">
        <v>1895</v>
      </c>
      <c r="C71" s="886">
        <f>'Expenditures 15-22'!B224</f>
        <v>1600</v>
      </c>
      <c r="D71" s="887" t="str">
        <f>'Expenditures 15-22'!A224</f>
        <v>Summer School Programs</v>
      </c>
      <c r="E71" s="868"/>
      <c r="F71" s="1913">
        <f>'Expenditures 15-22'!K224</f>
        <v>0</v>
      </c>
      <c r="G71" s="865"/>
    </row>
    <row r="72" spans="1:8" x14ac:dyDescent="0.2">
      <c r="A72" s="869" t="s">
        <v>462</v>
      </c>
      <c r="B72" s="869" t="s">
        <v>1896</v>
      </c>
      <c r="C72" s="886">
        <f>'Expenditures 15-22'!B280</f>
        <v>3000</v>
      </c>
      <c r="D72" s="876" t="s">
        <v>449</v>
      </c>
      <c r="E72" s="868"/>
      <c r="F72" s="1913">
        <f>'Expenditures 15-22'!K280</f>
        <v>0</v>
      </c>
      <c r="G72" s="865"/>
    </row>
    <row r="73" spans="1:8" x14ac:dyDescent="0.2">
      <c r="A73" s="869" t="s">
        <v>462</v>
      </c>
      <c r="B73" s="869" t="s">
        <v>1897</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1898</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1899</v>
      </c>
      <c r="E76" s="1774" t="s">
        <v>958</v>
      </c>
      <c r="F76" s="1778">
        <f>SUM(F18:F74)</f>
        <v>845954</v>
      </c>
      <c r="G76" s="865"/>
    </row>
    <row r="77" spans="1:8" s="893" customFormat="1" ht="12" customHeight="1" thickTop="1" thickBot="1" x14ac:dyDescent="0.25">
      <c r="A77" s="1779"/>
      <c r="B77" s="1776"/>
      <c r="C77" s="1772"/>
      <c r="D77" s="1777" t="s">
        <v>1900</v>
      </c>
      <c r="E77" s="1774"/>
      <c r="F77" s="1780">
        <f>(F14-F76)</f>
        <v>4396890</v>
      </c>
      <c r="G77" s="869"/>
    </row>
    <row r="78" spans="1:8" s="893" customFormat="1" ht="12" customHeight="1" thickTop="1" x14ac:dyDescent="0.2">
      <c r="A78" s="1781"/>
      <c r="B78" s="1776"/>
      <c r="C78" s="1772"/>
      <c r="D78" s="1777" t="s">
        <v>2062</v>
      </c>
      <c r="E78" s="1774"/>
      <c r="F78" s="898">
        <v>309.86</v>
      </c>
      <c r="G78" s="899"/>
      <c r="H78" s="869"/>
    </row>
    <row r="79" spans="1:8" s="893" customFormat="1" ht="12" customHeight="1" thickBot="1" x14ac:dyDescent="0.25">
      <c r="A79" s="1782"/>
      <c r="B79" s="1776"/>
      <c r="C79" s="1772"/>
      <c r="D79" s="1777" t="s">
        <v>1901</v>
      </c>
      <c r="E79" s="1774" t="s">
        <v>958</v>
      </c>
      <c r="F79" s="1783">
        <f>IF(F78&gt;0,F77/F78," Complete Line 78")</f>
        <v>14189.92448202414</v>
      </c>
      <c r="G79" s="869"/>
    </row>
    <row r="80" spans="1:8" s="893" customFormat="1" ht="8.25" customHeight="1" thickTop="1" x14ac:dyDescent="0.2">
      <c r="A80" s="900"/>
      <c r="B80" s="869"/>
      <c r="C80" s="871"/>
      <c r="D80" s="901"/>
      <c r="E80" s="868"/>
      <c r="F80" s="902"/>
      <c r="G80" s="869"/>
    </row>
    <row r="81" spans="1:7" s="893" customFormat="1" ht="12" thickBot="1" x14ac:dyDescent="0.25">
      <c r="A81" s="2254" t="s">
        <v>1105</v>
      </c>
      <c r="B81" s="2255"/>
      <c r="C81" s="2255"/>
      <c r="D81" s="2255"/>
      <c r="E81" s="2255"/>
      <c r="F81" s="2256"/>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4241</v>
      </c>
      <c r="G94" s="912"/>
    </row>
    <row r="95" spans="1:7" x14ac:dyDescent="0.2">
      <c r="A95" s="908" t="s">
        <v>140</v>
      </c>
      <c r="B95" s="908" t="s">
        <v>175</v>
      </c>
      <c r="C95" s="910">
        <v>1700</v>
      </c>
      <c r="D95" s="918" t="str">
        <f>'Revenues 9-14'!A82</f>
        <v>Total District/School Activity Income</v>
      </c>
      <c r="E95" s="906"/>
      <c r="F95" s="1789">
        <f>SUM('Revenues 9-14'!C82,'Revenues 9-14'!D82)</f>
        <v>5757</v>
      </c>
      <c r="G95" s="912"/>
    </row>
    <row r="96" spans="1:7" x14ac:dyDescent="0.2">
      <c r="A96" s="908" t="s">
        <v>459</v>
      </c>
      <c r="B96" s="908" t="s">
        <v>176</v>
      </c>
      <c r="C96" s="910">
        <f>'Revenues 9-14'!B84</f>
        <v>1811</v>
      </c>
      <c r="D96" s="911" t="str">
        <f>'Revenues 9-14'!A84</f>
        <v>Rentals - Regular Textbooks</v>
      </c>
      <c r="E96" s="906"/>
      <c r="F96" s="1789">
        <f>'Revenues 9-14'!C84</f>
        <v>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18738</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2003</v>
      </c>
      <c r="C105" s="913">
        <v>3100</v>
      </c>
      <c r="D105" s="919" t="str">
        <f>'Revenues 9-14'!A132</f>
        <v>Total Special Education</v>
      </c>
      <c r="E105" s="906"/>
      <c r="F105" s="1789">
        <f>SUM('Revenues 9-14'!C132:D132,'Revenues 9-14'!F132)</f>
        <v>0</v>
      </c>
      <c r="G105" s="912"/>
    </row>
    <row r="106" spans="1:7" x14ac:dyDescent="0.2">
      <c r="A106" s="908" t="s">
        <v>673</v>
      </c>
      <c r="B106" s="908" t="s">
        <v>2004</v>
      </c>
      <c r="C106" s="920">
        <v>3200</v>
      </c>
      <c r="D106" s="911" t="str">
        <f>'Revenues 9-14'!A141</f>
        <v>Total Career and Technical Education</v>
      </c>
      <c r="E106" s="906"/>
      <c r="F106" s="1789">
        <f>SUM('Revenues 9-14'!C141,'Revenues 9-14'!D141,'Revenues 9-14'!G141)</f>
        <v>5774</v>
      </c>
      <c r="G106" s="912"/>
    </row>
    <row r="107" spans="1:7" x14ac:dyDescent="0.2">
      <c r="A107" s="921" t="s">
        <v>664</v>
      </c>
      <c r="B107" s="908" t="s">
        <v>2005</v>
      </c>
      <c r="C107" s="920">
        <v>3300</v>
      </c>
      <c r="D107" s="911" t="str">
        <f>'Revenues 9-14'!A145</f>
        <v>Total Bilingual Ed</v>
      </c>
      <c r="E107" s="906"/>
      <c r="F107" s="1789">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9">
        <f>'Revenues 9-14'!C146</f>
        <v>4149</v>
      </c>
      <c r="G108" s="912"/>
    </row>
    <row r="109" spans="1:7" x14ac:dyDescent="0.2">
      <c r="A109" s="908" t="s">
        <v>673</v>
      </c>
      <c r="B109" s="908" t="s">
        <v>2007</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9">
        <f>SUM('Revenues 9-14'!C148,'Revenues 9-14'!D148)</f>
        <v>3889</v>
      </c>
      <c r="G110" s="912"/>
    </row>
    <row r="111" spans="1:7" x14ac:dyDescent="0.2">
      <c r="A111" s="908" t="s">
        <v>668</v>
      </c>
      <c r="B111" s="908" t="s">
        <v>2009</v>
      </c>
      <c r="C111" s="922">
        <v>3500</v>
      </c>
      <c r="D111" s="911" t="str">
        <f>'Revenues 9-14'!A155</f>
        <v>Total Transportation</v>
      </c>
      <c r="E111" s="906"/>
      <c r="F111" s="1789">
        <f>SUM('Revenues 9-14'!C155,'Revenues 9-14'!D155,'Revenues 9-14'!F155,'Revenues 9-14'!G155)</f>
        <v>270634</v>
      </c>
      <c r="G111" s="912"/>
    </row>
    <row r="112" spans="1:7" x14ac:dyDescent="0.2">
      <c r="A112" s="908" t="s">
        <v>459</v>
      </c>
      <c r="B112" s="908" t="s">
        <v>2010</v>
      </c>
      <c r="C112" s="920">
        <f>'Revenues 9-14'!B156</f>
        <v>3610</v>
      </c>
      <c r="D112" s="911" t="str">
        <f>'Revenues 9-14'!A156</f>
        <v>Learning Improvement - Change Grants</v>
      </c>
      <c r="E112" s="906"/>
      <c r="F112" s="1789">
        <f>'Revenues 9-14'!C156</f>
        <v>0</v>
      </c>
      <c r="G112" s="912"/>
    </row>
    <row r="113" spans="1:7" x14ac:dyDescent="0.2">
      <c r="A113" s="908" t="s">
        <v>668</v>
      </c>
      <c r="B113" s="908" t="s">
        <v>2011</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7">
        <f>SUM('Revenues 9-14'!C163:G163)</f>
        <v>0</v>
      </c>
      <c r="G118" s="912"/>
    </row>
    <row r="119" spans="1:7" x14ac:dyDescent="0.2">
      <c r="A119" s="923" t="s">
        <v>504</v>
      </c>
      <c r="B119" s="923" t="s">
        <v>2017</v>
      </c>
      <c r="C119" s="924">
        <f>'Revenues 9-14'!B164</f>
        <v>3815</v>
      </c>
      <c r="D119" s="925" t="str">
        <f>'Revenues 9-14'!A164</f>
        <v>State Charter Schools</v>
      </c>
      <c r="E119" s="906"/>
      <c r="F119" s="1907">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9">
        <f>'Revenues 9-14'!D167</f>
        <v>0</v>
      </c>
      <c r="G120" s="930"/>
    </row>
    <row r="121" spans="1:7" x14ac:dyDescent="0.2">
      <c r="A121" s="927" t="s">
        <v>500</v>
      </c>
      <c r="B121" s="927" t="s">
        <v>2019</v>
      </c>
      <c r="C121" s="928">
        <f>'Revenues 9-14'!B168</f>
        <v>3999</v>
      </c>
      <c r="D121" s="929" t="s">
        <v>543</v>
      </c>
      <c r="E121" s="931"/>
      <c r="F121" s="1789">
        <f>SUM('Revenues 9-14'!C168:G168,'Revenues 9-14'!J168)</f>
        <v>56693</v>
      </c>
      <c r="G121" s="930"/>
    </row>
    <row r="122" spans="1:7" x14ac:dyDescent="0.2">
      <c r="A122" s="927" t="s">
        <v>459</v>
      </c>
      <c r="B122" s="927" t="s">
        <v>2020</v>
      </c>
      <c r="C122" s="932">
        <f>'Revenues 9-14'!B177</f>
        <v>4045</v>
      </c>
      <c r="D122" s="929" t="str">
        <f>'Revenues 9-14'!A177 &amp; " (Subtract)"</f>
        <v>Head Start (Subtract)</v>
      </c>
      <c r="E122" s="906"/>
      <c r="F122" s="1789">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2022</v>
      </c>
      <c r="C124" s="932">
        <v>4100</v>
      </c>
      <c r="D124" s="933" t="str">
        <f>'Revenues 9-14'!A188</f>
        <v>Total Title V</v>
      </c>
      <c r="E124" s="906"/>
      <c r="F124" s="1789">
        <f>SUM('Revenues 9-14'!C188,'Revenues 9-14'!D188,'Revenues 9-14'!F188,'Revenues 9-14'!G188)</f>
        <v>0</v>
      </c>
      <c r="G124" s="930"/>
    </row>
    <row r="125" spans="1:7" x14ac:dyDescent="0.2">
      <c r="A125" s="927" t="s">
        <v>664</v>
      </c>
      <c r="B125" s="927" t="s">
        <v>2023</v>
      </c>
      <c r="C125" s="932">
        <v>4200</v>
      </c>
      <c r="D125" s="929" t="str">
        <f>'Revenues 9-14'!A198</f>
        <v>Total Food Service</v>
      </c>
      <c r="E125" s="906"/>
      <c r="F125" s="1789">
        <f>SUM('Revenues 9-14'!C198,'Revenues 9-14'!G198)</f>
        <v>199576</v>
      </c>
      <c r="G125" s="930"/>
    </row>
    <row r="126" spans="1:7" x14ac:dyDescent="0.2">
      <c r="A126" s="927" t="s">
        <v>668</v>
      </c>
      <c r="B126" s="927" t="s">
        <v>2024</v>
      </c>
      <c r="C126" s="932">
        <v>4300</v>
      </c>
      <c r="D126" s="933" t="str">
        <f>'Revenues 9-14'!A204</f>
        <v>Total Title I</v>
      </c>
      <c r="E126" s="906"/>
      <c r="F126" s="1789">
        <f>SUM('Revenues 9-14'!C204,'Revenues 9-14'!D204,'Revenues 9-14'!F204,'Revenues 9-14'!G204)</f>
        <v>225063</v>
      </c>
      <c r="G126" s="930"/>
    </row>
    <row r="127" spans="1:7" x14ac:dyDescent="0.2">
      <c r="A127" s="927" t="s">
        <v>668</v>
      </c>
      <c r="B127" s="927" t="s">
        <v>2025</v>
      </c>
      <c r="C127" s="932">
        <v>4400</v>
      </c>
      <c r="D127" s="933" t="str">
        <f>'Revenues 9-14'!A209</f>
        <v>Total Title IV</v>
      </c>
      <c r="E127" s="906"/>
      <c r="F127" s="1789">
        <f>SUM('Revenues 9-14'!C209,'Revenues 9-14'!D209,'Revenues 9-14'!F209,'Revenues 9-14'!G209)</f>
        <v>11729</v>
      </c>
      <c r="G127" s="930"/>
    </row>
    <row r="128" spans="1:7" x14ac:dyDescent="0.2">
      <c r="A128" s="927" t="s">
        <v>668</v>
      </c>
      <c r="B128" s="927" t="s">
        <v>2026</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2027</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2028</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2029</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2030</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9">
        <v>0</v>
      </c>
      <c r="G138" s="905"/>
    </row>
    <row r="139" spans="1:7" s="867" customFormat="1" hidden="1" x14ac:dyDescent="0.2">
      <c r="A139" s="934" t="s">
        <v>206</v>
      </c>
      <c r="B139" s="934" t="s">
        <v>2036</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2044</v>
      </c>
      <c r="C157" s="940" t="s">
        <v>841</v>
      </c>
      <c r="D157" s="941" t="s">
        <v>777</v>
      </c>
      <c r="E157" s="942"/>
      <c r="F157" s="1789">
        <f>SUM(F133:F156)</f>
        <v>0</v>
      </c>
      <c r="G157" s="905"/>
    </row>
    <row r="158" spans="1:7" s="867" customFormat="1" x14ac:dyDescent="0.2">
      <c r="A158" s="938" t="s">
        <v>459</v>
      </c>
      <c r="B158" s="939" t="s">
        <v>2045</v>
      </c>
      <c r="C158" s="940" t="s">
        <v>1427</v>
      </c>
      <c r="D158" s="941" t="s">
        <v>1428</v>
      </c>
      <c r="E158" s="942"/>
      <c r="F158" s="1789">
        <f>SUM('Revenues 9-14'!C253)</f>
        <v>0</v>
      </c>
      <c r="G158" s="905"/>
    </row>
    <row r="159" spans="1:7" s="867" customFormat="1" x14ac:dyDescent="0.2">
      <c r="A159" s="938" t="s">
        <v>500</v>
      </c>
      <c r="B159" s="939" t="s">
        <v>2046</v>
      </c>
      <c r="C159" s="940" t="s">
        <v>1466</v>
      </c>
      <c r="D159" s="941" t="s">
        <v>1467</v>
      </c>
      <c r="E159" s="942"/>
      <c r="F159" s="1789">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7">
        <f>SUM('Revenues 9-14'!C259,'Revenues 9-14'!D259,'Revenues 9-14'!F259,'Revenues 9-14'!G259)</f>
        <v>22467</v>
      </c>
      <c r="G164" s="930"/>
    </row>
    <row r="165" spans="1:7" x14ac:dyDescent="0.2">
      <c r="A165" s="927" t="s">
        <v>668</v>
      </c>
      <c r="B165" s="927" t="s">
        <v>2052</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9">
        <f>SUM('Revenues 9-14'!C263:D263,'Revenues 9-14'!F263:G263)</f>
        <v>9231</v>
      </c>
      <c r="G168" s="947">
        <v>6320</v>
      </c>
    </row>
    <row r="169" spans="1:7" x14ac:dyDescent="0.2">
      <c r="A169" s="927" t="s">
        <v>668</v>
      </c>
      <c r="B169" s="927" t="s">
        <v>2054</v>
      </c>
      <c r="C169" s="932">
        <f>'Revenues 9-14'!B264</f>
        <v>4992</v>
      </c>
      <c r="D169" s="933" t="str">
        <f>'Revenues 9-14'!A264</f>
        <v>Medicaid Matching Funds - Fee-for-Service Program</v>
      </c>
      <c r="E169" s="906"/>
      <c r="F169" s="1789">
        <f>SUM('Revenues 9-14'!C264:D264,'Revenues 9-14'!F264:G264)</f>
        <v>43190</v>
      </c>
      <c r="G169" s="947"/>
    </row>
    <row r="170" spans="1:7" x14ac:dyDescent="0.2">
      <c r="A170" s="948" t="s">
        <v>668</v>
      </c>
      <c r="B170" s="944" t="s">
        <v>2055</v>
      </c>
      <c r="C170" s="945">
        <f>'Revenues 9-14'!B265</f>
        <v>4999</v>
      </c>
      <c r="D170" s="946" t="str">
        <f>'Revenues 9-14'!A265</f>
        <v>Other Restricted Revenue from Federal Sources (Describe &amp; Itemize)</v>
      </c>
      <c r="E170" s="906"/>
      <c r="F170" s="1789">
        <f>SUM('Revenues 9-14'!C265:D265,'Revenues 9-14'!F265:G265)</f>
        <v>20882</v>
      </c>
      <c r="G170" s="927"/>
    </row>
    <row r="171" spans="1:7" x14ac:dyDescent="0.2">
      <c r="A171" s="1918" t="s">
        <v>5</v>
      </c>
      <c r="B171" s="1919" t="s">
        <v>1920</v>
      </c>
      <c r="C171" s="1920">
        <v>3100</v>
      </c>
      <c r="D171" s="1921" t="s">
        <v>1922</v>
      </c>
      <c r="E171" s="906"/>
      <c r="F171" s="1906">
        <v>131517</v>
      </c>
      <c r="G171" s="927"/>
    </row>
    <row r="172" spans="1:7" x14ac:dyDescent="0.2">
      <c r="A172" s="1918" t="s">
        <v>664</v>
      </c>
      <c r="B172" s="1919" t="s">
        <v>1920</v>
      </c>
      <c r="C172" s="1920">
        <v>3300</v>
      </c>
      <c r="D172" s="1921" t="s">
        <v>1923</v>
      </c>
      <c r="E172" s="906"/>
      <c r="F172" s="1906">
        <v>0</v>
      </c>
      <c r="G172" s="927"/>
    </row>
    <row r="173" spans="1:7" ht="6" customHeight="1" x14ac:dyDescent="0.2">
      <c r="A173" s="927"/>
      <c r="B173" s="927"/>
      <c r="C173" s="949"/>
      <c r="D173" s="927"/>
      <c r="E173" s="906"/>
      <c r="F173" s="950"/>
      <c r="G173" s="947"/>
    </row>
    <row r="174" spans="1:7" x14ac:dyDescent="0.2">
      <c r="A174" s="1770"/>
      <c r="B174" s="1784"/>
      <c r="C174" s="1785"/>
      <c r="D174" s="1786" t="s">
        <v>2056</v>
      </c>
      <c r="E174" s="1787" t="s">
        <v>958</v>
      </c>
      <c r="F174" s="1788">
        <f>SUM(F84:F132,F157:F172)</f>
        <v>1033530</v>
      </c>
    </row>
    <row r="175" spans="1:7" ht="12" customHeight="1" x14ac:dyDescent="0.2">
      <c r="A175" s="1770"/>
      <c r="B175" s="1784"/>
      <c r="C175" s="1785"/>
      <c r="D175" s="1786" t="s">
        <v>2057</v>
      </c>
      <c r="E175" s="1787"/>
      <c r="F175" s="1789">
        <f>'PCTC-OEPP 27-28'!F77-F174</f>
        <v>3363360</v>
      </c>
    </row>
    <row r="176" spans="1:7" ht="12" customHeight="1" x14ac:dyDescent="0.2">
      <c r="A176" s="1770"/>
      <c r="B176" s="1784"/>
      <c r="C176" s="1785"/>
      <c r="D176" s="1786" t="s">
        <v>1817</v>
      </c>
      <c r="E176" s="1787"/>
      <c r="F176" s="1789">
        <f>'Cap Outlay Deprec 26'!I18</f>
        <v>313579</v>
      </c>
    </row>
    <row r="177" spans="1:7" ht="12" customHeight="1" x14ac:dyDescent="0.2">
      <c r="A177" s="1770"/>
      <c r="B177" s="1784"/>
      <c r="C177" s="1785"/>
      <c r="D177" s="1786" t="s">
        <v>2058</v>
      </c>
      <c r="E177" s="1787"/>
      <c r="F177" s="1789">
        <f>F175+F176</f>
        <v>3676939</v>
      </c>
    </row>
    <row r="178" spans="1:7" ht="12" customHeight="1" x14ac:dyDescent="0.2">
      <c r="A178" s="1770"/>
      <c r="B178" s="1790"/>
      <c r="C178" s="1785"/>
      <c r="D178" s="1786" t="str">
        <f>D78</f>
        <v>9 Month ADA from District Average Daily Attendance/Prior General State Aid Inquiry 2018-2019</v>
      </c>
      <c r="E178" s="1787"/>
      <c r="F178" s="1791">
        <f>'PCTC-OEPP 27-28'!F78</f>
        <v>309.86</v>
      </c>
      <c r="G178" s="930"/>
    </row>
    <row r="179" spans="1:7" ht="12" customHeight="1" thickBot="1" x14ac:dyDescent="0.25">
      <c r="A179" s="1770"/>
      <c r="B179" s="1790"/>
      <c r="C179" s="1785"/>
      <c r="D179" s="1786" t="s">
        <v>2059</v>
      </c>
      <c r="E179" s="1787" t="s">
        <v>1545</v>
      </c>
      <c r="F179" s="1792">
        <f>F177/F178</f>
        <v>11866.452591492931</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2" customFormat="1" ht="12.2" customHeight="1" x14ac:dyDescent="0.2">
      <c r="A182" s="1922" t="s">
        <v>1994</v>
      </c>
      <c r="B182" s="1923"/>
      <c r="C182" s="1924"/>
      <c r="D182" s="1923"/>
      <c r="E182" s="1924"/>
      <c r="F182" s="1923"/>
      <c r="G182" s="1923"/>
    </row>
    <row r="183" spans="1:7" s="1922" customFormat="1" ht="12.2" customHeight="1" x14ac:dyDescent="0.2">
      <c r="A183" s="1925" t="s">
        <v>1996</v>
      </c>
      <c r="C183" s="1924"/>
      <c r="D183" s="1923"/>
      <c r="E183" s="1924"/>
      <c r="F183" s="1923"/>
      <c r="G183" s="1923"/>
    </row>
    <row r="184" spans="1:7" ht="12" customHeight="1" x14ac:dyDescent="0.2">
      <c r="C184" s="949"/>
      <c r="D184" s="930"/>
      <c r="E184" s="949"/>
      <c r="F184" s="930"/>
      <c r="G184" s="930"/>
    </row>
    <row r="185" spans="1:7" x14ac:dyDescent="0.2">
      <c r="A185" s="1926" t="s">
        <v>1925</v>
      </c>
      <c r="B185" s="1927"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3"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topLeftCell="A10" zoomScaleNormal="100" workbookViewId="0">
      <selection activeCell="A91" sqref="A91"/>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68" t="s">
        <v>1818</v>
      </c>
      <c r="B4" s="2269"/>
      <c r="C4" s="2269"/>
      <c r="D4" s="2269"/>
      <c r="E4" s="2269"/>
      <c r="F4" s="2269"/>
      <c r="G4" s="2270"/>
    </row>
    <row r="5" spans="1:7" x14ac:dyDescent="0.25">
      <c r="A5" s="2271"/>
      <c r="B5" s="2272"/>
      <c r="C5" s="2272"/>
      <c r="D5" s="2272"/>
      <c r="E5" s="2272"/>
      <c r="F5" s="2272"/>
      <c r="G5" s="2273"/>
    </row>
    <row r="6" spans="1:7" ht="18.75" x14ac:dyDescent="0.25">
      <c r="A6" s="1534" t="s">
        <v>1819</v>
      </c>
      <c r="B6" s="1535"/>
      <c r="C6" s="1535"/>
      <c r="D6" s="1535"/>
      <c r="E6" s="1535"/>
      <c r="F6" s="1535"/>
      <c r="G6" s="1536"/>
    </row>
    <row r="7" spans="1:7" ht="30.75" customHeight="1" x14ac:dyDescent="0.25">
      <c r="A7" s="2274" t="s">
        <v>1932</v>
      </c>
      <c r="B7" s="2275"/>
      <c r="C7" s="2275"/>
      <c r="D7" s="2275"/>
      <c r="E7" s="2275"/>
      <c r="F7" s="2275"/>
      <c r="G7" s="2276"/>
    </row>
    <row r="8" spans="1:7" ht="15.75" customHeight="1" x14ac:dyDescent="0.25">
      <c r="A8" s="2277" t="s">
        <v>1907</v>
      </c>
      <c r="B8" s="2278"/>
      <c r="C8" s="2278"/>
      <c r="D8" s="2278"/>
      <c r="E8" s="2278"/>
      <c r="F8" s="2278"/>
      <c r="G8" s="2279"/>
    </row>
    <row r="9" spans="1:7" ht="35.25" customHeight="1" x14ac:dyDescent="0.25">
      <c r="A9" s="2274" t="s">
        <v>1935</v>
      </c>
      <c r="B9" s="2275"/>
      <c r="C9" s="2275"/>
      <c r="D9" s="2275"/>
      <c r="E9" s="2275"/>
      <c r="F9" s="2275"/>
      <c r="G9" s="2276"/>
    </row>
    <row r="10" spans="1:7" ht="15" customHeight="1" x14ac:dyDescent="0.25">
      <c r="A10" s="1537" t="s">
        <v>1820</v>
      </c>
      <c r="B10" s="1538"/>
      <c r="C10" s="1538"/>
      <c r="D10" s="1538"/>
      <c r="E10" s="1538"/>
      <c r="F10" s="1538"/>
      <c r="G10" s="1539"/>
    </row>
    <row r="11" spans="1:7" ht="17.25" customHeight="1" x14ac:dyDescent="0.25">
      <c r="A11" s="2274" t="s">
        <v>1934</v>
      </c>
      <c r="B11" s="2275"/>
      <c r="C11" s="2275"/>
      <c r="D11" s="2275"/>
      <c r="E11" s="2275"/>
      <c r="F11" s="2275"/>
      <c r="G11" s="2276"/>
    </row>
    <row r="12" spans="1:7" ht="15" customHeight="1" x14ac:dyDescent="0.25">
      <c r="A12" s="1537" t="s">
        <v>1825</v>
      </c>
      <c r="B12" s="1538"/>
      <c r="C12" s="1538"/>
      <c r="D12" s="1538"/>
      <c r="E12" s="1538"/>
      <c r="F12" s="1538"/>
      <c r="G12" s="1539"/>
    </row>
    <row r="13" spans="1:7" ht="32.25" customHeight="1" x14ac:dyDescent="0.25">
      <c r="A13" s="2265" t="s">
        <v>1976</v>
      </c>
      <c r="B13" s="2266"/>
      <c r="C13" s="2266"/>
      <c r="D13" s="2266"/>
      <c r="E13" s="2266"/>
      <c r="F13" s="2266"/>
      <c r="G13" s="2267"/>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7" t="s">
        <v>2088</v>
      </c>
      <c r="B17" s="1934" t="s">
        <v>2089</v>
      </c>
      <c r="C17" s="1938" t="s">
        <v>2088</v>
      </c>
      <c r="D17" s="1844">
        <v>0</v>
      </c>
      <c r="E17" s="1540">
        <f t="shared" ref="E17:E141" si="0">IF(D17&lt;=25000,D17,IF(D17&gt;25000,25000,0))</f>
        <v>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3">
        <f>IF(F17=0,0,D17-F17)</f>
        <v>0</v>
      </c>
      <c r="H17" s="1647"/>
    </row>
    <row r="18" spans="1:8" x14ac:dyDescent="0.25">
      <c r="A18" s="1653"/>
      <c r="B18" s="1934"/>
      <c r="C18" s="1656"/>
      <c r="D18" s="1844"/>
      <c r="E18" s="1540">
        <f t="shared" ref="E18:E140" si="2">IF(D18&lt;=25000,D18,IF(D18&gt;25000,25000,0))</f>
        <v>0</v>
      </c>
      <c r="F18" s="1932">
        <f t="shared" si="1"/>
        <v>0</v>
      </c>
      <c r="G18" s="1793">
        <f t="shared" ref="G18:G140" si="3">IF(F18=0,0,D18-F18)</f>
        <v>0</v>
      </c>
    </row>
    <row r="19" spans="1:8" x14ac:dyDescent="0.25">
      <c r="A19" s="1653"/>
      <c r="B19" s="1934"/>
      <c r="C19" s="1656"/>
      <c r="D19" s="1844"/>
      <c r="E19" s="1540">
        <f t="shared" si="2"/>
        <v>0</v>
      </c>
      <c r="F19" s="1932">
        <f t="shared" si="1"/>
        <v>0</v>
      </c>
      <c r="G19" s="1793">
        <f t="shared" si="3"/>
        <v>0</v>
      </c>
    </row>
    <row r="20" spans="1:8" x14ac:dyDescent="0.25">
      <c r="A20" s="1653"/>
      <c r="B20" s="1934"/>
      <c r="C20" s="1656"/>
      <c r="D20" s="1844"/>
      <c r="E20" s="1540">
        <f t="shared" si="2"/>
        <v>0</v>
      </c>
      <c r="F20" s="1932">
        <f t="shared" si="1"/>
        <v>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0</v>
      </c>
      <c r="E141" s="1541">
        <f t="shared" si="0"/>
        <v>0</v>
      </c>
      <c r="F141" s="1933">
        <f>SUM(F17:F140)</f>
        <v>0</v>
      </c>
      <c r="G141" s="1795">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I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0" t="s">
        <v>1679</v>
      </c>
      <c r="B5" s="2281"/>
      <c r="C5" s="2281"/>
      <c r="D5" s="2281"/>
      <c r="E5" s="2281"/>
      <c r="F5" s="2281"/>
      <c r="G5" s="2282"/>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v>0</v>
      </c>
      <c r="F7" s="974"/>
      <c r="G7" s="975"/>
      <c r="H7" s="162"/>
      <c r="I7" s="162"/>
    </row>
    <row r="8" spans="1:9" s="668" customFormat="1" ht="12" customHeight="1" x14ac:dyDescent="0.2">
      <c r="A8" s="970" t="s">
        <v>129</v>
      </c>
      <c r="B8" s="971"/>
      <c r="C8" s="971"/>
      <c r="D8" s="972"/>
      <c r="E8" s="973">
        <v>0</v>
      </c>
      <c r="F8" s="974"/>
      <c r="G8" s="975"/>
      <c r="H8" s="162"/>
      <c r="I8" s="162"/>
    </row>
    <row r="9" spans="1:9" s="668" customFormat="1" ht="12" customHeight="1" x14ac:dyDescent="0.2">
      <c r="A9" s="970" t="s">
        <v>130</v>
      </c>
      <c r="B9" s="971"/>
      <c r="C9" s="971"/>
      <c r="D9" s="972"/>
      <c r="E9" s="973">
        <v>0</v>
      </c>
      <c r="F9" s="974"/>
      <c r="G9" s="975"/>
      <c r="H9" s="162"/>
      <c r="I9" s="162"/>
    </row>
    <row r="10" spans="1:9" s="668" customFormat="1" ht="12" customHeight="1" x14ac:dyDescent="0.2">
      <c r="A10" s="970" t="s">
        <v>1933</v>
      </c>
      <c r="B10" s="971"/>
      <c r="C10" s="976"/>
      <c r="D10" s="972"/>
      <c r="E10" s="973">
        <v>79750</v>
      </c>
      <c r="F10" s="974"/>
      <c r="G10" s="975"/>
      <c r="H10" s="162"/>
      <c r="I10" s="162"/>
    </row>
    <row r="11" spans="1:9" s="668" customFormat="1" ht="22.5" customHeight="1" x14ac:dyDescent="0.2">
      <c r="A11" s="2285" t="s">
        <v>1977</v>
      </c>
      <c r="B11" s="2286"/>
      <c r="C11" s="2286"/>
      <c r="D11" s="2287"/>
      <c r="E11" s="977">
        <v>13211</v>
      </c>
      <c r="F11" s="974"/>
      <c r="G11" s="978"/>
      <c r="H11" s="162"/>
      <c r="I11" s="162"/>
    </row>
    <row r="12" spans="1:9" s="668" customFormat="1" ht="12" customHeight="1" x14ac:dyDescent="0.2">
      <c r="A12" s="970" t="s">
        <v>131</v>
      </c>
      <c r="B12" s="971"/>
      <c r="C12" s="971"/>
      <c r="D12" s="972"/>
      <c r="E12" s="973">
        <v>0</v>
      </c>
      <c r="F12" s="974"/>
      <c r="G12" s="975"/>
      <c r="H12" s="162"/>
      <c r="I12" s="162"/>
    </row>
    <row r="13" spans="1:9" s="668" customFormat="1" ht="12" customHeight="1" x14ac:dyDescent="0.2">
      <c r="A13" s="970" t="s">
        <v>203</v>
      </c>
      <c r="B13" s="971"/>
      <c r="C13" s="971"/>
      <c r="D13" s="972"/>
      <c r="E13" s="973">
        <v>0</v>
      </c>
      <c r="F13" s="974"/>
      <c r="G13" s="975"/>
      <c r="H13" s="162"/>
      <c r="I13" s="162"/>
    </row>
    <row r="14" spans="1:9" s="668" customFormat="1" ht="12" customHeight="1" x14ac:dyDescent="0.2">
      <c r="A14" s="970" t="s">
        <v>204</v>
      </c>
      <c r="B14" s="971"/>
      <c r="C14" s="971"/>
      <c r="D14" s="972"/>
      <c r="E14" s="973">
        <v>0</v>
      </c>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2234341</v>
      </c>
      <c r="F19" s="1799"/>
      <c r="G19" s="1801">
        <f>'Expenditures 15-22'!K33-SUM('Expenditures 15-22'!G33,'Expenditures 15-22'!I33)+'Expenditures 15-22'!D229</f>
        <v>2234341</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86710</v>
      </c>
      <c r="F21" s="1802"/>
      <c r="G21" s="1805">
        <f>'Expenditures 15-22'!K42-SUM('Expenditures 15-22'!G42,'Expenditures 15-22'!I42)+'Expenditures 15-22'!K120-SUM('Expenditures 15-22'!G120,'Expenditures 15-22'!I120)+'Expenditures 15-22'!K180-SUM('Expenditures 15-22'!G180,'Expenditures 15-22'!I180)+'Expenditures 15-22'!D238</f>
        <v>86710</v>
      </c>
      <c r="H21" s="987"/>
      <c r="I21" s="162"/>
    </row>
    <row r="22" spans="1:9" s="668" customFormat="1" ht="12" customHeight="1" x14ac:dyDescent="0.2">
      <c r="A22" s="994" t="s">
        <v>564</v>
      </c>
      <c r="B22" s="995"/>
      <c r="C22" s="993">
        <v>2200</v>
      </c>
      <c r="D22" s="1802"/>
      <c r="E22" s="1804">
        <f>'Expenditures 15-22'!K47-SUM('Expenditures 15-22'!G47,'Expenditures 15-22'!I47)+'Expenditures 15-22'!D243</f>
        <v>51357</v>
      </c>
      <c r="F22" s="1802"/>
      <c r="G22" s="1805">
        <f>'Expenditures 15-22'!K47-SUM('Expenditures 15-22'!G47,'Expenditures 15-22'!I47)+'Expenditures 15-22'!D243</f>
        <v>51357</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582909</v>
      </c>
      <c r="F23" s="1802"/>
      <c r="G23" s="1804">
        <f>'Expenditures 15-22'!K53-SUM('Expenditures 15-22'!G53,'Expenditures 15-22'!I53)+'Expenditures 15-22'!D257+'Expenditures 15-22'!K330-SUM('Expenditures 15-22'!G330,'Expenditures 15-22'!I330)</f>
        <v>582909</v>
      </c>
      <c r="H23" s="987"/>
      <c r="I23" s="162"/>
    </row>
    <row r="24" spans="1:9" s="668" customFormat="1" ht="12" customHeight="1" x14ac:dyDescent="0.2">
      <c r="A24" s="994" t="s">
        <v>566</v>
      </c>
      <c r="B24" s="995"/>
      <c r="C24" s="993">
        <v>2400</v>
      </c>
      <c r="D24" s="1802"/>
      <c r="E24" s="1804">
        <f>'Expenditures 15-22'!K57-SUM('Expenditures 15-22'!G57,'Expenditures 15-22'!I57)+'Expenditures 15-22'!D261</f>
        <v>249624</v>
      </c>
      <c r="F24" s="1802"/>
      <c r="G24" s="1805">
        <f>'Expenditures 15-22'!K57-SUM('Expenditures 15-22'!G57,'Expenditures 15-22'!I57)+'Expenditures 15-22'!D261</f>
        <v>249624</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35886</v>
      </c>
      <c r="E27" s="1804">
        <f>E8</f>
        <v>0</v>
      </c>
      <c r="F27" s="1804">
        <f>'Expenditures 15-22'!K60-SUM('Expenditures 15-22'!G60,'Expenditures 15-22'!I60)+'Expenditures 15-22'!D264-E8</f>
        <v>35886</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417870</v>
      </c>
      <c r="F28" s="1806">
        <f>'Expenditures 15-22'!K61-SUM('Expenditures 15-22'!G61,'Expenditures 15-22'!I61)+'Expenditures 15-22'!K124-SUM('Expenditures 15-22'!G124,'Expenditures 15-22'!I124)+'Expenditures 15-22'!D266-E9</f>
        <v>417870</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532460</v>
      </c>
      <c r="F29" s="1802"/>
      <c r="G29" s="1805">
        <f>'Expenditures 15-22'!K62-SUM('Expenditures 15-22'!G62,'Expenditures 15-22'!I62)+'Expenditures 15-22'!K125-SUM('Expenditures 15-22'!G125,'Expenditures 15-22'!I125)+'Expenditures 15-22'!K182-SUM('Expenditures 15-22'!G182,'Expenditures 15-22'!I182)+'Expenditures 15-22'!D267</f>
        <v>532460</v>
      </c>
      <c r="H29" s="985"/>
    </row>
    <row r="30" spans="1:9" ht="12" customHeight="1" x14ac:dyDescent="0.2">
      <c r="A30" s="994" t="s">
        <v>100</v>
      </c>
      <c r="B30" s="997"/>
      <c r="C30" s="993">
        <v>2560</v>
      </c>
      <c r="D30" s="1802"/>
      <c r="E30" s="1804">
        <f>'Expenditures 15-22'!K63-SUM('Expenditures 15-22'!G63,'Expenditures 15-22'!I63)+'Expenditures 15-22'!D268-E10</f>
        <v>76511</v>
      </c>
      <c r="F30" s="1802"/>
      <c r="G30" s="1804">
        <f>'Expenditures 15-22'!K63-SUM('Expenditures 15-22'!G63,'Expenditures 15-22'!I63)+'Expenditures 15-22'!D268-E10</f>
        <v>76511</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35886</v>
      </c>
      <c r="E41" s="1806">
        <f>SUM(E19:E40)</f>
        <v>4231782</v>
      </c>
      <c r="F41" s="1806">
        <f>SUM(F19:F39)</f>
        <v>453756</v>
      </c>
      <c r="G41" s="1806">
        <f>SUM(G19:G40)</f>
        <v>3813912</v>
      </c>
    </row>
    <row r="42" spans="1:7" x14ac:dyDescent="0.2">
      <c r="A42" s="987"/>
      <c r="B42" s="162"/>
      <c r="C42" s="1001"/>
      <c r="D42" s="2283" t="s">
        <v>522</v>
      </c>
      <c r="E42" s="2284"/>
      <c r="F42" s="1002" t="s">
        <v>523</v>
      </c>
      <c r="G42" s="1003"/>
    </row>
    <row r="43" spans="1:7" ht="12" customHeight="1" x14ac:dyDescent="0.2">
      <c r="A43" s="987"/>
      <c r="B43" s="162"/>
      <c r="C43" s="1001"/>
      <c r="D43" s="1807" t="s">
        <v>473</v>
      </c>
      <c r="E43" s="1808">
        <f>D41</f>
        <v>35886</v>
      </c>
      <c r="F43" s="1807" t="s">
        <v>473</v>
      </c>
      <c r="G43" s="1808">
        <f>F41</f>
        <v>453756</v>
      </c>
    </row>
    <row r="44" spans="1:7" ht="12" customHeight="1" x14ac:dyDescent="0.2">
      <c r="A44" s="987"/>
      <c r="B44" s="162"/>
      <c r="C44" s="1001"/>
      <c r="D44" s="1807" t="s">
        <v>474</v>
      </c>
      <c r="E44" s="1808">
        <f>E41</f>
        <v>4231782</v>
      </c>
      <c r="F44" s="1807" t="s">
        <v>474</v>
      </c>
      <c r="G44" s="1808">
        <f>G41</f>
        <v>3813912</v>
      </c>
    </row>
    <row r="45" spans="1:7" ht="12" customHeight="1" x14ac:dyDescent="0.2">
      <c r="A45" s="987"/>
      <c r="B45" s="162"/>
      <c r="C45" s="162"/>
      <c r="D45" s="1809" t="s">
        <v>1006</v>
      </c>
      <c r="E45" s="1810">
        <f>(E43/E44)</f>
        <v>8.4801154690860737E-3</v>
      </c>
      <c r="F45" s="1809" t="s">
        <v>1006</v>
      </c>
      <c r="G45" s="1810">
        <f>(G43/G44)</f>
        <v>0.11897390396002844</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6" activePane="bottomLeft" state="frozen"/>
      <selection activeCell="A47" sqref="A47"/>
      <selection pane="bottomLeft" activeCell="F31" sqref="F31"/>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291" t="s">
        <v>1379</v>
      </c>
      <c r="B1" s="2291"/>
      <c r="C1" s="2291"/>
      <c r="D1" s="2291"/>
      <c r="E1" s="2291"/>
      <c r="F1" s="2291"/>
    </row>
    <row r="2" spans="1:10" x14ac:dyDescent="0.2">
      <c r="A2" s="1887" t="s">
        <v>1912</v>
      </c>
      <c r="B2" s="1848"/>
      <c r="C2" s="1887"/>
      <c r="D2" s="1848"/>
      <c r="E2" s="1848"/>
      <c r="F2" s="1849"/>
    </row>
    <row r="3" spans="1:10" x14ac:dyDescent="0.2">
      <c r="A3" s="1887" t="s">
        <v>1978</v>
      </c>
      <c r="B3" s="1848"/>
      <c r="C3" s="1887"/>
      <c r="D3" s="1848"/>
      <c r="E3" s="1848"/>
      <c r="F3" s="1849"/>
    </row>
    <row r="4" spans="1:10" ht="3.75" customHeight="1" x14ac:dyDescent="0.2">
      <c r="A4" s="1848"/>
      <c r="B4" s="1848"/>
      <c r="C4" s="1848"/>
      <c r="D4" s="1848"/>
      <c r="E4" s="1848"/>
      <c r="F4" s="1849"/>
    </row>
    <row r="5" spans="1:10" ht="15" x14ac:dyDescent="0.25">
      <c r="A5" s="2292" t="s">
        <v>1546</v>
      </c>
      <c r="B5" s="2293"/>
      <c r="C5" s="2294"/>
      <c r="D5" s="2294"/>
      <c r="E5" s="2294"/>
      <c r="F5" s="2294"/>
    </row>
    <row r="6" spans="1:10" ht="12" customHeight="1" x14ac:dyDescent="0.25">
      <c r="A6" s="1850"/>
      <c r="B6" s="1851"/>
      <c r="C6" s="2295" t="str">
        <f>COVER!A17</f>
        <v>Shawnee CUSD 84</v>
      </c>
      <c r="D6" s="2295"/>
      <c r="E6" s="2295"/>
      <c r="F6" s="1852"/>
    </row>
    <row r="7" spans="1:10" ht="11.25" customHeight="1" thickBot="1" x14ac:dyDescent="0.3">
      <c r="A7" s="1850"/>
      <c r="B7" s="1851"/>
      <c r="C7" s="2296">
        <f>COVER!A13</f>
        <v>30091084026</v>
      </c>
      <c r="D7" s="2296"/>
      <c r="E7" s="2296"/>
      <c r="F7" s="1852"/>
    </row>
    <row r="8" spans="1:10" ht="25.5" customHeight="1" thickBot="1" x14ac:dyDescent="0.25">
      <c r="A8" s="1893" t="s">
        <v>1908</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2064</v>
      </c>
      <c r="D26" s="1865" t="s">
        <v>2064</v>
      </c>
      <c r="E26" s="1868" t="s">
        <v>2064</v>
      </c>
      <c r="F26" s="1867" t="s">
        <v>2083</v>
      </c>
      <c r="H26" s="1878">
        <f t="shared" si="0"/>
        <v>5</v>
      </c>
      <c r="I26" s="1878">
        <f t="shared" si="1"/>
        <v>5</v>
      </c>
      <c r="J26" s="1878">
        <f t="shared" si="2"/>
        <v>5</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t="s">
        <v>2064</v>
      </c>
      <c r="D30" s="1865" t="s">
        <v>2064</v>
      </c>
      <c r="E30" s="1868" t="s">
        <v>2064</v>
      </c>
      <c r="F30" s="1867" t="s">
        <v>2090</v>
      </c>
      <c r="H30" s="1878">
        <f t="shared" si="0"/>
        <v>5</v>
      </c>
      <c r="I30" s="1878">
        <f t="shared" si="1"/>
        <v>5</v>
      </c>
      <c r="J30" s="1878">
        <f t="shared" si="2"/>
        <v>5</v>
      </c>
    </row>
    <row r="31" spans="1:12" ht="12" customHeight="1" x14ac:dyDescent="0.2">
      <c r="A31" s="1863" t="s">
        <v>1539</v>
      </c>
      <c r="B31" s="1864"/>
      <c r="C31" s="1865" t="s">
        <v>2064</v>
      </c>
      <c r="D31" s="1865" t="s">
        <v>2064</v>
      </c>
      <c r="E31" s="1868" t="s">
        <v>2064</v>
      </c>
      <c r="F31" s="1867" t="s">
        <v>2085</v>
      </c>
      <c r="H31" s="1878">
        <f t="shared" si="0"/>
        <v>5</v>
      </c>
      <c r="I31" s="1878">
        <f t="shared" si="1"/>
        <v>5</v>
      </c>
      <c r="J31" s="1878">
        <f t="shared" si="2"/>
        <v>5</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t="s">
        <v>2064</v>
      </c>
      <c r="D33" s="1865" t="s">
        <v>2064</v>
      </c>
      <c r="E33" s="1868" t="s">
        <v>2064</v>
      </c>
      <c r="F33" s="1867" t="s">
        <v>2084</v>
      </c>
      <c r="H33" s="1878">
        <f t="shared" si="0"/>
        <v>5</v>
      </c>
      <c r="I33" s="1878">
        <f t="shared" si="1"/>
        <v>5</v>
      </c>
      <c r="J33" s="1878">
        <f t="shared" si="2"/>
        <v>5</v>
      </c>
    </row>
    <row r="34" spans="1:11" ht="12" customHeight="1" x14ac:dyDescent="0.25">
      <c r="A34" s="1870"/>
      <c r="B34" s="1870"/>
      <c r="C34" s="1870"/>
      <c r="D34" s="1870"/>
      <c r="E34" s="1870"/>
      <c r="F34" s="1870"/>
      <c r="H34" s="1878">
        <f>SUM(H11:H32)</f>
        <v>15</v>
      </c>
      <c r="I34" s="1878">
        <f>SUM(I11:I32)</f>
        <v>15</v>
      </c>
      <c r="J34" s="1878">
        <f>SUM(J11:J32)</f>
        <v>15</v>
      </c>
      <c r="K34" s="1878">
        <f>SUM(H34:J34)</f>
        <v>45</v>
      </c>
    </row>
    <row r="35" spans="1:11" ht="12" customHeight="1" x14ac:dyDescent="0.2">
      <c r="A35" s="1871" t="s">
        <v>1392</v>
      </c>
      <c r="B35" s="1872"/>
      <c r="C35" s="2297"/>
      <c r="D35" s="2297"/>
      <c r="E35" s="2297"/>
      <c r="F35" s="2298"/>
    </row>
    <row r="36" spans="1:11" ht="12" customHeight="1" x14ac:dyDescent="0.2">
      <c r="A36" s="2288"/>
      <c r="B36" s="2289"/>
      <c r="C36" s="2289"/>
      <c r="D36" s="2289"/>
      <c r="E36" s="2289"/>
      <c r="F36" s="2290"/>
    </row>
    <row r="37" spans="1:11" ht="12" customHeight="1" x14ac:dyDescent="0.2">
      <c r="A37" s="2288"/>
      <c r="B37" s="2289"/>
      <c r="C37" s="2289"/>
      <c r="D37" s="2289"/>
      <c r="E37" s="2289"/>
      <c r="F37" s="2290"/>
    </row>
    <row r="38" spans="1:11" ht="12" customHeight="1" x14ac:dyDescent="0.2">
      <c r="A38" s="2302"/>
      <c r="B38" s="2303"/>
      <c r="C38" s="2303"/>
      <c r="D38" s="2303"/>
      <c r="E38" s="2303"/>
      <c r="F38" s="2304"/>
    </row>
    <row r="39" spans="1:11" ht="4.5" hidden="1" customHeight="1" x14ac:dyDescent="0.2">
      <c r="A39" s="1873"/>
      <c r="B39" s="1873"/>
      <c r="C39" s="1873"/>
      <c r="D39" s="1873"/>
      <c r="E39" s="1873"/>
      <c r="F39" s="1873"/>
    </row>
    <row r="40" spans="1:11" s="1870" customFormat="1" ht="12" customHeight="1" x14ac:dyDescent="0.25">
      <c r="A40" s="1874" t="s">
        <v>1391</v>
      </c>
      <c r="B40" s="1875"/>
      <c r="C40" s="2305"/>
      <c r="D40" s="2305"/>
      <c r="E40" s="2305"/>
      <c r="F40" s="2306"/>
      <c r="H40" s="1879"/>
      <c r="I40" s="1879"/>
      <c r="J40" s="1879"/>
      <c r="K40" s="1879"/>
    </row>
    <row r="41" spans="1:11" s="1870" customFormat="1" ht="12" customHeight="1" x14ac:dyDescent="0.25">
      <c r="A41" s="2307"/>
      <c r="B41" s="2308"/>
      <c r="C41" s="2308"/>
      <c r="D41" s="2308"/>
      <c r="E41" s="2308"/>
      <c r="F41" s="2309"/>
      <c r="H41" s="1879"/>
      <c r="I41" s="1879"/>
      <c r="J41" s="1879"/>
      <c r="K41" s="1879"/>
    </row>
    <row r="42" spans="1:11" s="1870" customFormat="1" ht="12" customHeight="1" x14ac:dyDescent="0.25">
      <c r="A42" s="2307"/>
      <c r="B42" s="2308"/>
      <c r="C42" s="2308"/>
      <c r="D42" s="2308"/>
      <c r="E42" s="2308"/>
      <c r="F42" s="2309"/>
      <c r="H42" s="1879"/>
      <c r="I42" s="1879"/>
      <c r="J42" s="1879"/>
      <c r="K42" s="1879"/>
    </row>
    <row r="43" spans="1:11" s="1870" customFormat="1" ht="15" x14ac:dyDescent="0.25">
      <c r="A43" s="2299"/>
      <c r="B43" s="2300"/>
      <c r="C43" s="2300"/>
      <c r="D43" s="2300"/>
      <c r="E43" s="2300"/>
      <c r="F43" s="2301"/>
      <c r="H43" s="1879"/>
      <c r="I43" s="1879"/>
      <c r="J43" s="1879"/>
      <c r="K43" s="1879"/>
    </row>
    <row r="44" spans="1:11" s="1870" customFormat="1" ht="12" hidden="1" customHeight="1" x14ac:dyDescent="0.25">
      <c r="A44" s="2299"/>
      <c r="B44" s="2300"/>
      <c r="C44" s="2300"/>
      <c r="D44" s="2300"/>
      <c r="E44" s="2300"/>
      <c r="F44" s="2301"/>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H18" sqref="H18"/>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5" t="str">
        <f>COVER!A17</f>
        <v>Shawnee CUSD 84</v>
      </c>
      <c r="J6" s="2316"/>
      <c r="Q6" s="1664"/>
    </row>
    <row r="7" spans="1:17" x14ac:dyDescent="0.2">
      <c r="A7" s="2317" t="s">
        <v>869</v>
      </c>
      <c r="B7" s="2318"/>
      <c r="C7" s="2318"/>
      <c r="D7" s="2318"/>
      <c r="E7" s="2319"/>
      <c r="F7" s="1017"/>
      <c r="G7" s="1009"/>
      <c r="H7" s="1016" t="s">
        <v>372</v>
      </c>
      <c r="I7" s="2320">
        <f>COVER!A13</f>
        <v>30091084026</v>
      </c>
      <c r="J7" s="2320"/>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1979</v>
      </c>
      <c r="F9" s="1023"/>
      <c r="G9" s="1023"/>
      <c r="H9" s="1896"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1" t="s">
        <v>481</v>
      </c>
      <c r="B11" s="2322"/>
      <c r="C11" s="2323"/>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177972</v>
      </c>
      <c r="F12" s="1039"/>
      <c r="G12" s="1811">
        <f t="shared" ref="G12:G18" si="0">SUM(E12:F12)</f>
        <v>177972</v>
      </c>
      <c r="H12" s="1040">
        <v>168568</v>
      </c>
      <c r="I12" s="1039"/>
      <c r="J12" s="1811">
        <f t="shared" ref="J12:J18" si="1">SUM(H12:I12)</f>
        <v>168568</v>
      </c>
    </row>
    <row r="13" spans="1:17" ht="15" customHeight="1" x14ac:dyDescent="0.2">
      <c r="A13" s="1035">
        <v>2</v>
      </c>
      <c r="B13" s="1036" t="s">
        <v>42</v>
      </c>
      <c r="C13" s="1037"/>
      <c r="D13" s="1038">
        <v>2330</v>
      </c>
      <c r="E13" s="1811">
        <f>'Expenditures 15-22'!K51</f>
        <v>0</v>
      </c>
      <c r="F13" s="1039"/>
      <c r="G13" s="1811">
        <f t="shared" si="0"/>
        <v>0</v>
      </c>
      <c r="H13" s="1040">
        <v>0</v>
      </c>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v>0</v>
      </c>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v>0</v>
      </c>
      <c r="I15" s="1040">
        <v>0</v>
      </c>
      <c r="J15" s="1811">
        <f t="shared" si="1"/>
        <v>0</v>
      </c>
    </row>
    <row r="16" spans="1:17" ht="15" customHeight="1" x14ac:dyDescent="0.2">
      <c r="A16" s="1035">
        <v>5</v>
      </c>
      <c r="B16" s="1036" t="s">
        <v>101</v>
      </c>
      <c r="C16" s="1037"/>
      <c r="D16" s="1038">
        <v>2570</v>
      </c>
      <c r="E16" s="1811">
        <f>'Expenditures 15-22'!K64</f>
        <v>0</v>
      </c>
      <c r="F16" s="1039"/>
      <c r="G16" s="1811">
        <f t="shared" si="0"/>
        <v>0</v>
      </c>
      <c r="H16" s="1040">
        <v>0</v>
      </c>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v>0</v>
      </c>
      <c r="I17" s="1039"/>
      <c r="J17" s="1811">
        <f t="shared" si="1"/>
        <v>0</v>
      </c>
    </row>
    <row r="18" spans="1:10" ht="22.5" customHeight="1" x14ac:dyDescent="0.2">
      <c r="A18" s="1042">
        <v>7</v>
      </c>
      <c r="B18" s="2324" t="s">
        <v>7</v>
      </c>
      <c r="C18" s="2325"/>
      <c r="D18" s="2326"/>
      <c r="E18" s="1043">
        <v>4604</v>
      </c>
      <c r="F18" s="1043">
        <v>0</v>
      </c>
      <c r="G18" s="1812">
        <f t="shared" si="0"/>
        <v>4604</v>
      </c>
      <c r="H18" s="1040">
        <v>4500</v>
      </c>
      <c r="I18" s="1040">
        <v>0</v>
      </c>
      <c r="J18" s="1811">
        <f t="shared" si="1"/>
        <v>4500</v>
      </c>
    </row>
    <row r="19" spans="1:10" ht="12.75" customHeight="1" thickBot="1" x14ac:dyDescent="0.25">
      <c r="A19" s="1035">
        <v>8</v>
      </c>
      <c r="B19" s="1044" t="s">
        <v>1161</v>
      </c>
      <c r="D19" s="1045"/>
      <c r="E19" s="1813">
        <f t="shared" ref="E19:J19" si="2">SUM(E12:E17)-E18</f>
        <v>173368</v>
      </c>
      <c r="F19" s="1813">
        <f t="shared" si="2"/>
        <v>0</v>
      </c>
      <c r="G19" s="1813">
        <f t="shared" si="2"/>
        <v>173368</v>
      </c>
      <c r="H19" s="1813">
        <f t="shared" si="2"/>
        <v>164068</v>
      </c>
      <c r="I19" s="1813">
        <f t="shared" si="2"/>
        <v>0</v>
      </c>
      <c r="J19" s="1813">
        <f t="shared" si="2"/>
        <v>164068</v>
      </c>
    </row>
    <row r="20" spans="1:10" ht="13.5" thickTop="1" x14ac:dyDescent="0.2">
      <c r="A20" s="1035">
        <v>9</v>
      </c>
      <c r="B20" s="2327" t="s">
        <v>1981</v>
      </c>
      <c r="C20" s="2327"/>
      <c r="D20" s="2328"/>
      <c r="E20" s="1046"/>
      <c r="F20" s="1046"/>
      <c r="G20" s="1046"/>
      <c r="H20" s="1046"/>
      <c r="I20" s="1046"/>
      <c r="J20" s="1814">
        <f>IF(AND(G19&gt;0,J19&gt;0),(((J19-G19)/G19)),"Enter Budget Data")</f>
        <v>-5.3643117530340088E-2</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33"/>
      <c r="D26" s="2333"/>
      <c r="E26" s="1050"/>
      <c r="F26" s="2332"/>
      <c r="G26" s="2332"/>
    </row>
    <row r="27" spans="1:10" x14ac:dyDescent="0.2">
      <c r="B27" s="1047"/>
      <c r="C27" s="1051" t="s">
        <v>1033</v>
      </c>
      <c r="D27" s="1052"/>
      <c r="E27" s="1053"/>
      <c r="F27" s="2329" t="s">
        <v>1509</v>
      </c>
      <c r="G27" s="2329"/>
    </row>
    <row r="28" spans="1:10" ht="28.5" customHeight="1" x14ac:dyDescent="0.2">
      <c r="B28" s="1047"/>
      <c r="C28" s="2331"/>
      <c r="D28" s="2331"/>
      <c r="E28" s="1054"/>
      <c r="F28" s="2331"/>
      <c r="G28" s="2331"/>
    </row>
    <row r="29" spans="1:10" x14ac:dyDescent="0.2">
      <c r="B29" s="1047"/>
      <c r="C29" s="1055" t="s">
        <v>1561</v>
      </c>
      <c r="E29" s="1056"/>
      <c r="F29" s="2330" t="s">
        <v>1510</v>
      </c>
      <c r="G29" s="2330"/>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2" t="s">
        <v>132</v>
      </c>
      <c r="D33" s="2313"/>
      <c r="E33" s="2313"/>
      <c r="F33" s="2313"/>
      <c r="G33" s="2313"/>
      <c r="H33" s="2313"/>
      <c r="I33" s="2313"/>
    </row>
    <row r="34" spans="1:10" ht="10.35" customHeight="1" x14ac:dyDescent="0.2">
      <c r="C34" s="2313"/>
      <c r="D34" s="2313"/>
      <c r="E34" s="2313"/>
      <c r="F34" s="2313"/>
      <c r="G34" s="2313"/>
      <c r="H34" s="2313"/>
      <c r="I34" s="2313"/>
    </row>
    <row r="35" spans="1:10" ht="7.5" customHeight="1" x14ac:dyDescent="0.2">
      <c r="C35" s="1062"/>
    </row>
    <row r="36" spans="1:10" ht="13.5" customHeight="1" x14ac:dyDescent="0.2">
      <c r="B36" s="1061"/>
      <c r="C36" s="2314" t="s">
        <v>1983</v>
      </c>
      <c r="D36" s="2313"/>
      <c r="E36" s="2313"/>
      <c r="F36" s="2313"/>
      <c r="G36" s="2313"/>
      <c r="H36" s="2313"/>
      <c r="I36" s="2313"/>
      <c r="J36" s="1063"/>
    </row>
    <row r="37" spans="1:10" ht="22.5" customHeight="1" x14ac:dyDescent="0.2">
      <c r="C37" s="2313"/>
      <c r="D37" s="2313"/>
      <c r="E37" s="2313"/>
      <c r="F37" s="2313"/>
      <c r="G37" s="2313"/>
      <c r="H37" s="2313"/>
      <c r="I37" s="2313"/>
      <c r="J37" s="1063"/>
    </row>
    <row r="38" spans="1:10" ht="7.5" customHeight="1" x14ac:dyDescent="0.2">
      <c r="C38" s="1062"/>
      <c r="D38" s="1064"/>
      <c r="E38" s="1065"/>
      <c r="F38" s="1066"/>
      <c r="G38" s="1065"/>
    </row>
    <row r="39" spans="1:10" ht="13.5" customHeight="1" x14ac:dyDescent="0.2">
      <c r="B39" s="1061"/>
      <c r="C39" s="2310" t="s">
        <v>882</v>
      </c>
      <c r="D39" s="2311"/>
      <c r="E39" s="2311"/>
      <c r="F39" s="2311"/>
      <c r="G39" s="2311"/>
      <c r="H39" s="2311"/>
      <c r="I39" s="2311"/>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fitToPage="1"/>
  </sheetPr>
  <dimension ref="A2:B65"/>
  <sheetViews>
    <sheetView showGridLines="0" zoomScale="110" zoomScaleNormal="110" workbookViewId="0">
      <selection activeCell="B7" sqref="B7"/>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2086</v>
      </c>
    </row>
    <row r="6" spans="1:2" x14ac:dyDescent="0.2">
      <c r="A6" s="1068">
        <v>2</v>
      </c>
      <c r="B6" s="329" t="s">
        <v>2087</v>
      </c>
    </row>
    <row r="7" spans="1:2" x14ac:dyDescent="0.2">
      <c r="A7" s="1068">
        <v>3</v>
      </c>
    </row>
    <row r="8" spans="1:2" x14ac:dyDescent="0.2">
      <c r="A8" s="1068">
        <v>4</v>
      </c>
    </row>
    <row r="9" spans="1:2" x14ac:dyDescent="0.2">
      <c r="A9" s="1069"/>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Shawnee CUSD 84</v>
      </c>
    </row>
    <row r="65" spans="2:2" x14ac:dyDescent="0.2">
      <c r="B65" s="1070">
        <f>COVER!A13</f>
        <v>30091084026</v>
      </c>
    </row>
  </sheetData>
  <phoneticPr fontId="13" type="noConversion"/>
  <pageMargins left="0.2" right="0.2" top="1.17" bottom="0.75" header="0.19" footer="0.16"/>
  <pageSetup scale="81"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6" t="s">
        <v>1611</v>
      </c>
    </row>
    <row r="23" spans="1:5" x14ac:dyDescent="0.2">
      <c r="A23" s="168"/>
      <c r="B23" s="162" t="s">
        <v>1857</v>
      </c>
      <c r="D23" s="167" t="s">
        <v>637</v>
      </c>
      <c r="E23" s="1836"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1" t="s">
        <v>1065</v>
      </c>
      <c r="B35" s="2051"/>
      <c r="C35" s="2051"/>
      <c r="D35" s="2051"/>
      <c r="E35" s="205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8" t="s">
        <v>691</v>
      </c>
      <c r="B40" s="2048"/>
      <c r="C40" s="2048"/>
      <c r="D40" s="2048"/>
      <c r="E40" s="2048"/>
    </row>
    <row r="41" spans="1:5" x14ac:dyDescent="0.2">
      <c r="A41" s="2049" t="s">
        <v>1608</v>
      </c>
      <c r="B41" s="2049"/>
      <c r="C41" s="2049"/>
      <c r="D41" s="2049"/>
      <c r="E41" s="2049"/>
    </row>
    <row r="42" spans="1:5" ht="12.75" customHeight="1" x14ac:dyDescent="0.2">
      <c r="A42" s="2050" t="s">
        <v>1022</v>
      </c>
      <c r="B42" s="2050"/>
      <c r="C42" s="2050"/>
      <c r="D42" s="2050"/>
      <c r="E42" s="2050"/>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22" sqref="B22"/>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4" t="s">
        <v>1685</v>
      </c>
      <c r="B18" s="2334"/>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647700</xdr:colOff>
                <xdr:row>4</xdr:row>
                <xdr:rowOff>9525</xdr:rowOff>
              </from>
              <to>
                <xdr:col>1</xdr:col>
                <xdr:colOff>1562100</xdr:colOff>
                <xdr:row>8</xdr:row>
                <xdr:rowOff>47625</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5" t="s">
        <v>1690</v>
      </c>
      <c r="B1" s="2336"/>
      <c r="C1" s="2336"/>
      <c r="D1" s="2336"/>
      <c r="E1" s="2336"/>
      <c r="F1" s="2337"/>
    </row>
    <row r="2" spans="1:8" ht="45" customHeight="1" x14ac:dyDescent="0.2">
      <c r="A2" s="2345" t="s">
        <v>1987</v>
      </c>
      <c r="B2" s="2346"/>
      <c r="C2" s="2346"/>
      <c r="D2" s="2346"/>
      <c r="E2" s="2346"/>
      <c r="F2" s="2347"/>
      <c r="G2" s="1074"/>
      <c r="H2" s="1074"/>
    </row>
    <row r="3" spans="1:8" ht="57" customHeight="1" x14ac:dyDescent="0.2">
      <c r="A3" s="2348" t="s">
        <v>1686</v>
      </c>
      <c r="B3" s="2349"/>
      <c r="C3" s="2349"/>
      <c r="D3" s="2349"/>
      <c r="E3" s="2349"/>
      <c r="F3" s="2350"/>
      <c r="G3" s="1074"/>
      <c r="H3" s="1074"/>
    </row>
    <row r="4" spans="1:8" ht="14.25" customHeight="1" x14ac:dyDescent="0.2">
      <c r="A4" s="2354" t="s">
        <v>1988</v>
      </c>
      <c r="B4" s="2355"/>
      <c r="C4" s="2355"/>
      <c r="D4" s="2355"/>
      <c r="E4" s="2355"/>
      <c r="F4" s="2356"/>
      <c r="G4" s="1074"/>
      <c r="H4" s="1074"/>
    </row>
    <row r="5" spans="1:8" ht="14.25" customHeight="1" x14ac:dyDescent="0.2">
      <c r="A5" s="2357" t="s">
        <v>1984</v>
      </c>
      <c r="B5" s="2358"/>
      <c r="C5" s="2358"/>
      <c r="D5" s="2358"/>
      <c r="E5" s="2358"/>
      <c r="F5" s="2359"/>
      <c r="G5" s="1074"/>
      <c r="H5" s="1074"/>
    </row>
    <row r="6" spans="1:8" s="1075" customFormat="1" ht="41.25" customHeight="1" x14ac:dyDescent="0.2">
      <c r="A6" s="2351" t="s">
        <v>1691</v>
      </c>
      <c r="B6" s="2352"/>
      <c r="C6" s="2352"/>
      <c r="D6" s="2352"/>
      <c r="E6" s="2352"/>
      <c r="F6" s="2353"/>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3244288</v>
      </c>
      <c r="C8" s="1815">
        <f>'Acct Summary 7-8'!D8</f>
        <v>339039</v>
      </c>
      <c r="D8" s="1815">
        <f>'Acct Summary 7-8'!F8</f>
        <v>396538</v>
      </c>
      <c r="E8" s="1815">
        <f>'Acct Summary 7-8'!I8</f>
        <v>34478</v>
      </c>
      <c r="F8" s="1815">
        <f>SUM(B8:E8)</f>
        <v>4014343</v>
      </c>
    </row>
    <row r="9" spans="1:8" s="1079" customFormat="1" ht="14.25" customHeight="1" thickBot="1" x14ac:dyDescent="0.25">
      <c r="A9" s="1078" t="s">
        <v>1369</v>
      </c>
      <c r="B9" s="1816">
        <f>'Acct Summary 7-8'!C17</f>
        <v>3269187</v>
      </c>
      <c r="C9" s="1816">
        <f>'Acct Summary 7-8'!D17</f>
        <v>487106</v>
      </c>
      <c r="D9" s="1816">
        <f>'Acct Summary 7-8'!F17</f>
        <v>529761</v>
      </c>
      <c r="E9" s="1815"/>
      <c r="F9" s="1815">
        <f>SUM(B9:E9)</f>
        <v>4286054</v>
      </c>
    </row>
    <row r="10" spans="1:8" s="1079" customFormat="1" ht="14.25" thickTop="1" thickBot="1" x14ac:dyDescent="0.25">
      <c r="A10" s="1080" t="s">
        <v>1370</v>
      </c>
      <c r="B10" s="1817">
        <f>(B8-B9)</f>
        <v>-24899</v>
      </c>
      <c r="C10" s="1817">
        <f>(C8-C9)</f>
        <v>-148067</v>
      </c>
      <c r="D10" s="1817">
        <f>(D8-D9)</f>
        <v>-133223</v>
      </c>
      <c r="E10" s="1816">
        <f>(E8-E9)</f>
        <v>34478</v>
      </c>
      <c r="F10" s="1818">
        <f>SUM(F8-F9)</f>
        <v>-271711</v>
      </c>
    </row>
    <row r="11" spans="1:8" s="1079" customFormat="1" ht="14.25" thickTop="1" thickBot="1" x14ac:dyDescent="0.25">
      <c r="A11" s="1081" t="s">
        <v>1985</v>
      </c>
      <c r="B11" s="1819">
        <f>'Acct Summary 7-8'!C81</f>
        <v>783502</v>
      </c>
      <c r="C11" s="1819">
        <f>'Acct Summary 7-8'!D81</f>
        <v>35633</v>
      </c>
      <c r="D11" s="1819">
        <f>'Acct Summary 7-8'!F81</f>
        <v>163199</v>
      </c>
      <c r="E11" s="1819">
        <f>'Acct Summary 7-8'!I81</f>
        <v>664013</v>
      </c>
      <c r="F11" s="1820">
        <f>SUM(B11:E11)</f>
        <v>1646347</v>
      </c>
    </row>
    <row r="12" spans="1:8" ht="16.5" customHeight="1" thickTop="1" x14ac:dyDescent="0.2">
      <c r="A12" s="1082"/>
      <c r="B12" s="1083"/>
      <c r="C12" s="2339" t="str">
        <f>IF(AND(F10&lt;0,F11&gt;=0,ABS(F10*3)&gt;ABS(F11)),A16,IF(AND(F10&lt;0,F11&gt;0,ABS(F10*3)&lt;=ABS(F11)),A17,IF(AND(F10&lt;0,F11&lt;0),A16,IF(F11=0,A19,A18))))</f>
        <v>Unbalanced -  however, a deficit reduction plan is not required at this time.</v>
      </c>
      <c r="D12" s="2340"/>
      <c r="E12" s="2340"/>
      <c r="F12" s="2341"/>
    </row>
    <row r="13" spans="1:8" ht="19.5" customHeight="1" x14ac:dyDescent="0.2">
      <c r="A13" s="1084"/>
      <c r="B13" s="1085"/>
      <c r="C13" s="2339"/>
      <c r="D13" s="2340"/>
      <c r="E13" s="2340"/>
      <c r="F13" s="2341"/>
      <c r="H13" s="1074"/>
    </row>
    <row r="14" spans="1:8" ht="19.5" customHeight="1" x14ac:dyDescent="0.2">
      <c r="A14" s="1084"/>
      <c r="B14" s="1085"/>
      <c r="C14" s="2339"/>
      <c r="D14" s="2340"/>
      <c r="E14" s="2340"/>
      <c r="F14" s="2341"/>
      <c r="H14" s="1074"/>
    </row>
    <row r="15" spans="1:8" ht="17.25" customHeight="1" x14ac:dyDescent="0.2">
      <c r="A15" s="1084"/>
      <c r="B15" s="1085"/>
      <c r="C15" s="2342"/>
      <c r="D15" s="2343"/>
      <c r="E15" s="2343"/>
      <c r="F15" s="2344"/>
      <c r="H15" s="1074"/>
    </row>
    <row r="16" spans="1:8" s="310" customFormat="1" ht="51.75" hidden="1" customHeight="1" x14ac:dyDescent="0.2">
      <c r="A16" s="2338" t="s">
        <v>1687</v>
      </c>
      <c r="B16" s="2338"/>
      <c r="C16" s="2338"/>
      <c r="D16" s="2338"/>
      <c r="E16" s="2338"/>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6" colorId="8" zoomScale="110" zoomScaleNormal="110" workbookViewId="0">
      <selection activeCell="G8" sqref="G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0" t="s">
        <v>665</v>
      </c>
      <c r="B3" s="2361"/>
      <c r="C3" s="2361"/>
      <c r="D3" s="2362"/>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1" t="s">
        <v>1504</v>
      </c>
      <c r="D7" s="2372"/>
    </row>
    <row r="8" spans="1:4" s="668" customFormat="1" ht="12.75" x14ac:dyDescent="0.2">
      <c r="A8" s="1138"/>
      <c r="B8" s="1093"/>
      <c r="C8" s="1096" t="s">
        <v>1503</v>
      </c>
      <c r="D8" s="1097"/>
    </row>
    <row r="9" spans="1:4" s="668" customFormat="1" ht="14.25" customHeight="1" x14ac:dyDescent="0.2">
      <c r="A9" s="1138"/>
      <c r="B9" s="1093">
        <f>B7+1</f>
        <v>4</v>
      </c>
      <c r="C9" s="1094" t="s">
        <v>1913</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3" t="s">
        <v>1008</v>
      </c>
      <c r="B15" s="2364"/>
      <c r="C15" s="2364"/>
      <c r="D15" s="2365"/>
    </row>
    <row r="16" spans="1:4" s="668" customFormat="1" ht="24" customHeight="1" x14ac:dyDescent="0.2">
      <c r="A16" s="2366" t="s">
        <v>663</v>
      </c>
      <c r="B16" s="2367"/>
      <c r="C16" s="2367"/>
      <c r="D16" s="2368"/>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5" t="s">
        <v>314</v>
      </c>
      <c r="D21" s="2376"/>
    </row>
    <row r="22" spans="1:10" ht="12.75" x14ac:dyDescent="0.2">
      <c r="A22" s="1139"/>
      <c r="B22" s="1140">
        <v>2</v>
      </c>
      <c r="C22" s="2373" t="s">
        <v>1524</v>
      </c>
      <c r="D22" s="2374"/>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7" t="s">
        <v>536</v>
      </c>
      <c r="D43" s="2378"/>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69" t="s">
        <v>784</v>
      </c>
      <c r="D56" s="2370"/>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1914</v>
      </c>
      <c r="D66" s="1125"/>
    </row>
    <row r="67" spans="1:4" x14ac:dyDescent="0.2">
      <c r="A67" s="1119"/>
      <c r="B67" s="1140"/>
      <c r="C67" s="1147" t="s">
        <v>1021</v>
      </c>
      <c r="D67" s="1125"/>
    </row>
    <row r="68" spans="1:4" x14ac:dyDescent="0.2">
      <c r="A68" s="1100"/>
      <c r="B68" s="1110"/>
      <c r="C68" s="1102" t="s">
        <v>1915</v>
      </c>
      <c r="D68" s="1124" t="str">
        <f>IF('Short-Term Long-Term Debt 24'!F49=SUM(,'Acct Summary 7-8'!C33:K33),"OK","ERROR!")</f>
        <v>OK</v>
      </c>
    </row>
    <row r="69" spans="1:4" x14ac:dyDescent="0.2">
      <c r="A69" s="1100"/>
      <c r="B69" s="1110"/>
      <c r="C69" s="1102" t="s">
        <v>1916</v>
      </c>
      <c r="D69" s="1124" t="str">
        <f>IF('Expenditures 15-22'!H170&lt;&gt;'Short-Term Long-Term Debt 24'!H49,"ERROR!","OK")</f>
        <v>OK</v>
      </c>
    </row>
    <row r="70" spans="1:4" x14ac:dyDescent="0.2">
      <c r="A70" s="1098"/>
      <c r="B70" s="1120">
        <f>B66+1</f>
        <v>9</v>
      </c>
      <c r="C70" s="2369" t="s">
        <v>1696</v>
      </c>
      <c r="D70" s="2370"/>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1917</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1918</v>
      </c>
      <c r="D78" s="1124" t="str">
        <f>IF(ISNUMBER('Acct Summary 7-8'!C9),"OK","ENTRY IS REQUIRED!")</f>
        <v>OK</v>
      </c>
    </row>
    <row r="79" spans="1:4" x14ac:dyDescent="0.2">
      <c r="A79" s="1119"/>
      <c r="B79" s="1120">
        <f>B74+1+1</f>
        <v>12</v>
      </c>
      <c r="C79" s="1130" t="s">
        <v>1903</v>
      </c>
      <c r="D79" s="1131" t="str">
        <f>IF(OR(COVER!$B$6="X",'PCTC-OEPP 27-28'!F78&gt;0),"OK","PLEASE ENTER 9 MO ADA.")</f>
        <v>OK</v>
      </c>
    </row>
    <row r="80" spans="1:4" x14ac:dyDescent="0.2">
      <c r="A80" s="1098"/>
      <c r="B80" s="1120">
        <v>13</v>
      </c>
      <c r="C80" s="1130" t="s">
        <v>1919</v>
      </c>
      <c r="D80" s="1131" t="str">
        <f>IF('Contracts Paid in CY 29'!D141&gt;0,"OK","PLEASE ENTER CONTRACTS PAID IN CURRENT YEAR.")</f>
        <v>PLEASE ENTER CONTRACTS PAID IN CURRENT YEAR.</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30091084026</v>
      </c>
    </row>
    <row r="3" spans="1:2" x14ac:dyDescent="0.2">
      <c r="A3" t="s">
        <v>956</v>
      </c>
      <c r="B3" s="138" t="str">
        <f>COVER!A15</f>
        <v>UNION</v>
      </c>
    </row>
    <row r="4" spans="1:2" x14ac:dyDescent="0.2">
      <c r="A4" t="s">
        <v>1007</v>
      </c>
      <c r="B4" s="138" t="str">
        <f>COVER!A17</f>
        <v>Shawnee CUSD 84</v>
      </c>
    </row>
    <row r="5" spans="1:2" x14ac:dyDescent="0.2">
      <c r="A5" t="s">
        <v>704</v>
      </c>
      <c r="B5" s="138" t="str">
        <f>COVER!A38</f>
        <v>SHELLY CLOVER-HILL</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066-005023</v>
      </c>
    </row>
    <row r="16" spans="1:2" x14ac:dyDescent="0.2">
      <c r="A16" t="s">
        <v>422</v>
      </c>
      <c r="B16" s="138" t="str">
        <f>COVER!T13</f>
        <v>BEUSSINK HICKAM &amp; KOCHEL PC</v>
      </c>
    </row>
    <row r="17" spans="1:2" x14ac:dyDescent="0.2">
      <c r="A17" t="s">
        <v>884</v>
      </c>
      <c r="B17" s="138" t="str">
        <f>COVER!T15</f>
        <v>SCOTT A HICKAM CPA</v>
      </c>
    </row>
    <row r="18" spans="1:2" x14ac:dyDescent="0.2">
      <c r="A18" t="s">
        <v>1150</v>
      </c>
      <c r="B18" s="138" t="str">
        <f>COVER!T17</f>
        <v>139 W VIENNA ST - PO BOX 556</v>
      </c>
    </row>
    <row r="19" spans="1:2" x14ac:dyDescent="0.2">
      <c r="A19" t="s">
        <v>886</v>
      </c>
      <c r="B19" s="138" t="str">
        <f>COVER!T25</f>
        <v>office@bhcpa1.com</v>
      </c>
    </row>
    <row r="20" spans="1:2" x14ac:dyDescent="0.2">
      <c r="A20" t="s">
        <v>887</v>
      </c>
      <c r="B20" s="138" t="str">
        <f>COVER!T19</f>
        <v>ANNA</v>
      </c>
    </row>
    <row r="21" spans="1:2" x14ac:dyDescent="0.2">
      <c r="A21" t="s">
        <v>479</v>
      </c>
      <c r="B21" s="138" t="str">
        <f>COVER!X19</f>
        <v>IL</v>
      </c>
    </row>
    <row r="22" spans="1:2" x14ac:dyDescent="0.2">
      <c r="A22" t="s">
        <v>888</v>
      </c>
      <c r="B22" s="138">
        <f>COVER!Z19</f>
        <v>62906</v>
      </c>
    </row>
    <row r="23" spans="1:2" x14ac:dyDescent="0.2">
      <c r="A23" t="s">
        <v>1152</v>
      </c>
      <c r="B23" s="138" t="str">
        <f>COVER!T21</f>
        <v>618-833-2721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Yes</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t="str">
        <f>IF('FP Info 3'!B45="X","Yes",0)</f>
        <v>Yes</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t="str">
        <f>IF('FP Info 3'!B50="X","Yes",0)</f>
        <v>Yes</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783502</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783502</v>
      </c>
      <c r="D92" s="2" t="str">
        <f t="shared" si="0"/>
        <v>Error?</v>
      </c>
    </row>
    <row r="93" spans="1:4" x14ac:dyDescent="0.2">
      <c r="A93" s="5">
        <v>32</v>
      </c>
      <c r="B93" s="138">
        <f>'Assets-Liab 5-6'!C41</f>
        <v>783502</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35633</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35633</v>
      </c>
      <c r="D123" s="2" t="str">
        <f t="shared" si="0"/>
        <v>Error?</v>
      </c>
    </row>
    <row r="124" spans="1:4" x14ac:dyDescent="0.2">
      <c r="A124" s="5">
        <v>63</v>
      </c>
      <c r="B124" s="138">
        <f>'Assets-Liab 5-6'!D41</f>
        <v>35633</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80362</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80362</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163199</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163199</v>
      </c>
      <c r="D170" s="2" t="str">
        <f t="shared" si="1"/>
        <v>Error?</v>
      </c>
    </row>
    <row r="171" spans="1:4" x14ac:dyDescent="0.2">
      <c r="A171" s="5">
        <v>110</v>
      </c>
      <c r="B171" s="138">
        <f>'Assets-Liab 5-6'!F41</f>
        <v>163199</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98953</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98953</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106923</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106923</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27700</v>
      </c>
      <c r="D273" s="2" t="str">
        <f t="shared" si="3"/>
        <v>Error?</v>
      </c>
    </row>
    <row r="274" spans="1:4" x14ac:dyDescent="0.2">
      <c r="A274" s="5">
        <v>213</v>
      </c>
      <c r="B274" s="138">
        <f>'Assets-Liab 5-6'!M17</f>
        <v>9007278</v>
      </c>
      <c r="D274" s="2" t="str">
        <f t="shared" si="3"/>
        <v>Error?</v>
      </c>
    </row>
    <row r="275" spans="1:4" x14ac:dyDescent="0.2">
      <c r="A275" s="5">
        <v>214</v>
      </c>
      <c r="B275" s="138">
        <f>'Assets-Liab 5-6'!M18</f>
        <v>2454587</v>
      </c>
      <c r="D275" s="2" t="str">
        <f t="shared" si="3"/>
        <v>Error?</v>
      </c>
    </row>
    <row r="276" spans="1:4" x14ac:dyDescent="0.2">
      <c r="A276" s="5">
        <v>215</v>
      </c>
      <c r="B276" s="138">
        <f>'Assets-Liab 5-6'!M19</f>
        <v>1434786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13050293</v>
      </c>
      <c r="C279" s="2" t="s">
        <v>573</v>
      </c>
      <c r="D279" s="2" t="str">
        <f t="shared" si="3"/>
        <v>Error?</v>
      </c>
    </row>
    <row r="280" spans="1:4" x14ac:dyDescent="0.2">
      <c r="A280" s="5">
        <v>219</v>
      </c>
      <c r="B280" s="138">
        <f>'Assets-Liab 5-6'!M40</f>
        <v>13050293</v>
      </c>
      <c r="D280" s="2" t="str">
        <f t="shared" si="3"/>
        <v>Error?</v>
      </c>
    </row>
    <row r="281" spans="1:4" x14ac:dyDescent="0.2">
      <c r="A281" s="5">
        <v>220</v>
      </c>
      <c r="B281" s="138">
        <f>'Assets-Liab 5-6'!M41</f>
        <v>13050293</v>
      </c>
      <c r="C281" s="2" t="s">
        <v>573</v>
      </c>
      <c r="D281" s="2" t="str">
        <f t="shared" si="3"/>
        <v>Error?</v>
      </c>
    </row>
    <row r="282" spans="1:4" x14ac:dyDescent="0.2">
      <c r="A282" s="5">
        <v>221</v>
      </c>
      <c r="B282" s="138">
        <f>'Assets-Liab 5-6'!N21</f>
        <v>80362</v>
      </c>
      <c r="D282" s="2" t="str">
        <f t="shared" si="3"/>
        <v>Error?</v>
      </c>
    </row>
    <row r="283" spans="1:4" x14ac:dyDescent="0.2">
      <c r="A283" s="5">
        <v>222</v>
      </c>
      <c r="B283" s="138">
        <f>'Assets-Liab 5-6'!N22</f>
        <v>779238</v>
      </c>
      <c r="D283" s="2" t="str">
        <f t="shared" si="3"/>
        <v>Error?</v>
      </c>
    </row>
    <row r="284" spans="1:4" x14ac:dyDescent="0.2">
      <c r="A284" s="5">
        <v>223</v>
      </c>
      <c r="B284" s="138">
        <f>'Assets-Liab 5-6'!N23</f>
        <v>859600</v>
      </c>
      <c r="C284" s="2" t="s">
        <v>573</v>
      </c>
      <c r="D284" s="2" t="str">
        <f t="shared" si="3"/>
        <v>Error?</v>
      </c>
    </row>
    <row r="285" spans="1:4" x14ac:dyDescent="0.2">
      <c r="A285" s="5">
        <v>224</v>
      </c>
      <c r="B285" s="138">
        <f>'Assets-Liab 5-6'!N36</f>
        <v>859600</v>
      </c>
      <c r="D285" s="2" t="str">
        <f t="shared" si="3"/>
        <v>Error?</v>
      </c>
    </row>
    <row r="286" spans="1:4" x14ac:dyDescent="0.2">
      <c r="A286" s="10">
        <v>225</v>
      </c>
      <c r="D286" s="2" t="str">
        <f t="shared" si="3"/>
        <v>OK</v>
      </c>
    </row>
    <row r="287" spans="1:4" x14ac:dyDescent="0.2">
      <c r="A287" s="5">
        <v>226</v>
      </c>
      <c r="B287" s="138">
        <f>'Assets-Liab 5-6'!N37</f>
        <v>859600</v>
      </c>
      <c r="C287" s="2" t="s">
        <v>573</v>
      </c>
      <c r="D287" s="2" t="str">
        <f t="shared" si="3"/>
        <v>Error?</v>
      </c>
    </row>
    <row r="288" spans="1:4" x14ac:dyDescent="0.2">
      <c r="A288" s="5">
        <v>227</v>
      </c>
      <c r="B288" s="138">
        <f>'Assets-Liab 5-6'!N41</f>
        <v>859600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1192268</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43309</v>
      </c>
      <c r="D717" s="2" t="str">
        <f t="shared" si="10"/>
        <v>Error?</v>
      </c>
    </row>
    <row r="718" spans="1:4" x14ac:dyDescent="0.2">
      <c r="A718" s="5">
        <v>657</v>
      </c>
      <c r="B718" s="138">
        <f>'Expenditures 15-22'!C14</f>
        <v>9220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1599351</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34949</v>
      </c>
      <c r="D723" s="2" t="str">
        <f t="shared" si="10"/>
        <v>Error?</v>
      </c>
    </row>
    <row r="724" spans="1:4" x14ac:dyDescent="0.2">
      <c r="A724" s="5">
        <v>663</v>
      </c>
      <c r="B724" s="138">
        <f>'Expenditures 15-22'!C39</f>
        <v>0</v>
      </c>
      <c r="D724" s="2" t="str">
        <f t="shared" si="10"/>
        <v>Error?</v>
      </c>
    </row>
    <row r="725" spans="1:4" x14ac:dyDescent="0.2">
      <c r="A725" s="5">
        <v>664</v>
      </c>
      <c r="B725" s="138">
        <f>'Expenditures 15-22'!C40</f>
        <v>40269</v>
      </c>
      <c r="D725" s="2" t="str">
        <f t="shared" si="10"/>
        <v>Error?</v>
      </c>
    </row>
    <row r="726" spans="1:4" x14ac:dyDescent="0.2">
      <c r="A726" s="5">
        <v>665</v>
      </c>
      <c r="B726" s="138">
        <f>'Expenditures 15-22'!C41</f>
        <v>0</v>
      </c>
      <c r="D726" s="2" t="str">
        <f t="shared" si="10"/>
        <v>Error?</v>
      </c>
    </row>
    <row r="727" spans="1:4" x14ac:dyDescent="0.2">
      <c r="A727" s="5">
        <v>666</v>
      </c>
      <c r="B727" s="138">
        <f>'Expenditures 15-22'!C42</f>
        <v>75218</v>
      </c>
      <c r="C727" s="2" t="s">
        <v>573</v>
      </c>
      <c r="D727" s="2" t="str">
        <f t="shared" si="10"/>
        <v>Error?</v>
      </c>
    </row>
    <row r="728" spans="1:4" x14ac:dyDescent="0.2">
      <c r="A728" s="5">
        <v>667</v>
      </c>
      <c r="B728" s="138">
        <f>'Expenditures 15-22'!C44</f>
        <v>28855</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28855</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148341</v>
      </c>
      <c r="D733" s="2" t="str">
        <f t="shared" si="10"/>
        <v>Error?</v>
      </c>
    </row>
    <row r="734" spans="1:4" x14ac:dyDescent="0.2">
      <c r="A734" s="5">
        <v>673</v>
      </c>
      <c r="B734" s="138">
        <f>'Expenditures 15-22'!C53</f>
        <v>148341</v>
      </c>
      <c r="C734" s="2" t="s">
        <v>573</v>
      </c>
      <c r="D734" s="2" t="str">
        <f t="shared" si="10"/>
        <v>Error?</v>
      </c>
    </row>
    <row r="735" spans="1:4" x14ac:dyDescent="0.2">
      <c r="A735" s="5">
        <v>674</v>
      </c>
      <c r="B735" s="138">
        <f>'Expenditures 15-22'!C55</f>
        <v>220800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220800</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35886</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59070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94956</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568170</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2167521</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92127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1985</v>
      </c>
      <c r="D775" s="2" t="str">
        <f t="shared" si="11"/>
        <v>Error?</v>
      </c>
    </row>
    <row r="776" spans="1:4" x14ac:dyDescent="0.2">
      <c r="A776" s="5">
        <v>715</v>
      </c>
      <c r="B776" s="138">
        <f>'Expenditures 15-22'!D14</f>
        <v>209</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117707</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558</v>
      </c>
      <c r="D781" s="2" t="str">
        <f t="shared" si="11"/>
        <v>Error?</v>
      </c>
    </row>
    <row r="782" spans="1:4" x14ac:dyDescent="0.2">
      <c r="A782" s="5">
        <v>721</v>
      </c>
      <c r="B782" s="138">
        <f>'Expenditures 15-22'!D39</f>
        <v>0</v>
      </c>
      <c r="D782" s="2" t="str">
        <f t="shared" si="11"/>
        <v>Error?</v>
      </c>
    </row>
    <row r="783" spans="1:4" x14ac:dyDescent="0.2">
      <c r="A783" s="5">
        <v>722</v>
      </c>
      <c r="B783" s="138">
        <f>'Expenditures 15-22'!D40</f>
        <v>3390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3948</v>
      </c>
      <c r="C785" s="2" t="s">
        <v>573</v>
      </c>
      <c r="D785" s="2" t="str">
        <f t="shared" si="11"/>
        <v>Error?</v>
      </c>
    </row>
    <row r="786" spans="1:4" x14ac:dyDescent="0.2">
      <c r="A786" s="5">
        <v>725</v>
      </c>
      <c r="B786" s="138">
        <f>'Expenditures 15-22'!D44</f>
        <v>1598</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1598</v>
      </c>
      <c r="C789" s="2" t="s">
        <v>573</v>
      </c>
      <c r="D789" s="2" t="str">
        <f t="shared" si="11"/>
        <v>Error?</v>
      </c>
    </row>
    <row r="790" spans="1:4" x14ac:dyDescent="0.2">
      <c r="A790" s="5">
        <v>729</v>
      </c>
      <c r="B790" s="138">
        <f>'Expenditures 15-22'!D49</f>
        <v>212</v>
      </c>
      <c r="D790" s="2" t="str">
        <f t="shared" si="11"/>
        <v>Error?</v>
      </c>
    </row>
    <row r="791" spans="1:4" x14ac:dyDescent="0.2">
      <c r="A791" s="5">
        <v>730</v>
      </c>
      <c r="B791" s="138">
        <f>'Expenditures 15-22'!D50</f>
        <v>10962</v>
      </c>
      <c r="D791" s="2" t="str">
        <f t="shared" si="11"/>
        <v>Error?</v>
      </c>
    </row>
    <row r="792" spans="1:4" x14ac:dyDescent="0.2">
      <c r="A792" s="5">
        <v>731</v>
      </c>
      <c r="B792" s="138">
        <f>'Expenditures 15-22'!D53</f>
        <v>11174</v>
      </c>
      <c r="C792" s="2" t="s">
        <v>573</v>
      </c>
      <c r="D792" s="2" t="str">
        <f t="shared" si="11"/>
        <v>Error?</v>
      </c>
    </row>
    <row r="793" spans="1:4" x14ac:dyDescent="0.2">
      <c r="A793" s="5">
        <v>732</v>
      </c>
      <c r="B793" s="138">
        <f>'Expenditures 15-22'!D55</f>
        <v>13254</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13254</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6358</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6358</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36332</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154039</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60731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27</v>
      </c>
      <c r="D833" s="2" t="str">
        <f t="shared" si="12"/>
        <v>Error?</v>
      </c>
    </row>
    <row r="834" spans="1:4" x14ac:dyDescent="0.2">
      <c r="A834" s="5">
        <v>773</v>
      </c>
      <c r="B834" s="138">
        <f>'Expenditures 15-22'!E14</f>
        <v>70017</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281626</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573</v>
      </c>
      <c r="D843" s="2" t="str">
        <f t="shared" si="12"/>
        <v>Error?</v>
      </c>
    </row>
    <row r="844" spans="1:4" x14ac:dyDescent="0.2">
      <c r="A844" s="5">
        <v>783</v>
      </c>
      <c r="B844" s="138">
        <f>'Expenditures 15-22'!E44</f>
        <v>9744</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9744</v>
      </c>
      <c r="C847" s="2" t="s">
        <v>573</v>
      </c>
      <c r="D847" s="2" t="str">
        <f t="shared" si="12"/>
        <v>Error?</v>
      </c>
    </row>
    <row r="848" spans="1:4" x14ac:dyDescent="0.2">
      <c r="A848" s="5">
        <v>787</v>
      </c>
      <c r="B848" s="138">
        <f>'Expenditures 15-22'!E49</f>
        <v>100936</v>
      </c>
      <c r="D848" s="2" t="str">
        <f t="shared" si="12"/>
        <v>Error?</v>
      </c>
    </row>
    <row r="849" spans="1:4" x14ac:dyDescent="0.2">
      <c r="A849" s="5">
        <v>788</v>
      </c>
      <c r="B849" s="138">
        <f>'Expenditures 15-22'!E50</f>
        <v>15556</v>
      </c>
      <c r="D849" s="2" t="str">
        <f t="shared" si="12"/>
        <v>Error?</v>
      </c>
    </row>
    <row r="850" spans="1:4" x14ac:dyDescent="0.2">
      <c r="A850" s="5">
        <v>789</v>
      </c>
      <c r="B850" s="138">
        <f>'Expenditures 15-22'!E53</f>
        <v>116492</v>
      </c>
      <c r="C850" s="2" t="s">
        <v>573</v>
      </c>
      <c r="D850" s="2" t="str">
        <f t="shared" si="12"/>
        <v>Error?</v>
      </c>
    </row>
    <row r="851" spans="1:4" x14ac:dyDescent="0.2">
      <c r="A851" s="5">
        <v>790</v>
      </c>
      <c r="B851" s="138">
        <f>'Expenditures 15-22'!E55</f>
        <v>318</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318</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1814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1814</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128368</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652282</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95906</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7476</v>
      </c>
      <c r="D891" s="2" t="str">
        <f t="shared" si="12"/>
        <v>Error?</v>
      </c>
    </row>
    <row r="892" spans="1:4" x14ac:dyDescent="0.2">
      <c r="A892" s="5">
        <v>831</v>
      </c>
      <c r="B892" s="138">
        <f>'Expenditures 15-22'!F14</f>
        <v>13958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183850</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844</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844</v>
      </c>
      <c r="C901" s="2" t="s">
        <v>573</v>
      </c>
      <c r="D901" s="2" t="str">
        <f t="shared" si="13"/>
        <v>Error?</v>
      </c>
    </row>
    <row r="902" spans="1:4" x14ac:dyDescent="0.2">
      <c r="A902" s="5">
        <v>841</v>
      </c>
      <c r="B902" s="138">
        <f>'Expenditures 15-22'!F44</f>
        <v>10770</v>
      </c>
      <c r="D902" s="2" t="str">
        <f t="shared" si="13"/>
        <v>Error?</v>
      </c>
    </row>
    <row r="903" spans="1:4" x14ac:dyDescent="0.2">
      <c r="A903" s="5">
        <v>842</v>
      </c>
      <c r="B903" s="138">
        <f>'Expenditures 15-22'!F45</f>
        <v>390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11160</v>
      </c>
      <c r="C905" s="2" t="s">
        <v>573</v>
      </c>
      <c r="D905" s="2" t="str">
        <f t="shared" si="13"/>
        <v>Error?</v>
      </c>
    </row>
    <row r="906" spans="1:4" x14ac:dyDescent="0.2">
      <c r="A906" s="5">
        <v>845</v>
      </c>
      <c r="B906" s="138">
        <f>'Expenditures 15-22'!F49</f>
        <v>1689</v>
      </c>
      <c r="D906" s="2" t="str">
        <f t="shared" si="13"/>
        <v>Error?</v>
      </c>
    </row>
    <row r="907" spans="1:4" x14ac:dyDescent="0.2">
      <c r="A907" s="5">
        <v>846</v>
      </c>
      <c r="B907" s="138">
        <f>'Expenditures 15-22'!F50</f>
        <v>2227</v>
      </c>
      <c r="D907" s="2" t="str">
        <f t="shared" si="13"/>
        <v>Error?</v>
      </c>
    </row>
    <row r="908" spans="1:4" x14ac:dyDescent="0.2">
      <c r="A908" s="5">
        <v>847</v>
      </c>
      <c r="B908" s="138">
        <f>'Expenditures 15-22'!F53</f>
        <v>3916</v>
      </c>
      <c r="C908" s="2" t="s">
        <v>573</v>
      </c>
      <c r="D908" s="2" t="str">
        <f t="shared" si="13"/>
        <v>Error?</v>
      </c>
    </row>
    <row r="909" spans="1:4" x14ac:dyDescent="0.2">
      <c r="A909" s="5">
        <v>848</v>
      </c>
      <c r="B909" s="138">
        <f>'Expenditures 15-22'!F55</f>
        <v>2713</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2713</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79750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79750</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98383</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282233</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7728</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7728</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3338</v>
      </c>
      <c r="D1022" s="2" t="str">
        <f t="shared" si="14"/>
        <v>Error?</v>
      </c>
    </row>
    <row r="1023" spans="1:4" x14ac:dyDescent="0.2">
      <c r="A1023" s="5">
        <v>962</v>
      </c>
      <c r="B1023" s="138">
        <f>'Expenditures 15-22'!H50</f>
        <v>886</v>
      </c>
      <c r="D1023" s="2" t="str">
        <f t="shared" ref="D1023:D1086" si="15">IF(ISBLANK(B1023),"OK",IF(A1023-B1023=0,"OK","Error?"))</f>
        <v>Error?</v>
      </c>
    </row>
    <row r="1024" spans="1:4" x14ac:dyDescent="0.2">
      <c r="A1024" s="5">
        <v>963</v>
      </c>
      <c r="B1024" s="138">
        <f>'Expenditures 15-22'!H53</f>
        <v>4224</v>
      </c>
      <c r="C1024" s="2" t="s">
        <v>573</v>
      </c>
      <c r="D1024" s="2" t="str">
        <f t="shared" si="15"/>
        <v>Error?</v>
      </c>
    </row>
    <row r="1025" spans="1:4" x14ac:dyDescent="0.2">
      <c r="A1025" s="5">
        <v>964</v>
      </c>
      <c r="B1025" s="138">
        <f>'Expenditures 15-22'!H55</f>
        <v>1160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1160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5384</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5384</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1441032</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52797</v>
      </c>
      <c r="C1105" s="2" t="s">
        <v>573</v>
      </c>
      <c r="D1105" s="2" t="str">
        <f t="shared" si="16"/>
        <v>Error?</v>
      </c>
    </row>
    <row r="1106" spans="1:4" x14ac:dyDescent="0.2">
      <c r="A1106" s="5">
        <v>1045</v>
      </c>
      <c r="B1106" s="138">
        <f>'Expenditures 15-22'!K14</f>
        <v>93404</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2190262</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36351</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43659</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80010</v>
      </c>
      <c r="C1115" s="2" t="s">
        <v>573</v>
      </c>
      <c r="D1115" s="2" t="str">
        <f t="shared" si="16"/>
        <v>Error?</v>
      </c>
    </row>
    <row r="1116" spans="1:4" x14ac:dyDescent="0.2">
      <c r="A1116" s="5">
        <v>1055</v>
      </c>
      <c r="B1116" s="138">
        <f>'Expenditures 15-22'!K44</f>
        <v>50967</v>
      </c>
      <c r="C1116" s="2" t="s">
        <v>573</v>
      </c>
      <c r="D1116" s="2" t="str">
        <f t="shared" si="16"/>
        <v>Error?</v>
      </c>
    </row>
    <row r="1117" spans="1:4" x14ac:dyDescent="0.2">
      <c r="A1117" s="5">
        <v>1056</v>
      </c>
      <c r="B1117" s="138">
        <f>'Expenditures 15-22'!K45</f>
        <v>390</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51357</v>
      </c>
      <c r="C1119" s="2" t="s">
        <v>573</v>
      </c>
      <c r="D1119" s="2" t="str">
        <f t="shared" si="16"/>
        <v>Error?</v>
      </c>
    </row>
    <row r="1120" spans="1:4" x14ac:dyDescent="0.2">
      <c r="A1120" s="5">
        <v>1059</v>
      </c>
      <c r="B1120" s="138">
        <f>'Expenditures 15-22'!K49</f>
        <v>106175</v>
      </c>
      <c r="C1120" s="2" t="s">
        <v>573</v>
      </c>
      <c r="D1120" s="2" t="str">
        <f t="shared" si="16"/>
        <v>Error?</v>
      </c>
    </row>
    <row r="1121" spans="1:4" x14ac:dyDescent="0.2">
      <c r="A1121" s="5">
        <v>1060</v>
      </c>
      <c r="B1121" s="138">
        <f>'Expenditures 15-22'!K50</f>
        <v>177972</v>
      </c>
      <c r="C1121" s="2" t="s">
        <v>573</v>
      </c>
      <c r="D1121" s="2" t="str">
        <f t="shared" si="16"/>
        <v>Error?</v>
      </c>
    </row>
    <row r="1122" spans="1:4" x14ac:dyDescent="0.2">
      <c r="A1122" s="5">
        <v>1061</v>
      </c>
      <c r="B1122" s="138">
        <f>'Expenditures 15-22'!K53</f>
        <v>284147</v>
      </c>
      <c r="C1122" s="2" t="s">
        <v>573</v>
      </c>
      <c r="D1122" s="2" t="str">
        <f t="shared" si="16"/>
        <v>Error?</v>
      </c>
    </row>
    <row r="1123" spans="1:4" x14ac:dyDescent="0.2">
      <c r="A1123" s="5">
        <v>1062</v>
      </c>
      <c r="B1123" s="138">
        <f>'Expenditures 15-22'!K55</f>
        <v>238245</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238245</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35886</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146992</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182878</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836637</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242288</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3269187</v>
      </c>
      <c r="C1152" s="2" t="s">
        <v>573</v>
      </c>
      <c r="D1152" s="2" t="str">
        <f t="shared" si="17"/>
        <v>Error?</v>
      </c>
    </row>
    <row r="1153" spans="1:4" x14ac:dyDescent="0.2">
      <c r="A1153" s="5">
        <v>1092</v>
      </c>
      <c r="B1153" s="138">
        <f>'Expenditures 15-22'!K115</f>
        <v>-24899</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165327</v>
      </c>
      <c r="D1221" s="2" t="str">
        <f t="shared" si="18"/>
        <v>Error?</v>
      </c>
    </row>
    <row r="1222" spans="1:4" x14ac:dyDescent="0.2">
      <c r="A1222" s="10">
        <v>1161</v>
      </c>
      <c r="D1222" s="2" t="str">
        <f t="shared" si="18"/>
        <v>OK</v>
      </c>
    </row>
    <row r="1223" spans="1:4" x14ac:dyDescent="0.2">
      <c r="A1223" s="5">
        <v>1162</v>
      </c>
      <c r="B1223" s="138">
        <f>'Expenditures 15-22'!C127</f>
        <v>165327</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165327</v>
      </c>
      <c r="C1225" s="2" t="s">
        <v>573</v>
      </c>
      <c r="D1225" s="2" t="str">
        <f t="shared" si="18"/>
        <v>Error?</v>
      </c>
    </row>
    <row r="1226" spans="1:4" x14ac:dyDescent="0.2">
      <c r="A1226" s="5">
        <v>1165</v>
      </c>
      <c r="B1226" s="138">
        <f>'Expenditures 15-22'!C151</f>
        <v>165327</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7427</v>
      </c>
      <c r="D1229" s="2" t="str">
        <f t="shared" si="18"/>
        <v>Error?</v>
      </c>
    </row>
    <row r="1230" spans="1:4" x14ac:dyDescent="0.2">
      <c r="A1230" s="10">
        <v>1169</v>
      </c>
      <c r="D1230" s="2" t="str">
        <f t="shared" si="18"/>
        <v>OK</v>
      </c>
    </row>
    <row r="1231" spans="1:4" x14ac:dyDescent="0.2">
      <c r="A1231" s="5">
        <v>1170</v>
      </c>
      <c r="B1231" s="138">
        <f>'Expenditures 15-22'!D127</f>
        <v>7427</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7427</v>
      </c>
      <c r="C1233" s="2" t="s">
        <v>573</v>
      </c>
      <c r="D1233" s="2" t="str">
        <f t="shared" si="18"/>
        <v>Error?</v>
      </c>
    </row>
    <row r="1234" spans="1:4" x14ac:dyDescent="0.2">
      <c r="A1234" s="5">
        <v>1173</v>
      </c>
      <c r="B1234" s="138">
        <f>'Expenditures 15-22'!D151</f>
        <v>7427</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68622</v>
      </c>
      <c r="D1237" s="2" t="str">
        <f t="shared" si="18"/>
        <v>Error?</v>
      </c>
    </row>
    <row r="1238" spans="1:4" x14ac:dyDescent="0.2">
      <c r="A1238" s="10">
        <v>1177</v>
      </c>
      <c r="D1238" s="2" t="str">
        <f t="shared" si="18"/>
        <v>OK</v>
      </c>
    </row>
    <row r="1239" spans="1:4" x14ac:dyDescent="0.2">
      <c r="A1239" s="5">
        <v>1178</v>
      </c>
      <c r="B1239" s="138">
        <f>'Expenditures 15-22'!E127</f>
        <v>68622</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68622</v>
      </c>
      <c r="C1241" s="2" t="s">
        <v>573</v>
      </c>
      <c r="D1241" s="2" t="str">
        <f t="shared" si="18"/>
        <v>Error?</v>
      </c>
    </row>
    <row r="1242" spans="1:4" x14ac:dyDescent="0.2">
      <c r="A1242" s="5">
        <v>1181</v>
      </c>
      <c r="B1242" s="138">
        <f>'Expenditures 15-22'!E151</f>
        <v>68622</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149092</v>
      </c>
      <c r="D1245" s="2" t="str">
        <f t="shared" si="18"/>
        <v>Error?</v>
      </c>
    </row>
    <row r="1246" spans="1:4" x14ac:dyDescent="0.2">
      <c r="A1246" s="10">
        <v>1185</v>
      </c>
      <c r="D1246" s="2" t="str">
        <f t="shared" si="18"/>
        <v>OK</v>
      </c>
    </row>
    <row r="1247" spans="1:4" x14ac:dyDescent="0.2">
      <c r="A1247" s="5">
        <v>1186</v>
      </c>
      <c r="B1247" s="138">
        <f>'Expenditures 15-22'!F127</f>
        <v>149092</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149092</v>
      </c>
      <c r="C1249" s="2" t="s">
        <v>573</v>
      </c>
      <c r="D1249" s="2" t="str">
        <f t="shared" si="18"/>
        <v>Error?</v>
      </c>
    </row>
    <row r="1250" spans="1:4" x14ac:dyDescent="0.2">
      <c r="A1250" s="5">
        <v>1189</v>
      </c>
      <c r="B1250" s="138">
        <f>'Expenditures 15-22'!F151</f>
        <v>149092</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95438</v>
      </c>
      <c r="D1252" s="2" t="str">
        <f t="shared" si="18"/>
        <v>Error?</v>
      </c>
    </row>
    <row r="1253" spans="1:4" x14ac:dyDescent="0.2">
      <c r="A1253" s="5">
        <v>1192</v>
      </c>
      <c r="B1253" s="138">
        <f>'Expenditures 15-22'!G124</f>
        <v>1200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96638</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96638</v>
      </c>
      <c r="C1258" s="2" t="s">
        <v>573</v>
      </c>
      <c r="D1258" s="2" t="str">
        <f t="shared" si="18"/>
        <v>Error?</v>
      </c>
    </row>
    <row r="1259" spans="1:4" x14ac:dyDescent="0.2">
      <c r="A1259" s="5">
        <v>1198</v>
      </c>
      <c r="B1259" s="138">
        <f>'Expenditures 15-22'!G151</f>
        <v>96638</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95438</v>
      </c>
      <c r="C1275" s="2" t="s">
        <v>573</v>
      </c>
      <c r="D1275" s="2" t="str">
        <f t="shared" si="18"/>
        <v>Error?</v>
      </c>
    </row>
    <row r="1276" spans="1:4" x14ac:dyDescent="0.2">
      <c r="A1276" s="5">
        <v>1215</v>
      </c>
      <c r="B1276" s="138">
        <f>'Expenditures 15-22'!K124</f>
        <v>391668</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487106</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487106</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487106</v>
      </c>
      <c r="C1288" s="2" t="s">
        <v>573</v>
      </c>
      <c r="D1288" s="2" t="str">
        <f t="shared" si="19"/>
        <v>Error?</v>
      </c>
    </row>
    <row r="1289" spans="1:4" x14ac:dyDescent="0.2">
      <c r="A1289" s="5">
        <v>1228</v>
      </c>
      <c r="B1289" s="138">
        <f>'Expenditures 15-22'!K152</f>
        <v>-148067</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49472</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499300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548772</v>
      </c>
      <c r="C1317" s="2" t="s">
        <v>573</v>
      </c>
      <c r="D1317" s="2" t="str">
        <f t="shared" si="19"/>
        <v>Error?</v>
      </c>
    </row>
    <row r="1318" spans="1:4" x14ac:dyDescent="0.2">
      <c r="A1318" s="5">
        <v>1257</v>
      </c>
      <c r="B1318" s="138">
        <f>'Expenditures 15-22'!H174</f>
        <v>548772</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49472</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499300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548772</v>
      </c>
      <c r="C1331" s="2" t="s">
        <v>573</v>
      </c>
      <c r="D1331" s="2" t="str">
        <f t="shared" si="19"/>
        <v>Error?</v>
      </c>
    </row>
    <row r="1332" spans="1:4" x14ac:dyDescent="0.2">
      <c r="A1332" s="5">
        <v>1271</v>
      </c>
      <c r="B1332" s="138">
        <f>'Expenditures 15-22'!K174</f>
        <v>548772</v>
      </c>
      <c r="C1332" s="2" t="s">
        <v>573</v>
      </c>
      <c r="D1332" s="2" t="str">
        <f t="shared" si="19"/>
        <v>Error?</v>
      </c>
    </row>
    <row r="1333" spans="1:4" x14ac:dyDescent="0.2">
      <c r="A1333" s="5">
        <v>1272</v>
      </c>
      <c r="B1333" s="138">
        <f>'Expenditures 15-22'!K175</f>
        <v>-10789</v>
      </c>
      <c r="C1333" s="2" t="s">
        <v>573</v>
      </c>
      <c r="D1333" s="2" t="str">
        <f t="shared" si="19"/>
        <v>Error?</v>
      </c>
    </row>
    <row r="1334" spans="1:4" x14ac:dyDescent="0.2">
      <c r="A1334" s="10">
        <v>1273</v>
      </c>
      <c r="D1334" s="2" t="str">
        <f t="shared" si="19"/>
        <v>OK</v>
      </c>
    </row>
    <row r="1335" spans="1:4" x14ac:dyDescent="0.2">
      <c r="A1335" s="5">
        <v>1274</v>
      </c>
      <c r="B1335" s="138">
        <f>'Expenditures 15-22'!C182</f>
        <v>25046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25046</v>
      </c>
      <c r="C1339" s="2" t="s">
        <v>573</v>
      </c>
      <c r="D1339" s="2" t="str">
        <f t="shared" si="19"/>
        <v>Error?</v>
      </c>
    </row>
    <row r="1340" spans="1:4" x14ac:dyDescent="0.2">
      <c r="A1340" s="5">
        <v>1279</v>
      </c>
      <c r="B1340" s="138">
        <f>'Expenditures 15-22'!C210</f>
        <v>25046</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503219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503219</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503219</v>
      </c>
      <c r="C1353" s="2" t="s">
        <v>573</v>
      </c>
      <c r="D1353" s="2" t="str">
        <f t="shared" si="20"/>
        <v>Error?</v>
      </c>
    </row>
    <row r="1354" spans="1:4" x14ac:dyDescent="0.2">
      <c r="A1354" s="5">
        <v>1293</v>
      </c>
      <c r="B1354" s="138">
        <f>'Expenditures 15-22'!F182</f>
        <v>1496</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1496</v>
      </c>
      <c r="C1358" s="2" t="s">
        <v>573</v>
      </c>
      <c r="D1358" s="2" t="str">
        <f t="shared" si="20"/>
        <v>Error?</v>
      </c>
    </row>
    <row r="1359" spans="1:4" x14ac:dyDescent="0.2">
      <c r="A1359" s="5">
        <v>1298</v>
      </c>
      <c r="B1359" s="138">
        <f>'Expenditures 15-22'!F210</f>
        <v>1496</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529761</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529761</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529761</v>
      </c>
      <c r="C1388" s="2" t="s">
        <v>573</v>
      </c>
      <c r="D1388" s="2" t="str">
        <f t="shared" si="20"/>
        <v>Error?</v>
      </c>
    </row>
    <row r="1389" spans="1:4" x14ac:dyDescent="0.2">
      <c r="A1389" s="5">
        <v>1328</v>
      </c>
      <c r="B1389" s="138">
        <f>'Expenditures 15-22'!K211</f>
        <v>-133223</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628</v>
      </c>
      <c r="D1407" s="2" t="str">
        <f t="shared" ref="D1407:D1470" si="21">IF(ISBLANK(B1407),"OK",IF(A1407-B1407=0,"OK","Error?"))</f>
        <v>Error?</v>
      </c>
    </row>
    <row r="1408" spans="1:4" x14ac:dyDescent="0.2">
      <c r="A1408" s="5">
        <v>1347</v>
      </c>
      <c r="B1408" s="138">
        <f>'Expenditures 15-22'!D223</f>
        <v>5651</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51807</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6165</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535</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6700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1331</v>
      </c>
      <c r="D1422" s="2" t="str">
        <f t="shared" si="21"/>
        <v>Error?</v>
      </c>
    </row>
    <row r="1423" spans="1:4" x14ac:dyDescent="0.2">
      <c r="A1423" s="5">
        <v>1362</v>
      </c>
      <c r="B1423" s="138">
        <f>'Expenditures 15-22'!D246</f>
        <v>13489</v>
      </c>
      <c r="D1423" s="2" t="str">
        <f t="shared" si="21"/>
        <v>Error?</v>
      </c>
    </row>
    <row r="1424" spans="1:4" x14ac:dyDescent="0.2">
      <c r="A1424" s="5">
        <v>1363</v>
      </c>
      <c r="B1424" s="138">
        <f>'Expenditures 15-22'!D257</f>
        <v>14820</v>
      </c>
      <c r="C1424" s="2" t="s">
        <v>573</v>
      </c>
      <c r="D1424" s="2" t="str">
        <f t="shared" si="21"/>
        <v>Error?</v>
      </c>
    </row>
    <row r="1425" spans="1:4" x14ac:dyDescent="0.2">
      <c r="A1425" s="5">
        <v>1364</v>
      </c>
      <c r="B1425" s="138">
        <f>'Expenditures 15-22'!D259</f>
        <v>11379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11379</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27402</v>
      </c>
      <c r="D1431" s="2" t="str">
        <f t="shared" si="21"/>
        <v>Error?</v>
      </c>
    </row>
    <row r="1432" spans="1:4" x14ac:dyDescent="0.2">
      <c r="A1432" s="5">
        <v>1371</v>
      </c>
      <c r="B1432" s="138">
        <f>'Expenditures 15-22'!D267</f>
        <v>2699</v>
      </c>
      <c r="D1432" s="2" t="str">
        <f t="shared" si="21"/>
        <v>Error?</v>
      </c>
    </row>
    <row r="1433" spans="1:4" x14ac:dyDescent="0.2">
      <c r="A1433" s="5">
        <v>1372</v>
      </c>
      <c r="B1433" s="138">
        <f>'Expenditures 15-22'!D268</f>
        <v>9269</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39370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72269</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124076</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628</v>
      </c>
      <c r="C1471" s="2" t="s">
        <v>573</v>
      </c>
      <c r="D1471" s="2" t="str">
        <f t="shared" ref="D1471:D1534" si="22">IF(ISBLANK(B1471),"OK",IF(A1471-B1471=0,"OK","Error?"))</f>
        <v>Error?</v>
      </c>
    </row>
    <row r="1472" spans="1:4" x14ac:dyDescent="0.2">
      <c r="A1472" s="5">
        <v>1411</v>
      </c>
      <c r="B1472" s="138">
        <f>'Expenditures 15-22'!K223</f>
        <v>5651</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51807</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6165</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535</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6700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1331</v>
      </c>
      <c r="C1486" s="2" t="s">
        <v>573</v>
      </c>
      <c r="D1486" s="2" t="str">
        <f t="shared" si="22"/>
        <v>Error?</v>
      </c>
    </row>
    <row r="1487" spans="1:4" x14ac:dyDescent="0.2">
      <c r="A1487" s="5">
        <v>1426</v>
      </c>
      <c r="B1487" s="138">
        <f>'Expenditures 15-22'!K246</f>
        <v>13489</v>
      </c>
      <c r="C1487" s="2" t="s">
        <v>573</v>
      </c>
      <c r="D1487" s="2" t="str">
        <f t="shared" si="22"/>
        <v>Error?</v>
      </c>
    </row>
    <row r="1488" spans="1:4" x14ac:dyDescent="0.2">
      <c r="A1488" s="5">
        <v>1427</v>
      </c>
      <c r="B1488" s="138">
        <f>'Expenditures 15-22'!K257</f>
        <v>14820</v>
      </c>
      <c r="C1488" s="2" t="s">
        <v>573</v>
      </c>
      <c r="D1488" s="2" t="str">
        <f t="shared" si="22"/>
        <v>Error?</v>
      </c>
    </row>
    <row r="1489" spans="1:4" x14ac:dyDescent="0.2">
      <c r="A1489" s="5">
        <v>1428</v>
      </c>
      <c r="B1489" s="138">
        <f>'Expenditures 15-22'!K259</f>
        <v>11379</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11379</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27402</v>
      </c>
      <c r="C1495" s="2" t="s">
        <v>573</v>
      </c>
      <c r="D1495" s="2" t="str">
        <f t="shared" si="22"/>
        <v>Error?</v>
      </c>
    </row>
    <row r="1496" spans="1:4" x14ac:dyDescent="0.2">
      <c r="A1496" s="5">
        <v>1435</v>
      </c>
      <c r="B1496" s="138">
        <f>'Expenditures 15-22'!K267</f>
        <v>2699</v>
      </c>
      <c r="C1496" s="2" t="s">
        <v>573</v>
      </c>
      <c r="D1496" s="2" t="str">
        <f t="shared" si="22"/>
        <v>Error?</v>
      </c>
    </row>
    <row r="1497" spans="1:4" x14ac:dyDescent="0.2">
      <c r="A1497" s="5">
        <v>1436</v>
      </c>
      <c r="B1497" s="138">
        <f>'Expenditures 15-22'!K268</f>
        <v>9269</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39370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72269</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124076</v>
      </c>
      <c r="C1517" s="2" t="s">
        <v>573</v>
      </c>
      <c r="D1517" s="2" t="str">
        <f t="shared" si="22"/>
        <v>Error?</v>
      </c>
    </row>
    <row r="1518" spans="1:4" x14ac:dyDescent="0.2">
      <c r="A1518" s="5">
        <v>1457</v>
      </c>
      <c r="B1518" s="138">
        <f>'Expenditures 15-22'!K296</f>
        <v>-51272</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7746</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7746</v>
      </c>
      <c r="C1535" s="2" t="s">
        <v>573</v>
      </c>
      <c r="D1535" s="2" t="str">
        <f t="shared" ref="D1535:D1598" si="23">IF(ISBLANK(B1535),"OK",IF(A1535-B1535=0,"OK","Error?"))</f>
        <v>Error?</v>
      </c>
    </row>
    <row r="1536" spans="1:4" x14ac:dyDescent="0.2">
      <c r="A1536" s="5">
        <v>1475</v>
      </c>
      <c r="B1536" s="138">
        <f>'Expenditures 15-22'!E312</f>
        <v>7746</v>
      </c>
      <c r="C1536" s="2" t="s">
        <v>573</v>
      </c>
      <c r="D1536" s="2" t="str">
        <f t="shared" si="23"/>
        <v>Error?</v>
      </c>
    </row>
    <row r="1537" spans="1:4" x14ac:dyDescent="0.2">
      <c r="A1537" s="5">
        <v>1476</v>
      </c>
      <c r="B1537" s="138">
        <f>'Expenditures 15-22'!F301</f>
        <v>7007</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7007</v>
      </c>
      <c r="C1541" s="2" t="s">
        <v>573</v>
      </c>
      <c r="D1541" s="2" t="str">
        <f t="shared" si="23"/>
        <v>Error?</v>
      </c>
    </row>
    <row r="1542" spans="1:4" x14ac:dyDescent="0.2">
      <c r="A1542" s="5">
        <v>1481</v>
      </c>
      <c r="B1542" s="138">
        <f>'Expenditures 15-22'!F312</f>
        <v>7007</v>
      </c>
      <c r="C1542" s="2" t="s">
        <v>573</v>
      </c>
      <c r="D1542" s="2" t="str">
        <f t="shared" si="23"/>
        <v>Error?</v>
      </c>
    </row>
    <row r="1543" spans="1:4" x14ac:dyDescent="0.2">
      <c r="A1543" s="5">
        <v>1482</v>
      </c>
      <c r="B1543" s="138">
        <f>'Expenditures 15-22'!G301</f>
        <v>708735</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708735</v>
      </c>
      <c r="C1547" s="2" t="s">
        <v>573</v>
      </c>
      <c r="D1547" s="2" t="str">
        <f t="shared" si="23"/>
        <v>Error?</v>
      </c>
    </row>
    <row r="1548" spans="1:4" x14ac:dyDescent="0.2">
      <c r="A1548" s="5">
        <v>1487</v>
      </c>
      <c r="B1548" s="138">
        <f>'Expenditures 15-22'!G312</f>
        <v>708735</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723488</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723488</v>
      </c>
      <c r="C1559" s="2" t="s">
        <v>573</v>
      </c>
      <c r="D1559" s="2" t="str">
        <f t="shared" si="23"/>
        <v>Error?</v>
      </c>
    </row>
    <row r="1560" spans="1:4" x14ac:dyDescent="0.2">
      <c r="A1560" s="5">
        <v>1499</v>
      </c>
      <c r="B1560" s="138">
        <f>'Expenditures 15-22'!K312</f>
        <v>723488</v>
      </c>
      <c r="C1560" s="2" t="s">
        <v>573</v>
      </c>
      <c r="D1560" s="2" t="str">
        <f t="shared" si="23"/>
        <v>Error?</v>
      </c>
    </row>
    <row r="1561" spans="1:4" x14ac:dyDescent="0.2">
      <c r="A1561" s="5">
        <v>1500</v>
      </c>
      <c r="B1561" s="138">
        <f>'Expenditures 15-22'!K313</f>
        <v>-646376</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808401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783502</v>
      </c>
      <c r="C1630" s="2" t="s">
        <v>573</v>
      </c>
      <c r="D1630" s="2" t="str">
        <f t="shared" si="24"/>
        <v>Error?</v>
      </c>
    </row>
    <row r="1631" spans="1:4" x14ac:dyDescent="0.2">
      <c r="A1631" s="5">
        <v>1570</v>
      </c>
      <c r="B1631" s="138">
        <f>'Acct Summary 7-8'!D79</f>
        <v>183700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35633</v>
      </c>
      <c r="C1644" s="2" t="s">
        <v>573</v>
      </c>
      <c r="D1644" s="2" t="str">
        <f t="shared" si="24"/>
        <v>Error?</v>
      </c>
    </row>
    <row r="1645" spans="1:4" x14ac:dyDescent="0.2">
      <c r="A1645" s="5">
        <v>1584</v>
      </c>
      <c r="B1645" s="138">
        <f>'Acct Summary 7-8'!E79</f>
        <v>91151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80362</v>
      </c>
      <c r="C1658" s="2" t="s">
        <v>573</v>
      </c>
      <c r="D1658" s="2" t="str">
        <f t="shared" si="24"/>
        <v>Error?</v>
      </c>
    </row>
    <row r="1659" spans="1:4" x14ac:dyDescent="0.2">
      <c r="A1659" s="5">
        <v>1598</v>
      </c>
      <c r="B1659" s="138">
        <f>'Acct Summary 7-8'!F79</f>
        <v>296422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163199</v>
      </c>
      <c r="C1672" s="2" t="s">
        <v>573</v>
      </c>
      <c r="D1672" s="2" t="str">
        <f t="shared" si="25"/>
        <v>Error?</v>
      </c>
    </row>
    <row r="1673" spans="1:4" x14ac:dyDescent="0.2">
      <c r="A1673" s="5">
        <v>1612</v>
      </c>
      <c r="B1673" s="138">
        <f>'Acct Summary 7-8'!G79</f>
        <v>100225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98953</v>
      </c>
      <c r="C1686" s="2" t="s">
        <v>573</v>
      </c>
      <c r="D1686" s="2" t="str">
        <f t="shared" si="25"/>
        <v>Error?</v>
      </c>
    </row>
    <row r="1687" spans="1:4" x14ac:dyDescent="0.2">
      <c r="A1687" s="5">
        <v>1626</v>
      </c>
      <c r="B1687" s="138">
        <f>'Acct Summary 7-8'!H79</f>
        <v>53299</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106923</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1285541</v>
      </c>
      <c r="C1744" s="2" t="s">
        <v>573</v>
      </c>
      <c r="D1744" s="2" t="str">
        <f t="shared" si="26"/>
        <v>Error?</v>
      </c>
    </row>
    <row r="1745" spans="1:5" x14ac:dyDescent="0.2">
      <c r="A1745" s="5">
        <v>1684</v>
      </c>
      <c r="B1745" s="138">
        <f>'Tax Sched 23'!B5</f>
        <v>308652</v>
      </c>
      <c r="C1745" s="2" t="s">
        <v>573</v>
      </c>
      <c r="D1745" s="2" t="str">
        <f t="shared" si="26"/>
        <v>Error?</v>
      </c>
    </row>
    <row r="1746" spans="1:5" x14ac:dyDescent="0.2">
      <c r="A1746" s="5">
        <v>1685</v>
      </c>
      <c r="B1746" s="138">
        <f>'Tax Sched 23'!B6</f>
        <v>537944</v>
      </c>
      <c r="C1746" s="2" t="s">
        <v>573</v>
      </c>
      <c r="D1746" s="2" t="str">
        <f t="shared" si="26"/>
        <v>Error?</v>
      </c>
    </row>
    <row r="1747" spans="1:5" x14ac:dyDescent="0.2">
      <c r="A1747" s="5">
        <v>1686</v>
      </c>
      <c r="B1747" s="138">
        <f>'Tax Sched 23'!B7</f>
        <v>123461</v>
      </c>
      <c r="C1747" s="2" t="s">
        <v>573</v>
      </c>
      <c r="D1747" s="2" t="str">
        <f t="shared" si="26"/>
        <v>Error?</v>
      </c>
    </row>
    <row r="1748" spans="1:5" x14ac:dyDescent="0.2">
      <c r="A1748" s="5">
        <v>1687</v>
      </c>
      <c r="B1748" s="138">
        <f>'Tax Sched 23'!B8</f>
        <v>32741</v>
      </c>
      <c r="C1748" s="2" t="s">
        <v>573</v>
      </c>
      <c r="D1748" s="2" t="str">
        <f t="shared" si="26"/>
        <v>Error?</v>
      </c>
    </row>
    <row r="1749" spans="1:5" x14ac:dyDescent="0.2">
      <c r="A1749" s="5">
        <v>1688</v>
      </c>
      <c r="B1749" s="138">
        <f>'Tax Sched 23'!B10</f>
        <v>30865</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281562</v>
      </c>
      <c r="C1752" s="2" t="s">
        <v>573</v>
      </c>
      <c r="D1752" s="2" t="str">
        <f t="shared" si="26"/>
        <v>Error?</v>
      </c>
    </row>
    <row r="1753" spans="1:5" x14ac:dyDescent="0.2">
      <c r="A1753" s="5">
        <v>1692</v>
      </c>
      <c r="B1753" s="138">
        <f>'Tax Sched 23'!B12</f>
        <v>30865</v>
      </c>
      <c r="C1753" s="2" t="s">
        <v>573</v>
      </c>
      <c r="D1753" s="2" t="str">
        <f t="shared" si="26"/>
        <v>Error?</v>
      </c>
    </row>
    <row r="1754" spans="1:5" x14ac:dyDescent="0.2">
      <c r="A1754" s="5">
        <v>1693</v>
      </c>
      <c r="B1754" s="138">
        <f>'Tax Sched 23'!B14</f>
        <v>24693</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2692175</v>
      </c>
      <c r="C1759" s="2" t="s">
        <v>573</v>
      </c>
      <c r="D1759" s="2" t="str">
        <f t="shared" si="26"/>
        <v>Error?</v>
      </c>
    </row>
    <row r="1760" spans="1:5" x14ac:dyDescent="0.2">
      <c r="A1760" s="5">
        <v>1699</v>
      </c>
      <c r="B1760" s="138">
        <f>'Tax Sched 23'!D4</f>
        <v>1285541</v>
      </c>
      <c r="C1760" s="2" t="s">
        <v>573</v>
      </c>
      <c r="D1760" s="2" t="str">
        <f t="shared" si="26"/>
        <v>Error?</v>
      </c>
    </row>
    <row r="1761" spans="1:5" x14ac:dyDescent="0.2">
      <c r="A1761" s="5">
        <v>1700</v>
      </c>
      <c r="B1761" s="138">
        <f>'Tax Sched 23'!D5</f>
        <v>308652</v>
      </c>
      <c r="C1761" s="2" t="s">
        <v>573</v>
      </c>
      <c r="D1761" s="2" t="str">
        <f t="shared" si="26"/>
        <v>Error?</v>
      </c>
    </row>
    <row r="1762" spans="1:5" s="8" customFormat="1" x14ac:dyDescent="0.2">
      <c r="A1762" s="5">
        <v>1701</v>
      </c>
      <c r="B1762" s="138">
        <f>'Tax Sched 23'!D6</f>
        <v>537944</v>
      </c>
      <c r="C1762" s="2" t="s">
        <v>573</v>
      </c>
      <c r="D1762" s="2" t="str">
        <f t="shared" si="26"/>
        <v>Error?</v>
      </c>
      <c r="E1762" s="9"/>
    </row>
    <row r="1763" spans="1:5" x14ac:dyDescent="0.2">
      <c r="A1763" s="5">
        <v>1702</v>
      </c>
      <c r="B1763" s="138">
        <f>'Tax Sched 23'!D7</f>
        <v>123461</v>
      </c>
      <c r="C1763" s="2" t="s">
        <v>573</v>
      </c>
      <c r="D1763" s="2" t="str">
        <f t="shared" si="26"/>
        <v>Error?</v>
      </c>
    </row>
    <row r="1764" spans="1:5" x14ac:dyDescent="0.2">
      <c r="A1764" s="5">
        <v>1703</v>
      </c>
      <c r="B1764" s="138">
        <f>'Tax Sched 23'!D8</f>
        <v>32741</v>
      </c>
      <c r="C1764" s="2" t="s">
        <v>573</v>
      </c>
      <c r="D1764" s="2" t="str">
        <f t="shared" si="26"/>
        <v>Error?</v>
      </c>
    </row>
    <row r="1765" spans="1:5" x14ac:dyDescent="0.2">
      <c r="A1765" s="5">
        <v>1704</v>
      </c>
      <c r="B1765" s="138">
        <f>'Tax Sched 23'!D10</f>
        <v>30865</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281562</v>
      </c>
      <c r="C1768" s="2" t="s">
        <v>573</v>
      </c>
      <c r="D1768" s="2" t="str">
        <f t="shared" si="26"/>
        <v>Error?</v>
      </c>
    </row>
    <row r="1769" spans="1:5" x14ac:dyDescent="0.2">
      <c r="A1769" s="5">
        <v>1708</v>
      </c>
      <c r="B1769" s="138">
        <f>'Tax Sched 23'!D12</f>
        <v>30865</v>
      </c>
      <c r="C1769" s="2" t="s">
        <v>573</v>
      </c>
      <c r="D1769" s="2" t="str">
        <f t="shared" si="26"/>
        <v>Error?</v>
      </c>
    </row>
    <row r="1770" spans="1:5" x14ac:dyDescent="0.2">
      <c r="A1770" s="5">
        <v>1709</v>
      </c>
      <c r="B1770" s="138">
        <f>'Tax Sched 23'!D14</f>
        <v>24693</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2692175</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1269184</v>
      </c>
      <c r="C1792" s="2" t="s">
        <v>573</v>
      </c>
      <c r="D1792" s="2" t="str">
        <f t="shared" si="27"/>
        <v>Error?</v>
      </c>
    </row>
    <row r="1793" spans="1:4" x14ac:dyDescent="0.2">
      <c r="A1793" s="5">
        <v>1732</v>
      </c>
      <c r="B1793" s="138">
        <f>'Tax Sched 23'!F5</f>
        <v>303632</v>
      </c>
      <c r="C1793" s="2" t="s">
        <v>573</v>
      </c>
      <c r="D1793" s="2" t="str">
        <f t="shared" si="27"/>
        <v>Error?</v>
      </c>
    </row>
    <row r="1794" spans="1:4" x14ac:dyDescent="0.2">
      <c r="A1794" s="5">
        <v>1733</v>
      </c>
      <c r="B1794" s="138">
        <f>'Tax Sched 23'!F6</f>
        <v>547792</v>
      </c>
      <c r="C1794" s="2" t="s">
        <v>573</v>
      </c>
      <c r="D1794" s="2" t="str">
        <f t="shared" si="27"/>
        <v>Error?</v>
      </c>
    </row>
    <row r="1795" spans="1:4" x14ac:dyDescent="0.2">
      <c r="A1795" s="5">
        <v>1734</v>
      </c>
      <c r="B1795" s="138">
        <f>'Tax Sched 23'!F7</f>
        <v>121453</v>
      </c>
      <c r="C1795" s="2" t="s">
        <v>573</v>
      </c>
      <c r="D1795" s="2" t="str">
        <f t="shared" si="27"/>
        <v>Error?</v>
      </c>
    </row>
    <row r="1796" spans="1:4" x14ac:dyDescent="0.2">
      <c r="A1796" s="5">
        <v>1735</v>
      </c>
      <c r="B1796" s="138">
        <f>'Tax Sched 23'!F8</f>
        <v>48915</v>
      </c>
      <c r="C1796" s="2" t="s">
        <v>573</v>
      </c>
      <c r="D1796" s="2" t="str">
        <f t="shared" si="27"/>
        <v>Error?</v>
      </c>
    </row>
    <row r="1797" spans="1:4" x14ac:dyDescent="0.2">
      <c r="A1797" s="5">
        <v>1736</v>
      </c>
      <c r="B1797" s="138">
        <f>'Tax Sched 23'!F10</f>
        <v>30363</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244575</v>
      </c>
      <c r="C1800" s="2" t="s">
        <v>573</v>
      </c>
      <c r="D1800" s="2" t="str">
        <f t="shared" si="27"/>
        <v>Error?</v>
      </c>
    </row>
    <row r="1801" spans="1:4" x14ac:dyDescent="0.2">
      <c r="A1801" s="5">
        <v>1740</v>
      </c>
      <c r="B1801" s="138">
        <f>'Tax Sched 23'!F12</f>
        <v>30363</v>
      </c>
      <c r="C1801" s="2" t="s">
        <v>573</v>
      </c>
      <c r="D1801" s="2" t="str">
        <f t="shared" si="27"/>
        <v>Error?</v>
      </c>
    </row>
    <row r="1802" spans="1:4" x14ac:dyDescent="0.2">
      <c r="A1802" s="5">
        <v>1741</v>
      </c>
      <c r="B1802" s="138">
        <f>'Tax Sched 23'!F14</f>
        <v>24291</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2679469</v>
      </c>
      <c r="C1807" s="2" t="s">
        <v>573</v>
      </c>
      <c r="D1807" s="2" t="str">
        <f t="shared" si="27"/>
        <v>Error?</v>
      </c>
    </row>
    <row r="1808" spans="1:4" x14ac:dyDescent="0.2">
      <c r="A1808" s="5">
        <v>1747</v>
      </c>
      <c r="B1808" s="138">
        <f>'Tax Sched 23'!E4</f>
        <v>1269184</v>
      </c>
      <c r="D1808" s="2" t="str">
        <f t="shared" si="27"/>
        <v>Error?</v>
      </c>
    </row>
    <row r="1809" spans="1:4" x14ac:dyDescent="0.2">
      <c r="A1809" s="5">
        <v>1748</v>
      </c>
      <c r="B1809" s="138">
        <f>'Tax Sched 23'!E5</f>
        <v>303632</v>
      </c>
      <c r="D1809" s="2" t="str">
        <f t="shared" si="27"/>
        <v>Error?</v>
      </c>
    </row>
    <row r="1810" spans="1:4" x14ac:dyDescent="0.2">
      <c r="A1810" s="5">
        <v>1749</v>
      </c>
      <c r="B1810" s="138">
        <f>'Tax Sched 23'!E6</f>
        <v>547792</v>
      </c>
      <c r="D1810" s="2" t="str">
        <f t="shared" si="27"/>
        <v>Error?</v>
      </c>
    </row>
    <row r="1811" spans="1:4" x14ac:dyDescent="0.2">
      <c r="A1811" s="5">
        <v>1750</v>
      </c>
      <c r="B1811" s="138">
        <f>'Tax Sched 23'!E7</f>
        <v>121453</v>
      </c>
      <c r="D1811" s="2" t="str">
        <f t="shared" si="27"/>
        <v>Error?</v>
      </c>
    </row>
    <row r="1812" spans="1:4" x14ac:dyDescent="0.2">
      <c r="A1812" s="5">
        <v>1751</v>
      </c>
      <c r="B1812" s="138">
        <f>'Tax Sched 23'!E8</f>
        <v>48915</v>
      </c>
      <c r="D1812" s="2" t="str">
        <f t="shared" si="27"/>
        <v>Error?</v>
      </c>
    </row>
    <row r="1813" spans="1:4" x14ac:dyDescent="0.2">
      <c r="A1813" s="5">
        <v>1752</v>
      </c>
      <c r="B1813" s="138">
        <f>'Tax Sched 23'!E10</f>
        <v>30363</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244575</v>
      </c>
      <c r="D1816" s="2" t="str">
        <f t="shared" si="27"/>
        <v>Error?</v>
      </c>
    </row>
    <row r="1817" spans="1:4" x14ac:dyDescent="0.2">
      <c r="A1817" s="5">
        <v>1756</v>
      </c>
      <c r="B1817" s="138">
        <f>'Tax Sched 23'!E12</f>
        <v>30363</v>
      </c>
      <c r="D1817" s="2" t="str">
        <f t="shared" si="27"/>
        <v>Error?</v>
      </c>
    </row>
    <row r="1818" spans="1:4" x14ac:dyDescent="0.2">
      <c r="A1818" s="5">
        <v>1757</v>
      </c>
      <c r="B1818" s="138">
        <f>'Tax Sched 23'!E14</f>
        <v>24291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2679469</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1358900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24693</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24693</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24693</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27700</v>
      </c>
      <c r="D2008" s="2" t="str">
        <f t="shared" si="30"/>
        <v>Error?</v>
      </c>
    </row>
    <row r="2009" spans="1:4" x14ac:dyDescent="0.2">
      <c r="A2009" s="5">
        <v>1948</v>
      </c>
      <c r="B2009" s="138">
        <f>'Cap Outlay Deprec 26'!C8</f>
        <v>8275831</v>
      </c>
      <c r="D2009" s="2" t="str">
        <f t="shared" si="30"/>
        <v>Error?</v>
      </c>
    </row>
    <row r="2010" spans="1:4" x14ac:dyDescent="0.2">
      <c r="A2010" s="5">
        <v>1949</v>
      </c>
      <c r="B2010" s="138">
        <f>'Cap Outlay Deprec 26'!C10</f>
        <v>2454587</v>
      </c>
      <c r="D2010" s="2" t="str">
        <f t="shared" si="30"/>
        <v>Error?</v>
      </c>
    </row>
    <row r="2011" spans="1:4" x14ac:dyDescent="0.2">
      <c r="A2011" s="5">
        <v>1950</v>
      </c>
      <c r="B2011" s="138">
        <f>'Cap Outlay Deprec 26'!C12</f>
        <v>865553</v>
      </c>
      <c r="D2011" s="2" t="str">
        <f t="shared" si="30"/>
        <v>Error?</v>
      </c>
    </row>
    <row r="2012" spans="1:4" x14ac:dyDescent="0.2">
      <c r="A2012" s="5">
        <v>1951</v>
      </c>
      <c r="B2012" s="138">
        <f>'Cap Outlay Deprec 26'!C13</f>
        <v>44247</v>
      </c>
      <c r="D2012" s="2" t="str">
        <f t="shared" si="30"/>
        <v>Error?</v>
      </c>
    </row>
    <row r="2013" spans="1:4" x14ac:dyDescent="0.2">
      <c r="A2013" s="5">
        <v>1952</v>
      </c>
      <c r="B2013" s="138">
        <f>'Cap Outlay Deprec 26'!C16</f>
        <v>12126848</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731447</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114358</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979475</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56030</v>
      </c>
      <c r="C2025" s="2" t="s">
        <v>573</v>
      </c>
      <c r="D2025" s="2" t="str">
        <f t="shared" si="30"/>
        <v>Error?</v>
      </c>
    </row>
    <row r="2026" spans="1:4" x14ac:dyDescent="0.2">
      <c r="A2026" s="5">
        <v>1965</v>
      </c>
      <c r="B2026" s="138">
        <f>'Cap Outlay Deprec 26'!F5</f>
        <v>27700</v>
      </c>
      <c r="C2026" s="2" t="s">
        <v>573</v>
      </c>
      <c r="D2026" s="2" t="str">
        <f t="shared" si="30"/>
        <v>Error?</v>
      </c>
    </row>
    <row r="2027" spans="1:4" x14ac:dyDescent="0.2">
      <c r="A2027" s="5">
        <v>1966</v>
      </c>
      <c r="B2027" s="138">
        <f>'Cap Outlay Deprec 26'!F8</f>
        <v>9007278</v>
      </c>
      <c r="C2027" s="2" t="s">
        <v>573</v>
      </c>
      <c r="D2027" s="2" t="str">
        <f t="shared" si="30"/>
        <v>Error?</v>
      </c>
    </row>
    <row r="2028" spans="1:4" x14ac:dyDescent="0.2">
      <c r="A2028" s="5">
        <v>1967</v>
      </c>
      <c r="B2028" s="138">
        <f>'Cap Outlay Deprec 26'!F10</f>
        <v>2454587</v>
      </c>
      <c r="C2028" s="2" t="s">
        <v>573</v>
      </c>
      <c r="D2028" s="2" t="str">
        <f t="shared" si="30"/>
        <v>Error?</v>
      </c>
    </row>
    <row r="2029" spans="1:4" x14ac:dyDescent="0.2">
      <c r="A2029" s="5">
        <v>1968</v>
      </c>
      <c r="B2029" s="138">
        <f>'Cap Outlay Deprec 26'!F12</f>
        <v>979911</v>
      </c>
      <c r="C2029" s="2" t="s">
        <v>573</v>
      </c>
      <c r="D2029" s="2" t="str">
        <f t="shared" si="30"/>
        <v>Error?</v>
      </c>
    </row>
    <row r="2030" spans="1:4" x14ac:dyDescent="0.2">
      <c r="A2030" s="5">
        <v>1969</v>
      </c>
      <c r="B2030" s="138">
        <f>'Cap Outlay Deprec 26'!F13</f>
        <v>44247</v>
      </c>
      <c r="C2030" s="2" t="s">
        <v>573</v>
      </c>
      <c r="D2030" s="2" t="str">
        <f t="shared" si="30"/>
        <v>Error?</v>
      </c>
    </row>
    <row r="2031" spans="1:4" x14ac:dyDescent="0.2">
      <c r="A2031" s="5">
        <v>1970</v>
      </c>
      <c r="B2031" s="138">
        <f>'Cap Outlay Deprec 26'!F16</f>
        <v>13050293</v>
      </c>
      <c r="C2031" s="2" t="s">
        <v>573</v>
      </c>
      <c r="D2031" s="2" t="str">
        <f t="shared" si="30"/>
        <v>Error?</v>
      </c>
    </row>
    <row r="2032" spans="1:4" x14ac:dyDescent="0.2">
      <c r="A2032" s="10">
        <v>1971</v>
      </c>
      <c r="D2032" s="2" t="str">
        <f t="shared" si="30"/>
        <v>OK</v>
      </c>
    </row>
    <row r="2033" spans="1:4" x14ac:dyDescent="0.2">
      <c r="A2033" s="5">
        <v>1972</v>
      </c>
      <c r="B2033" s="138">
        <f>'Cap Outlay Deprec 26'!H8</f>
        <v>3822829</v>
      </c>
      <c r="D2033" s="2" t="str">
        <f t="shared" si="30"/>
        <v>Error?</v>
      </c>
    </row>
    <row r="2034" spans="1:4" x14ac:dyDescent="0.2">
      <c r="A2034" s="5">
        <v>1973</v>
      </c>
      <c r="B2034" s="138">
        <f>'Cap Outlay Deprec 26'!H10</f>
        <v>1045573</v>
      </c>
      <c r="D2034" s="2" t="str">
        <f t="shared" si="30"/>
        <v>Error?</v>
      </c>
    </row>
    <row r="2035" spans="1:4" x14ac:dyDescent="0.2">
      <c r="A2035" s="5">
        <v>1974</v>
      </c>
      <c r="B2035" s="138">
        <f>'Cap Outlay Deprec 26'!H12</f>
        <v>765696</v>
      </c>
      <c r="D2035" s="2" t="str">
        <f t="shared" si="30"/>
        <v>Error?</v>
      </c>
    </row>
    <row r="2036" spans="1:4" x14ac:dyDescent="0.2">
      <c r="A2036" s="5">
        <v>1975</v>
      </c>
      <c r="B2036" s="138">
        <f>'Cap Outlay Deprec 26'!H13</f>
        <v>44247</v>
      </c>
      <c r="D2036" s="2" t="str">
        <f t="shared" si="30"/>
        <v>Error?</v>
      </c>
    </row>
    <row r="2037" spans="1:4" x14ac:dyDescent="0.2">
      <c r="A2037" s="5">
        <v>1976</v>
      </c>
      <c r="B2037" s="138">
        <f>'Cap Outlay Deprec 26'!H16</f>
        <v>6051745</v>
      </c>
      <c r="C2037" s="2" t="s">
        <v>573</v>
      </c>
      <c r="D2037" s="2" t="str">
        <f t="shared" si="30"/>
        <v>Error?</v>
      </c>
    </row>
    <row r="2038" spans="1:4" x14ac:dyDescent="0.2">
      <c r="A2038" s="10">
        <v>1977</v>
      </c>
      <c r="D2038" s="2" t="str">
        <f t="shared" si="30"/>
        <v>OK</v>
      </c>
    </row>
    <row r="2039" spans="1:4" x14ac:dyDescent="0.2">
      <c r="A2039" s="5">
        <v>1978</v>
      </c>
      <c r="B2039" s="138">
        <f>'Cap Outlay Deprec 26'!I8</f>
        <v>149267</v>
      </c>
      <c r="D2039" s="2" t="str">
        <f t="shared" si="30"/>
        <v>Error?</v>
      </c>
    </row>
    <row r="2040" spans="1:4" x14ac:dyDescent="0.2">
      <c r="A2040" s="5">
        <v>1979</v>
      </c>
      <c r="B2040" s="138">
        <f>'Cap Outlay Deprec 26'!I10</f>
        <v>117264</v>
      </c>
      <c r="D2040" s="2" t="str">
        <f t="shared" si="30"/>
        <v>Error?</v>
      </c>
    </row>
    <row r="2041" spans="1:4" x14ac:dyDescent="0.2">
      <c r="A2041" s="5">
        <v>1980</v>
      </c>
      <c r="B2041" s="138">
        <f>'Cap Outlay Deprec 26'!I12</f>
        <v>29019</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313579</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3972096</v>
      </c>
      <c r="C2051" s="2" t="s">
        <v>573</v>
      </c>
      <c r="D2051" s="2" t="str">
        <f t="shared" si="31"/>
        <v>Error?</v>
      </c>
    </row>
    <row r="2052" spans="1:4" x14ac:dyDescent="0.2">
      <c r="A2052" s="5">
        <v>1991</v>
      </c>
      <c r="B2052" s="138">
        <f>'Cap Outlay Deprec 26'!K10</f>
        <v>1162837</v>
      </c>
      <c r="C2052" s="2" t="s">
        <v>573</v>
      </c>
      <c r="D2052" s="2" t="str">
        <f t="shared" si="31"/>
        <v>Error?</v>
      </c>
    </row>
    <row r="2053" spans="1:4" x14ac:dyDescent="0.2">
      <c r="A2053" s="5">
        <v>1992</v>
      </c>
      <c r="B2053" s="138">
        <f>'Cap Outlay Deprec 26'!K12</f>
        <v>794715</v>
      </c>
      <c r="C2053" s="2" t="s">
        <v>573</v>
      </c>
      <c r="D2053" s="2" t="str">
        <f t="shared" si="31"/>
        <v>Error?</v>
      </c>
    </row>
    <row r="2054" spans="1:4" x14ac:dyDescent="0.2">
      <c r="A2054" s="5">
        <v>1993</v>
      </c>
      <c r="B2054" s="138">
        <f>'Cap Outlay Deprec 26'!K13</f>
        <v>44247</v>
      </c>
      <c r="C2054" s="2" t="s">
        <v>573</v>
      </c>
      <c r="D2054" s="2" t="str">
        <f t="shared" si="31"/>
        <v>Error?</v>
      </c>
    </row>
    <row r="2055" spans="1:4" x14ac:dyDescent="0.2">
      <c r="A2055" s="5">
        <v>1994</v>
      </c>
      <c r="B2055" s="138">
        <f>'Cap Outlay Deprec 26'!K16</f>
        <v>6365324</v>
      </c>
      <c r="C2055" s="2" t="s">
        <v>573</v>
      </c>
      <c r="D2055" s="2" t="str">
        <f t="shared" si="31"/>
        <v>Error?</v>
      </c>
    </row>
    <row r="2056" spans="1:4" x14ac:dyDescent="0.2">
      <c r="A2056" s="5">
        <v>1995</v>
      </c>
      <c r="B2056" s="138">
        <f>'Cap Outlay Deprec 26'!L5</f>
        <v>27700</v>
      </c>
      <c r="C2056" s="2" t="s">
        <v>573</v>
      </c>
      <c r="D2056" s="2" t="str">
        <f t="shared" si="31"/>
        <v>Error?</v>
      </c>
    </row>
    <row r="2057" spans="1:4" x14ac:dyDescent="0.2">
      <c r="A2057" s="5">
        <v>1996</v>
      </c>
      <c r="B2057" s="138">
        <f>'Cap Outlay Deprec 26'!L8</f>
        <v>5035182</v>
      </c>
      <c r="C2057" s="2" t="s">
        <v>573</v>
      </c>
      <c r="D2057" s="2" t="str">
        <f t="shared" si="31"/>
        <v>Error?</v>
      </c>
    </row>
    <row r="2058" spans="1:4" x14ac:dyDescent="0.2">
      <c r="A2058" s="5">
        <v>1997</v>
      </c>
      <c r="B2058" s="138">
        <f>'Cap Outlay Deprec 26'!L10</f>
        <v>1291750</v>
      </c>
      <c r="C2058" s="2" t="s">
        <v>573</v>
      </c>
      <c r="D2058" s="2" t="str">
        <f t="shared" si="31"/>
        <v>Error?</v>
      </c>
    </row>
    <row r="2059" spans="1:4" x14ac:dyDescent="0.2">
      <c r="A2059" s="5">
        <v>1998</v>
      </c>
      <c r="B2059" s="138">
        <f>'Cap Outlay Deprec 26'!L12</f>
        <v>185196</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6684969</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242288</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750000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98953</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80362</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106923</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1769122</v>
      </c>
      <c r="C2551" s="2" t="s">
        <v>573</v>
      </c>
      <c r="D2551" s="2" t="str">
        <f t="shared" si="38"/>
        <v>Error?</v>
      </c>
    </row>
    <row r="2552" spans="1:4" x14ac:dyDescent="0.2">
      <c r="A2552" s="10">
        <v>2491</v>
      </c>
      <c r="D2552" s="2" t="str">
        <f t="shared" si="38"/>
        <v>OK</v>
      </c>
    </row>
    <row r="2553" spans="1:4" x14ac:dyDescent="0.2">
      <c r="A2553" s="5">
        <v>2492</v>
      </c>
      <c r="B2553" s="138">
        <f>'Acct Summary 7-8'!C6</f>
        <v>943028</v>
      </c>
      <c r="C2553" s="2" t="s">
        <v>573</v>
      </c>
      <c r="D2553" s="2" t="str">
        <f t="shared" si="38"/>
        <v>Error?</v>
      </c>
    </row>
    <row r="2554" spans="1:4" x14ac:dyDescent="0.2">
      <c r="A2554" s="5">
        <v>2493</v>
      </c>
      <c r="B2554" s="138">
        <f>'Acct Summary 7-8'!C7</f>
        <v>532138</v>
      </c>
      <c r="C2554" s="2" t="s">
        <v>573</v>
      </c>
      <c r="D2554" s="2" t="str">
        <f t="shared" si="38"/>
        <v>Error?</v>
      </c>
    </row>
    <row r="2555" spans="1:4" x14ac:dyDescent="0.2">
      <c r="A2555" s="5">
        <v>2494</v>
      </c>
      <c r="B2555" s="138">
        <f>'Acct Summary 7-8'!C8</f>
        <v>3244288</v>
      </c>
      <c r="C2555" s="2" t="s">
        <v>573</v>
      </c>
      <c r="D2555" s="2" t="str">
        <f t="shared" si="38"/>
        <v>Error?</v>
      </c>
    </row>
    <row r="2556" spans="1:4" x14ac:dyDescent="0.2">
      <c r="A2556" s="5">
        <v>2495</v>
      </c>
      <c r="B2556" s="138">
        <f>'Acct Summary 7-8'!C12</f>
        <v>2190262</v>
      </c>
      <c r="C2556" s="2" t="s">
        <v>573</v>
      </c>
      <c r="D2556" s="2" t="str">
        <f t="shared" si="38"/>
        <v>Error?</v>
      </c>
    </row>
    <row r="2557" spans="1:4" x14ac:dyDescent="0.2">
      <c r="A2557" s="5">
        <v>2496</v>
      </c>
      <c r="B2557" s="138">
        <f>'Acct Summary 7-8'!C13</f>
        <v>836637</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242288</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3269187</v>
      </c>
      <c r="C2561" s="2" t="s">
        <v>573</v>
      </c>
      <c r="D2561" s="2" t="str">
        <f t="shared" si="39"/>
        <v>Error?</v>
      </c>
    </row>
    <row r="2562" spans="1:4" x14ac:dyDescent="0.2">
      <c r="A2562" s="5">
        <v>2501</v>
      </c>
      <c r="B2562" s="138">
        <f>'Acct Summary 7-8'!C20</f>
        <v>-24899</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339039</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339039</v>
      </c>
      <c r="C2568" s="2" t="s">
        <v>573</v>
      </c>
      <c r="D2568" s="2" t="str">
        <f t="shared" si="39"/>
        <v>Error?</v>
      </c>
    </row>
    <row r="2569" spans="1:4" x14ac:dyDescent="0.2">
      <c r="A2569" s="5">
        <v>2508</v>
      </c>
      <c r="B2569" s="138">
        <f>'Acct Summary 7-8'!D13</f>
        <v>487106</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487106</v>
      </c>
      <c r="C2573" s="2" t="s">
        <v>573</v>
      </c>
      <c r="D2573" s="2" t="str">
        <f t="shared" si="39"/>
        <v>Error?</v>
      </c>
    </row>
    <row r="2574" spans="1:4" x14ac:dyDescent="0.2">
      <c r="A2574" s="5">
        <v>2513</v>
      </c>
      <c r="B2574" s="138">
        <f>'Acct Summary 7-8'!D20</f>
        <v>-148067</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125904</v>
      </c>
      <c r="C2591" s="2" t="s">
        <v>573</v>
      </c>
      <c r="D2591" s="2" t="str">
        <f t="shared" si="39"/>
        <v>Error?</v>
      </c>
    </row>
    <row r="2592" spans="1:4" x14ac:dyDescent="0.2">
      <c r="A2592" s="10">
        <v>2531</v>
      </c>
      <c r="D2592" s="2" t="str">
        <f t="shared" si="39"/>
        <v>OK</v>
      </c>
    </row>
    <row r="2593" spans="1:4" x14ac:dyDescent="0.2">
      <c r="A2593" s="5">
        <v>2532</v>
      </c>
      <c r="B2593" s="138">
        <f>'Acct Summary 7-8'!F6</f>
        <v>270634</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396538</v>
      </c>
      <c r="C2595" s="2" t="s">
        <v>573</v>
      </c>
      <c r="D2595" s="2" t="str">
        <f t="shared" si="39"/>
        <v>Error?</v>
      </c>
    </row>
    <row r="2596" spans="1:4" x14ac:dyDescent="0.2">
      <c r="A2596" s="5">
        <v>2535</v>
      </c>
      <c r="B2596" s="138">
        <f>'Acct Summary 7-8'!F13</f>
        <v>529761</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529761</v>
      </c>
      <c r="C2600" s="2" t="s">
        <v>573</v>
      </c>
      <c r="D2600" s="2" t="str">
        <f t="shared" si="39"/>
        <v>Error?</v>
      </c>
    </row>
    <row r="2601" spans="1:4" x14ac:dyDescent="0.2">
      <c r="A2601" s="5">
        <v>2540</v>
      </c>
      <c r="B2601" s="138">
        <f>'Acct Summary 7-8'!F20</f>
        <v>-133223</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72804</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72804</v>
      </c>
      <c r="C2606" s="2" t="s">
        <v>573</v>
      </c>
      <c r="D2606" s="2" t="str">
        <f t="shared" si="39"/>
        <v>Error?</v>
      </c>
    </row>
    <row r="2607" spans="1:4" x14ac:dyDescent="0.2">
      <c r="A2607" s="5">
        <v>2546</v>
      </c>
      <c r="B2607" s="138">
        <f>'Acct Summary 7-8'!G12</f>
        <v>51807</v>
      </c>
      <c r="C2607" s="2" t="s">
        <v>573</v>
      </c>
      <c r="D2607" s="2" t="str">
        <f t="shared" si="39"/>
        <v>Error?</v>
      </c>
    </row>
    <row r="2608" spans="1:4" x14ac:dyDescent="0.2">
      <c r="A2608" s="5">
        <v>2547</v>
      </c>
      <c r="B2608" s="138">
        <f>'Acct Summary 7-8'!G13</f>
        <v>72269</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124076</v>
      </c>
      <c r="C2612" s="2" t="s">
        <v>573</v>
      </c>
      <c r="D2612" s="2" t="str">
        <f t="shared" si="39"/>
        <v>Error?</v>
      </c>
    </row>
    <row r="2613" spans="1:4" x14ac:dyDescent="0.2">
      <c r="A2613" s="5">
        <v>2552</v>
      </c>
      <c r="B2613" s="138">
        <f>'Acct Summary 7-8'!G20</f>
        <v>-51272</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537983</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537983</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548772</v>
      </c>
      <c r="C2634" s="2" t="s">
        <v>573</v>
      </c>
      <c r="D2634" s="2" t="str">
        <f t="shared" si="40"/>
        <v>Error?</v>
      </c>
    </row>
    <row r="2635" spans="1:4" x14ac:dyDescent="0.2">
      <c r="A2635" s="5">
        <v>2574</v>
      </c>
      <c r="B2635" s="138">
        <f>'Acct Summary 7-8'!E17</f>
        <v>548772</v>
      </c>
      <c r="C2635" s="2" t="s">
        <v>573</v>
      </c>
      <c r="D2635" s="2" t="str">
        <f t="shared" si="40"/>
        <v>Error?</v>
      </c>
    </row>
    <row r="2636" spans="1:4" x14ac:dyDescent="0.2">
      <c r="A2636" s="5">
        <v>2575</v>
      </c>
      <c r="B2636" s="138">
        <f>'Acct Summary 7-8'!E20</f>
        <v>-10789</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77112</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77112</v>
      </c>
      <c r="C2658" s="2" t="s">
        <v>573</v>
      </c>
      <c r="D2658" s="2" t="str">
        <f t="shared" si="40"/>
        <v>Error?</v>
      </c>
    </row>
    <row r="2659" spans="1:4" x14ac:dyDescent="0.2">
      <c r="A2659" s="5">
        <v>2598</v>
      </c>
      <c r="B2659" s="138">
        <f>'Acct Summary 7-8'!H13</f>
        <v>723488</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723488</v>
      </c>
      <c r="C2661" s="2" t="s">
        <v>573</v>
      </c>
      <c r="D2661" s="2" t="str">
        <f t="shared" si="40"/>
        <v>Error?</v>
      </c>
    </row>
    <row r="2662" spans="1:4" x14ac:dyDescent="0.2">
      <c r="A2662" s="5">
        <v>2601</v>
      </c>
      <c r="B2662" s="138">
        <f>'Acct Summary 7-8'!H20</f>
        <v>-646376</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242288</v>
      </c>
      <c r="C2789" s="2" t="s">
        <v>573</v>
      </c>
      <c r="D2789" s="2" t="str">
        <f t="shared" si="42"/>
        <v>Error?</v>
      </c>
    </row>
    <row r="2790" spans="1:4" x14ac:dyDescent="0.2">
      <c r="A2790" s="5">
        <v>2729</v>
      </c>
      <c r="B2790" s="138">
        <f>'Expenditures 15-22'!E102</f>
        <v>242288</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125942</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664013</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51052</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664013</v>
      </c>
      <c r="D2912" s="2" t="str">
        <f t="shared" si="44"/>
        <v>Error?</v>
      </c>
    </row>
    <row r="2913" spans="1:4" x14ac:dyDescent="0.2">
      <c r="A2913" s="5">
        <v>2852</v>
      </c>
      <c r="B2913" s="138">
        <f>'Assets-Liab 5-6'!I41</f>
        <v>664013</v>
      </c>
      <c r="C2913" s="2" t="s">
        <v>573</v>
      </c>
      <c r="D2913" s="2" t="str">
        <f t="shared" si="44"/>
        <v>Error?</v>
      </c>
    </row>
    <row r="2914" spans="1:4" x14ac:dyDescent="0.2">
      <c r="A2914" s="5">
        <v>2853</v>
      </c>
      <c r="B2914" s="138">
        <f>'Assets-Liab 5-6'!L33</f>
        <v>51052</v>
      </c>
      <c r="D2914" s="2" t="str">
        <f t="shared" si="44"/>
        <v>Error?</v>
      </c>
    </row>
    <row r="2915" spans="1:4" x14ac:dyDescent="0.2">
      <c r="A2915" s="10">
        <v>2854</v>
      </c>
      <c r="D2915" s="2" t="str">
        <f t="shared" si="44"/>
        <v>OK</v>
      </c>
    </row>
    <row r="2916" spans="1:4" x14ac:dyDescent="0.2">
      <c r="A2916" s="5">
        <v>2855</v>
      </c>
      <c r="B2916" s="138">
        <f>'Assets-Liab 5-6'!L34</f>
        <v>51052</v>
      </c>
      <c r="C2916" s="2" t="s">
        <v>573</v>
      </c>
      <c r="D2916" s="2" t="str">
        <f t="shared" si="44"/>
        <v>Error?</v>
      </c>
    </row>
    <row r="2917" spans="1:4" x14ac:dyDescent="0.2">
      <c r="A2917" s="5">
        <v>2856</v>
      </c>
      <c r="B2917" s="138">
        <f>'Assets-Liab 5-6'!L41</f>
        <v>51052</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234142</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8146</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234142</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8146</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114468</v>
      </c>
      <c r="D3055" s="2" t="str">
        <f t="shared" si="46"/>
        <v>Error?</v>
      </c>
    </row>
    <row r="3056" spans="1:4" x14ac:dyDescent="0.2">
      <c r="A3056" s="5">
        <v>2995</v>
      </c>
      <c r="B3056" s="138">
        <f>'Expenditures 15-22'!D10</f>
        <v>11288</v>
      </c>
      <c r="D3056" s="2" t="str">
        <f t="shared" si="46"/>
        <v>Error?</v>
      </c>
    </row>
    <row r="3057" spans="1:4" x14ac:dyDescent="0.2">
      <c r="A3057" s="5">
        <v>2996</v>
      </c>
      <c r="B3057" s="138">
        <f>'Expenditures 15-22'!E10</f>
        <v>31272</v>
      </c>
      <c r="D3057" s="2" t="str">
        <f t="shared" si="46"/>
        <v>Error?</v>
      </c>
    </row>
    <row r="3058" spans="1:4" x14ac:dyDescent="0.2">
      <c r="A3058" s="5">
        <v>2997</v>
      </c>
      <c r="B3058" s="138">
        <f>'Expenditures 15-22'!F10</f>
        <v>65571</v>
      </c>
      <c r="D3058" s="2" t="str">
        <f t="shared" si="46"/>
        <v>Error?</v>
      </c>
    </row>
    <row r="3059" spans="1:4" x14ac:dyDescent="0.2">
      <c r="A3059" s="5">
        <v>2998</v>
      </c>
      <c r="B3059" s="138">
        <f>'Expenditures 15-22'!G10</f>
        <v>7728</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230327</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34478</v>
      </c>
      <c r="C3225" s="2" t="s">
        <v>573</v>
      </c>
      <c r="D3225" s="2" t="str">
        <f t="shared" si="49"/>
        <v>Error?</v>
      </c>
    </row>
    <row r="3226" spans="1:4" x14ac:dyDescent="0.2">
      <c r="A3226" s="5">
        <v>3165</v>
      </c>
      <c r="B3226" s="138">
        <f>'Acct Summary 7-8'!I8</f>
        <v>34478</v>
      </c>
      <c r="C3226" s="2" t="s">
        <v>573</v>
      </c>
      <c r="D3226" s="2" t="str">
        <f t="shared" si="49"/>
        <v>Error?</v>
      </c>
    </row>
    <row r="3227" spans="1:4" x14ac:dyDescent="0.2">
      <c r="A3227" s="5">
        <v>3166</v>
      </c>
      <c r="B3227" s="138">
        <f>'Acct Summary 7-8'!I20</f>
        <v>34478</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-24899</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-148067</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-133223</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50000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50000</v>
      </c>
      <c r="C3261" s="2" t="s">
        <v>573</v>
      </c>
      <c r="D3261" s="2" t="str">
        <f t="shared" si="49"/>
        <v>Error?</v>
      </c>
    </row>
    <row r="3262" spans="1:4" x14ac:dyDescent="0.2">
      <c r="A3262" s="5">
        <v>3201</v>
      </c>
      <c r="B3262" s="138">
        <f>'Acct Summary 7-8'!G78</f>
        <v>-1272</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-10789</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700000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700000</v>
      </c>
      <c r="C3299" s="2" t="s">
        <v>573</v>
      </c>
      <c r="D3299" s="2" t="str">
        <f t="shared" si="50"/>
        <v>Error?</v>
      </c>
    </row>
    <row r="3300" spans="1:4" x14ac:dyDescent="0.2">
      <c r="A3300" s="5">
        <v>3239</v>
      </c>
      <c r="B3300" s="138">
        <f>'Acct Summary 7-8'!H78</f>
        <v>53624</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750000</v>
      </c>
      <c r="C3318" s="2" t="s">
        <v>573</v>
      </c>
      <c r="D3318" s="2" t="str">
        <f t="shared" si="50"/>
        <v>Error?</v>
      </c>
    </row>
    <row r="3319" spans="1:4" x14ac:dyDescent="0.2">
      <c r="A3319" s="5">
        <v>3258</v>
      </c>
      <c r="B3319" s="138">
        <f>'Acct Summary 7-8'!I77</f>
        <v>-750000</v>
      </c>
      <c r="C3319" s="2" t="s">
        <v>573</v>
      </c>
      <c r="D3319" s="2" t="str">
        <f t="shared" si="50"/>
        <v>Error?</v>
      </c>
    </row>
    <row r="3320" spans="1:4" x14ac:dyDescent="0.2">
      <c r="A3320" s="5">
        <v>3259</v>
      </c>
      <c r="B3320" s="138">
        <f>'Acct Summary 7-8'!I78</f>
        <v>-715522</v>
      </c>
      <c r="C3320" s="2" t="s">
        <v>573</v>
      </c>
      <c r="D3320" s="2" t="str">
        <f t="shared" si="50"/>
        <v>Error?</v>
      </c>
    </row>
    <row r="3321" spans="1:4" x14ac:dyDescent="0.2">
      <c r="A3321" s="5">
        <v>3260</v>
      </c>
      <c r="B3321" s="138">
        <f>'Acct Summary 7-8'!I79</f>
        <v>1379535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664013</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240086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12098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83456</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335640</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21161</v>
      </c>
      <c r="D3387" s="2" t="str">
        <f t="shared" si="51"/>
        <v>Error?</v>
      </c>
    </row>
    <row r="3388" spans="1:4" x14ac:dyDescent="0.2">
      <c r="A3388" s="5">
        <v>3327</v>
      </c>
      <c r="B3388" s="138">
        <f>'Expenditures 15-22'!D217</f>
        <v>24367</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21161</v>
      </c>
      <c r="C3390" s="2" t="s">
        <v>573</v>
      </c>
      <c r="D3390" s="2" t="str">
        <f t="shared" si="51"/>
        <v>Error?</v>
      </c>
    </row>
    <row r="3391" spans="1:4" x14ac:dyDescent="0.2">
      <c r="A3391" s="5">
        <v>3330</v>
      </c>
      <c r="B3391" s="138">
        <f>'Expenditures 15-22'!K217</f>
        <v>24367</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783502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35633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80362</v>
      </c>
      <c r="D3417" s="2" t="str">
        <f t="shared" si="52"/>
        <v>Error?</v>
      </c>
    </row>
    <row r="3418" spans="1:4" x14ac:dyDescent="0.2">
      <c r="A3418" s="10">
        <v>3357</v>
      </c>
      <c r="D3418" s="2" t="str">
        <f t="shared" si="52"/>
        <v>OK</v>
      </c>
    </row>
    <row r="3419" spans="1:4" x14ac:dyDescent="0.2">
      <c r="A3419" s="5">
        <v>3358</v>
      </c>
      <c r="B3419" s="138">
        <f>'Assets-Liab 5-6'!F4</f>
        <v>163199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98953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106923</v>
      </c>
      <c r="D3425" s="2" t="str">
        <f t="shared" si="52"/>
        <v>Error?</v>
      </c>
    </row>
    <row r="3426" spans="1:4" x14ac:dyDescent="0.2">
      <c r="A3426" s="10">
        <v>3365</v>
      </c>
      <c r="D3426" s="2" t="str">
        <f t="shared" si="52"/>
        <v>OK</v>
      </c>
    </row>
    <row r="3427" spans="1:4" x14ac:dyDescent="0.2">
      <c r="A3427" s="5">
        <v>3366</v>
      </c>
      <c r="B3427" s="138">
        <f>'Assets-Liab 5-6'!I4</f>
        <v>664013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51052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35851</v>
      </c>
      <c r="C3446" s="2" t="s">
        <v>573</v>
      </c>
      <c r="D3446" s="2" t="str">
        <f t="shared" si="52"/>
        <v>Error?</v>
      </c>
    </row>
    <row r="3447" spans="1:4" x14ac:dyDescent="0.2">
      <c r="A3447" s="5">
        <v>3386</v>
      </c>
      <c r="B3447" s="138">
        <f>'Tax Sched 23'!D16</f>
        <v>35851</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58901</v>
      </c>
      <c r="C3449" s="2" t="s">
        <v>573</v>
      </c>
      <c r="D3449" s="2" t="str">
        <f t="shared" si="52"/>
        <v>Error?</v>
      </c>
    </row>
    <row r="3450" spans="1:4" x14ac:dyDescent="0.2">
      <c r="A3450" s="5">
        <v>3389</v>
      </c>
      <c r="B3450" s="138">
        <f>'Tax Sched 23'!E16</f>
        <v>58901</v>
      </c>
      <c r="D3450" s="2" t="str">
        <f t="shared" si="52"/>
        <v>Error?</v>
      </c>
    </row>
    <row r="3451" spans="1:4" x14ac:dyDescent="0.2">
      <c r="A3451" s="5">
        <v>3390</v>
      </c>
      <c r="B3451" s="138">
        <f>'Cap Outlay Deprec 26'!C15</f>
        <v>56030</v>
      </c>
      <c r="D3451" s="2" t="str">
        <f t="shared" si="52"/>
        <v>Error?</v>
      </c>
    </row>
    <row r="3452" spans="1:4" x14ac:dyDescent="0.2">
      <c r="A3452" s="5">
        <v>3391</v>
      </c>
      <c r="B3452" s="138">
        <f>'Cap Outlay Deprec 26'!D15</f>
        <v>125942</v>
      </c>
      <c r="D3452" s="2" t="str">
        <f t="shared" si="52"/>
        <v>Error?</v>
      </c>
    </row>
    <row r="3453" spans="1:4" x14ac:dyDescent="0.2">
      <c r="A3453" s="5">
        <v>3392</v>
      </c>
      <c r="B3453" s="138">
        <f>'Cap Outlay Deprec 26'!E15</f>
        <v>56030</v>
      </c>
      <c r="D3453" s="2" t="str">
        <f t="shared" si="52"/>
        <v>Error?</v>
      </c>
    </row>
    <row r="3454" spans="1:4" x14ac:dyDescent="0.2">
      <c r="A3454" s="5">
        <v>3393</v>
      </c>
      <c r="B3454" s="138">
        <f>'Cap Outlay Deprec 26'!F15</f>
        <v>125942</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125942</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77336</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77336</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77336</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77336</v>
      </c>
      <c r="C3568" s="2" t="s">
        <v>573</v>
      </c>
      <c r="D3568" s="2" t="str">
        <f t="shared" si="54"/>
        <v>Error?</v>
      </c>
    </row>
    <row r="3569" spans="1:4" x14ac:dyDescent="0.2">
      <c r="A3569" s="5">
        <v>3508</v>
      </c>
      <c r="B3569" s="138">
        <f>'Acct Summary 7-8'!K4</f>
        <v>31214</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31214</v>
      </c>
      <c r="C3571" s="2" t="s">
        <v>573</v>
      </c>
      <c r="D3571" s="2" t="str">
        <f t="shared" si="54"/>
        <v>Error?</v>
      </c>
    </row>
    <row r="3572" spans="1:4" x14ac:dyDescent="0.2">
      <c r="A3572" s="5">
        <v>3511</v>
      </c>
      <c r="B3572" s="138">
        <f>'Acct Summary 7-8'!K13</f>
        <v>121933</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121933</v>
      </c>
      <c r="C3575" s="2" t="s">
        <v>573</v>
      </c>
      <c r="D3575" s="2" t="str">
        <f t="shared" si="54"/>
        <v>Error?</v>
      </c>
    </row>
    <row r="3576" spans="1:4" x14ac:dyDescent="0.2">
      <c r="A3576" s="5">
        <v>3515</v>
      </c>
      <c r="B3576" s="138">
        <f>'Acct Summary 7-8'!K20</f>
        <v>-90719</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-90719</v>
      </c>
      <c r="C3588" s="2" t="s">
        <v>573</v>
      </c>
      <c r="D3588" s="2" t="str">
        <f t="shared" si="55"/>
        <v>Error?</v>
      </c>
    </row>
    <row r="3589" spans="1:4" x14ac:dyDescent="0.2">
      <c r="A3589" s="5">
        <v>3528</v>
      </c>
      <c r="B3589" s="138">
        <f>'Acct Summary 7-8'!K79</f>
        <v>168055</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77336</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2115</v>
      </c>
      <c r="D3632" s="2" t="str">
        <f t="shared" si="55"/>
        <v>Error?</v>
      </c>
    </row>
    <row r="3633" spans="1:4" x14ac:dyDescent="0.2">
      <c r="A3633" s="5">
        <v>3572</v>
      </c>
      <c r="B3633" s="138">
        <f>'Expenditures 15-22'!E350</f>
        <v>2115</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2115</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9474</v>
      </c>
      <c r="D3639" s="2" t="str">
        <f t="shared" si="55"/>
        <v>Error?</v>
      </c>
    </row>
    <row r="3640" spans="1:4" x14ac:dyDescent="0.2">
      <c r="A3640" s="5">
        <v>3579</v>
      </c>
      <c r="B3640" s="138">
        <f>'Expenditures 15-22'!F350</f>
        <v>9474</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9474</v>
      </c>
      <c r="C3642" s="2" t="s">
        <v>573</v>
      </c>
      <c r="D3642" s="2" t="str">
        <f t="shared" si="55"/>
        <v>Error?</v>
      </c>
    </row>
    <row r="3643" spans="1:4" x14ac:dyDescent="0.2">
      <c r="A3643" s="5">
        <v>3582</v>
      </c>
      <c r="B3643" s="138">
        <f>'Expenditures 15-22'!F367</f>
        <v>9474</v>
      </c>
      <c r="C3643" s="2" t="s">
        <v>573</v>
      </c>
      <c r="D3643" s="2" t="str">
        <f t="shared" si="55"/>
        <v>Error?</v>
      </c>
    </row>
    <row r="3644" spans="1:4" x14ac:dyDescent="0.2">
      <c r="A3644" s="10">
        <v>3583</v>
      </c>
      <c r="D3644" s="2" t="str">
        <f t="shared" si="55"/>
        <v>OK</v>
      </c>
    </row>
    <row r="3645" spans="1:4" x14ac:dyDescent="0.2">
      <c r="A3645" s="5">
        <v>3584</v>
      </c>
      <c r="B3645" s="138">
        <f>'Expenditures 15-22'!G348</f>
        <v>110344</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110344</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110344</v>
      </c>
      <c r="C3649" s="2" t="s">
        <v>573</v>
      </c>
      <c r="D3649" s="2" t="str">
        <f t="shared" si="56"/>
        <v>Error?</v>
      </c>
    </row>
    <row r="3650" spans="1:4" x14ac:dyDescent="0.2">
      <c r="A3650" s="5">
        <v>3589</v>
      </c>
      <c r="B3650" s="138">
        <f>'Expenditures 15-22'!G367</f>
        <v>110344</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110344</v>
      </c>
      <c r="C3668" s="2" t="s">
        <v>573</v>
      </c>
      <c r="D3668" s="2" t="str">
        <f t="shared" si="56"/>
        <v>Error?</v>
      </c>
    </row>
    <row r="3669" spans="1:4" x14ac:dyDescent="0.2">
      <c r="A3669" s="5">
        <v>3608</v>
      </c>
      <c r="B3669" s="138">
        <f>'Expenditures 15-22'!K349</f>
        <v>11589</v>
      </c>
      <c r="C3669" s="2" t="s">
        <v>573</v>
      </c>
      <c r="D3669" s="2" t="str">
        <f t="shared" si="56"/>
        <v>Error?</v>
      </c>
    </row>
    <row r="3670" spans="1:4" x14ac:dyDescent="0.2">
      <c r="A3670" s="5">
        <v>3609</v>
      </c>
      <c r="B3670" s="138">
        <f>'Expenditures 15-22'!K350</f>
        <v>121933</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121933</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121933</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-90719</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79750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4225665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7469953</v>
      </c>
      <c r="C4122" s="2" t="s">
        <v>573</v>
      </c>
      <c r="D4122" s="2" t="str">
        <f t="shared" si="63"/>
        <v>Error?</v>
      </c>
    </row>
    <row r="4123" spans="1:4" x14ac:dyDescent="0.2">
      <c r="A4123" s="5">
        <v>4062</v>
      </c>
      <c r="B4123" s="138">
        <f>'Acct Summary 7-8'!D10</f>
        <v>339039</v>
      </c>
      <c r="C4123" s="2" t="s">
        <v>573</v>
      </c>
      <c r="D4123" s="2" t="str">
        <f t="shared" si="63"/>
        <v>Error?</v>
      </c>
    </row>
    <row r="4124" spans="1:4" x14ac:dyDescent="0.2">
      <c r="A4124" s="5">
        <v>4063</v>
      </c>
      <c r="B4124" s="138">
        <f>'Acct Summary 7-8'!E10</f>
        <v>537983</v>
      </c>
      <c r="C4124" s="2" t="s">
        <v>573</v>
      </c>
      <c r="D4124" s="2" t="str">
        <f t="shared" si="63"/>
        <v>Error?</v>
      </c>
    </row>
    <row r="4125" spans="1:4" x14ac:dyDescent="0.2">
      <c r="A4125" s="5">
        <v>4064</v>
      </c>
      <c r="B4125" s="138">
        <f>'Acct Summary 7-8'!F10</f>
        <v>396538</v>
      </c>
      <c r="C4125" s="2" t="s">
        <v>573</v>
      </c>
      <c r="D4125" s="2" t="str">
        <f t="shared" si="63"/>
        <v>Error?</v>
      </c>
    </row>
    <row r="4126" spans="1:4" x14ac:dyDescent="0.2">
      <c r="A4126" s="5">
        <v>4065</v>
      </c>
      <c r="B4126" s="138">
        <f>'Acct Summary 7-8'!G10</f>
        <v>72804</v>
      </c>
      <c r="C4126" s="2" t="s">
        <v>573</v>
      </c>
      <c r="D4126" s="2" t="str">
        <f t="shared" si="63"/>
        <v>Error?</v>
      </c>
    </row>
    <row r="4127" spans="1:4" x14ac:dyDescent="0.2">
      <c r="A4127" s="5">
        <v>4066</v>
      </c>
      <c r="B4127" s="138">
        <f>'Acct Summary 7-8'!H10</f>
        <v>77112</v>
      </c>
      <c r="C4127" s="2" t="s">
        <v>573</v>
      </c>
      <c r="D4127" s="2" t="str">
        <f t="shared" si="63"/>
        <v>Error?</v>
      </c>
    </row>
    <row r="4128" spans="1:4" x14ac:dyDescent="0.2">
      <c r="A4128" s="5">
        <v>4067</v>
      </c>
      <c r="B4128" s="138">
        <f>'Acct Summary 7-8'!I10</f>
        <v>34478</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31214</v>
      </c>
      <c r="C4130" s="2" t="s">
        <v>573</v>
      </c>
      <c r="D4130" s="2" t="str">
        <f t="shared" si="63"/>
        <v>Error?</v>
      </c>
    </row>
    <row r="4131" spans="1:4" x14ac:dyDescent="0.2">
      <c r="A4131" s="5">
        <v>4070</v>
      </c>
      <c r="B4131" s="138">
        <f>'Acct Summary 7-8'!C18</f>
        <v>4225665</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7494852</v>
      </c>
      <c r="C4136" s="2" t="s">
        <v>573</v>
      </c>
      <c r="D4136" s="2" t="str">
        <f t="shared" si="63"/>
        <v>Error?</v>
      </c>
    </row>
    <row r="4137" spans="1:4" x14ac:dyDescent="0.2">
      <c r="A4137" s="5">
        <v>4076</v>
      </c>
      <c r="B4137" s="138">
        <f>'Acct Summary 7-8'!D19</f>
        <v>487106</v>
      </c>
      <c r="C4137" s="2" t="s">
        <v>573</v>
      </c>
      <c r="D4137" s="2" t="str">
        <f t="shared" si="63"/>
        <v>Error?</v>
      </c>
    </row>
    <row r="4138" spans="1:4" x14ac:dyDescent="0.2">
      <c r="A4138" s="5">
        <v>4077</v>
      </c>
      <c r="B4138" s="138">
        <f>'Acct Summary 7-8'!E19</f>
        <v>548772</v>
      </c>
      <c r="C4138" s="2" t="s">
        <v>573</v>
      </c>
      <c r="D4138" s="2" t="str">
        <f t="shared" si="63"/>
        <v>Error?</v>
      </c>
    </row>
    <row r="4139" spans="1:4" x14ac:dyDescent="0.2">
      <c r="A4139" s="5">
        <v>4078</v>
      </c>
      <c r="B4139" s="138">
        <f>'Acct Summary 7-8'!F19</f>
        <v>529761</v>
      </c>
      <c r="C4139" s="2" t="s">
        <v>573</v>
      </c>
      <c r="D4139" s="2" t="str">
        <f t="shared" si="63"/>
        <v>Error?</v>
      </c>
    </row>
    <row r="4140" spans="1:4" x14ac:dyDescent="0.2">
      <c r="A4140" s="5">
        <v>4079</v>
      </c>
      <c r="B4140" s="138">
        <f>'Acct Summary 7-8'!G19</f>
        <v>124076</v>
      </c>
      <c r="C4140" s="2" t="s">
        <v>573</v>
      </c>
      <c r="D4140" s="2" t="str">
        <f t="shared" si="63"/>
        <v>Error?</v>
      </c>
    </row>
    <row r="4141" spans="1:4" x14ac:dyDescent="0.2">
      <c r="A4141" s="5">
        <v>4080</v>
      </c>
      <c r="B4141" s="138">
        <f>'Acct Summary 7-8'!H19</f>
        <v>723488</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121933</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859600</v>
      </c>
      <c r="C4171" s="2" t="s">
        <v>573</v>
      </c>
      <c r="D4171" s="2" t="str">
        <f t="shared" si="64"/>
        <v>Error?</v>
      </c>
    </row>
    <row r="4172" spans="1:4" x14ac:dyDescent="0.2">
      <c r="A4172" s="5">
        <v>4111</v>
      </c>
      <c r="B4172" s="138">
        <f>'Short-Term Long-Term Debt 24'!J49</f>
        <v>779238</v>
      </c>
      <c r="C4172" s="2" t="s">
        <v>573</v>
      </c>
      <c r="D4172" s="2" t="str">
        <f t="shared" si="64"/>
        <v>Error?</v>
      </c>
    </row>
    <row r="4173" spans="1:4" x14ac:dyDescent="0.2">
      <c r="A4173" s="5">
        <v>4112</v>
      </c>
      <c r="B4173" s="138">
        <f>'Short-Term Long-Term Debt 24'!H49</f>
        <v>499300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2090</v>
      </c>
      <c r="C4265" s="2" t="s">
        <v>573</v>
      </c>
      <c r="D4265" s="2" t="str">
        <f t="shared" si="65"/>
        <v>Error?</v>
      </c>
      <c r="E4265" s="128"/>
    </row>
    <row r="4266" spans="1:5" x14ac:dyDescent="0.2">
      <c r="A4266" s="12">
        <v>4205</v>
      </c>
      <c r="B4266" s="138">
        <f>('FP Info 3'!F10)*100000</f>
        <v>500</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2790</v>
      </c>
      <c r="C4268" s="2" t="s">
        <v>573</v>
      </c>
      <c r="D4268" s="2" t="str">
        <f t="shared" si="65"/>
        <v>Error?</v>
      </c>
    </row>
    <row r="4269" spans="1:5" x14ac:dyDescent="0.2">
      <c r="A4269" s="12">
        <v>4208</v>
      </c>
      <c r="B4269" s="138">
        <f>'FP Info 3'!J16</f>
        <v>1646347</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9231</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43190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11729</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22467</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18738</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56693</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20882</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60726518</v>
      </c>
      <c r="D4995" s="2" t="str">
        <f t="shared" si="77"/>
        <v>Error?</v>
      </c>
    </row>
    <row r="4996" spans="1:4" x14ac:dyDescent="0.2">
      <c r="A4996" s="12">
        <v>4935</v>
      </c>
      <c r="B4996" s="138">
        <f>'FP Info 3'!H31</f>
        <v>8380259.4840000011</v>
      </c>
      <c r="D4996" s="2" t="str">
        <f t="shared" si="77"/>
        <v>Error?</v>
      </c>
    </row>
    <row r="4997" spans="1:4" x14ac:dyDescent="0.2">
      <c r="A4997" s="12">
        <v>4936</v>
      </c>
      <c r="B4997" s="138">
        <f>'FP Info 3'!H37</f>
        <v>859600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1285541</v>
      </c>
      <c r="D5061" s="2" t="str">
        <f t="shared" si="78"/>
        <v>Error?</v>
      </c>
    </row>
    <row r="5062" spans="1:4" x14ac:dyDescent="0.2">
      <c r="A5062" s="10">
        <v>5001</v>
      </c>
      <c r="D5062" s="2" t="str">
        <f t="shared" si="78"/>
        <v>OK</v>
      </c>
    </row>
    <row r="5063" spans="1:4" x14ac:dyDescent="0.2">
      <c r="A5063" s="5">
        <v>5002</v>
      </c>
      <c r="B5063" s="138">
        <f>'Revenues 9-14'!C7</f>
        <v>24693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1310234</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406274</v>
      </c>
      <c r="D5069" s="2" t="str">
        <f t="shared" si="78"/>
        <v>Error?</v>
      </c>
    </row>
    <row r="5070" spans="1:4" x14ac:dyDescent="0.2">
      <c r="A5070" s="5">
        <v>5009</v>
      </c>
      <c r="B5070" s="138">
        <f>'Revenues 9-14'!C17</f>
        <v>1878</v>
      </c>
      <c r="D5070" s="2" t="str">
        <f t="shared" si="78"/>
        <v>Error?</v>
      </c>
    </row>
    <row r="5071" spans="1:4" x14ac:dyDescent="0.2">
      <c r="A5071" s="5">
        <v>5010</v>
      </c>
      <c r="B5071" s="138">
        <f>'Revenues 9-14'!C18</f>
        <v>408152</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20375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20375</v>
      </c>
      <c r="C5090" s="2" t="s">
        <v>573</v>
      </c>
      <c r="D5090" s="2" t="str">
        <f t="shared" si="78"/>
        <v>Error?</v>
      </c>
    </row>
    <row r="5091" spans="1:4" x14ac:dyDescent="0.2">
      <c r="A5091" s="5">
        <v>5030</v>
      </c>
      <c r="B5091" s="138">
        <f>'Revenues 9-14'!C70</f>
        <v>1256</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2159</v>
      </c>
      <c r="D5094" s="2" t="str">
        <f t="shared" si="78"/>
        <v>Error?</v>
      </c>
    </row>
    <row r="5095" spans="1:4" x14ac:dyDescent="0.2">
      <c r="A5095" s="5">
        <v>5034</v>
      </c>
      <c r="B5095" s="138">
        <f>'Revenues 9-14'!C74</f>
        <v>0</v>
      </c>
      <c r="D5095" s="2" t="str">
        <f t="shared" si="78"/>
        <v>Error?</v>
      </c>
    </row>
    <row r="5096" spans="1:4" x14ac:dyDescent="0.2">
      <c r="A5096" s="5">
        <v>5035</v>
      </c>
      <c r="B5096" s="138">
        <f>'Revenues 9-14'!C75</f>
        <v>4241</v>
      </c>
      <c r="C5096" s="2" t="s">
        <v>573</v>
      </c>
      <c r="D5096" s="2" t="str">
        <f t="shared" si="78"/>
        <v>Error?</v>
      </c>
    </row>
    <row r="5097" spans="1:4" x14ac:dyDescent="0.2">
      <c r="A5097" s="5">
        <v>5036</v>
      </c>
      <c r="B5097" s="138">
        <f>'Revenues 9-14'!C77</f>
        <v>5757</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5757</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1625</v>
      </c>
      <c r="D5119" s="2" t="str">
        <f t="shared" ref="D5119:D5182" si="79">IF(ISBLANK(B5119),"OK",IF(A5119-B5119=0,"OK","Error?"))</f>
        <v>Error?</v>
      </c>
    </row>
    <row r="5120" spans="1:4" x14ac:dyDescent="0.2">
      <c r="A5120" s="5">
        <v>5059</v>
      </c>
      <c r="B5120" s="138">
        <f>'Revenues 9-14'!C108</f>
        <v>20363</v>
      </c>
      <c r="C5120" s="2" t="s">
        <v>573</v>
      </c>
      <c r="D5120" s="2" t="str">
        <f t="shared" si="79"/>
        <v>Error?</v>
      </c>
    </row>
    <row r="5121" spans="1:4" x14ac:dyDescent="0.2">
      <c r="A5121" s="5">
        <v>5060</v>
      </c>
      <c r="B5121" s="138">
        <f>'Revenues 9-14'!C109</f>
        <v>1769122</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872523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872523</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5774</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4149</v>
      </c>
      <c r="D5167" s="2" t="str">
        <f t="shared" si="79"/>
        <v>Error?</v>
      </c>
    </row>
    <row r="5168" spans="1:4" x14ac:dyDescent="0.2">
      <c r="A5168" s="5">
        <v>5107</v>
      </c>
      <c r="B5168" s="138">
        <f>'Revenues 9-14'!C148</f>
        <v>3889</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70505</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943028</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139316</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60260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199576</v>
      </c>
      <c r="C5246" s="2" t="s">
        <v>573</v>
      </c>
      <c r="D5246" s="2" t="str">
        <f t="shared" si="80"/>
        <v>Error?</v>
      </c>
    </row>
    <row r="5247" spans="1:4" x14ac:dyDescent="0.2">
      <c r="A5247" s="5">
        <v>5186</v>
      </c>
      <c r="B5247" s="138">
        <f>'Revenues 9-14'!C200</f>
        <v>225063</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11729</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225063</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532138</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532138</v>
      </c>
      <c r="C5326" s="2" t="s">
        <v>573</v>
      </c>
      <c r="D5326" s="2" t="str">
        <f t="shared" si="82"/>
        <v>Error?</v>
      </c>
    </row>
    <row r="5327" spans="1:5" x14ac:dyDescent="0.2">
      <c r="A5327" s="5">
        <v>5266</v>
      </c>
      <c r="B5327" s="138">
        <f>'Revenues 9-14'!C268</f>
        <v>3244288</v>
      </c>
      <c r="C5327" s="2" t="s">
        <v>573</v>
      </c>
      <c r="D5327" s="2" t="str">
        <f t="shared" si="82"/>
        <v>Error?</v>
      </c>
    </row>
    <row r="5328" spans="1:5" x14ac:dyDescent="0.2">
      <c r="A5328" s="5">
        <v>5267</v>
      </c>
      <c r="B5328" s="138">
        <f>'Revenues 9-14'!D5</f>
        <v>308652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308652</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30000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30000</v>
      </c>
      <c r="C5339" s="2" t="s">
        <v>573</v>
      </c>
      <c r="D5339" s="2" t="str">
        <f t="shared" si="82"/>
        <v>Error?</v>
      </c>
    </row>
    <row r="5340" spans="1:4" x14ac:dyDescent="0.2">
      <c r="A5340" s="5">
        <v>5279</v>
      </c>
      <c r="B5340" s="138">
        <f>'Revenues 9-14'!D65</f>
        <v>387</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387</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339039</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339039</v>
      </c>
      <c r="C5508" s="2" t="s">
        <v>573</v>
      </c>
      <c r="D5508" s="2" t="str">
        <f t="shared" si="85"/>
        <v>Error?</v>
      </c>
    </row>
    <row r="5509" spans="1:4" x14ac:dyDescent="0.2">
      <c r="A5509" s="5">
        <v>5448</v>
      </c>
      <c r="B5509" s="138">
        <f>'Revenues 9-14'!E5</f>
        <v>537944</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537944</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39</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39</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537983</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537983</v>
      </c>
      <c r="C5552" s="2" t="s">
        <v>573</v>
      </c>
      <c r="D5552" s="2" t="str">
        <f t="shared" si="85"/>
        <v>Error?</v>
      </c>
    </row>
    <row r="5553" spans="1:4" x14ac:dyDescent="0.2">
      <c r="A5553" s="5">
        <v>5492</v>
      </c>
      <c r="B5553" s="138">
        <f>'Revenues 9-14'!F5</f>
        <v>123461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123461</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2443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2443</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125904</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155421</v>
      </c>
      <c r="D5615" s="2" t="str">
        <f t="shared" si="86"/>
        <v>Error?</v>
      </c>
    </row>
    <row r="5616" spans="1:4" x14ac:dyDescent="0.2">
      <c r="A5616" s="10">
        <v>5555</v>
      </c>
      <c r="D5616" s="2" t="str">
        <f t="shared" si="86"/>
        <v>OK</v>
      </c>
    </row>
    <row r="5617" spans="1:5" x14ac:dyDescent="0.2">
      <c r="A5617" s="5">
        <v>5556</v>
      </c>
      <c r="B5617" s="138">
        <f>'Revenues 9-14'!F153</f>
        <v>115213</v>
      </c>
      <c r="D5617" s="2" t="str">
        <f t="shared" si="86"/>
        <v>Error?</v>
      </c>
    </row>
    <row r="5618" spans="1:5" x14ac:dyDescent="0.2">
      <c r="A5618" s="5">
        <v>5557</v>
      </c>
      <c r="B5618" s="138">
        <f>'Revenues 9-14'!F155</f>
        <v>270634</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270634</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270634</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396538</v>
      </c>
      <c r="C5720" s="2" t="s">
        <v>573</v>
      </c>
      <c r="D5720" s="2" t="str">
        <f t="shared" si="88"/>
        <v>Error?</v>
      </c>
    </row>
    <row r="5721" spans="1:4" x14ac:dyDescent="0.2">
      <c r="A5721" s="5">
        <v>5660</v>
      </c>
      <c r="B5721" s="138">
        <f>'Revenues 9-14'!G5</f>
        <v>32741</v>
      </c>
      <c r="D5721" s="2" t="str">
        <f t="shared" si="88"/>
        <v>Error?</v>
      </c>
    </row>
    <row r="5722" spans="1:4" x14ac:dyDescent="0.2">
      <c r="A5722" s="5">
        <v>5661</v>
      </c>
      <c r="B5722" s="138">
        <f>'Revenues 9-14'!G7</f>
        <v>0</v>
      </c>
      <c r="D5722" s="2" t="str">
        <f t="shared" si="88"/>
        <v>Error?</v>
      </c>
    </row>
    <row r="5723" spans="1:4" x14ac:dyDescent="0.2">
      <c r="A5723" s="5">
        <v>5662</v>
      </c>
      <c r="B5723" s="138">
        <f>'Revenues 9-14'!G8</f>
        <v>35851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68592</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2750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2750</v>
      </c>
      <c r="C5730" s="2" t="s">
        <v>573</v>
      </c>
      <c r="D5730" s="2" t="str">
        <f t="shared" si="88"/>
        <v>Error?</v>
      </c>
    </row>
    <row r="5731" spans="1:4" x14ac:dyDescent="0.2">
      <c r="A5731" s="5">
        <v>5670</v>
      </c>
      <c r="B5731" s="138">
        <f>'Revenues 9-14'!G65</f>
        <v>1462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1462</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72804</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77112</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77112</v>
      </c>
      <c r="C5915" s="2" t="s">
        <v>573</v>
      </c>
      <c r="D5915" s="2" t="str">
        <f t="shared" si="91"/>
        <v>Error?</v>
      </c>
    </row>
    <row r="5916" spans="1:4" x14ac:dyDescent="0.2">
      <c r="A5916" s="5">
        <v>5855</v>
      </c>
      <c r="B5916" s="138">
        <f>'Revenues 9-14'!I5</f>
        <v>30865</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30865</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3613</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3613</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34478</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30865</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30865</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349</v>
      </c>
      <c r="D5993" s="2" t="str">
        <f t="shared" si="92"/>
        <v>Error?</v>
      </c>
    </row>
    <row r="5994" spans="1:4" x14ac:dyDescent="0.2">
      <c r="A5994" s="5">
        <v>5933</v>
      </c>
      <c r="B5994" s="138">
        <f>'Revenues 9-14'!K66</f>
        <v>0</v>
      </c>
      <c r="D5994" s="2" t="str">
        <f t="shared" si="92"/>
        <v>Error?</v>
      </c>
    </row>
    <row r="5995" spans="1:4" x14ac:dyDescent="0.2">
      <c r="A5995" s="5">
        <v>5934</v>
      </c>
      <c r="B5995" s="138">
        <f>'Revenues 9-14'!K67</f>
        <v>349</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31214</v>
      </c>
      <c r="C6023" s="2" t="s">
        <v>573</v>
      </c>
      <c r="D6023" s="2" t="str">
        <f t="shared" si="93"/>
        <v>Error?</v>
      </c>
    </row>
    <row r="6024" spans="1:5" x14ac:dyDescent="0.2">
      <c r="A6024" s="5">
        <v>5963</v>
      </c>
      <c r="B6024" s="138">
        <f>'Revenues 9-14'!G109</f>
        <v>72804</v>
      </c>
      <c r="C6024" s="2" t="s">
        <v>573</v>
      </c>
      <c r="D6024" s="2" t="str">
        <f t="shared" si="93"/>
        <v>Error?</v>
      </c>
    </row>
    <row r="6025" spans="1:5" x14ac:dyDescent="0.2">
      <c r="A6025" s="5">
        <v>5964</v>
      </c>
      <c r="B6025" s="138">
        <f>'Revenues 9-14'!H109</f>
        <v>77112</v>
      </c>
      <c r="C6025" s="2" t="s">
        <v>573</v>
      </c>
      <c r="D6025" s="2" t="str">
        <f t="shared" si="93"/>
        <v>Error?</v>
      </c>
    </row>
    <row r="6026" spans="1:5" x14ac:dyDescent="0.2">
      <c r="A6026" s="5">
        <v>5965</v>
      </c>
      <c r="B6026" s="138">
        <f>'Revenues 9-14'!I109</f>
        <v>34478</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31214</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826</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13211</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309.86</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542</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542</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542</v>
      </c>
      <c r="D6216" s="2" t="str">
        <f t="shared" si="96"/>
        <v>Error?</v>
      </c>
      <c r="E6216" s="2" t="s">
        <v>190</v>
      </c>
    </row>
    <row r="6217" spans="1:5" x14ac:dyDescent="0.2">
      <c r="A6217">
        <v>6156</v>
      </c>
      <c r="B6217" s="138">
        <f>'Assets-Liab 5-6'!J4</f>
        <v>542</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284484</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284484</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284484</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283942</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283942</v>
      </c>
      <c r="D6229" s="2" t="str">
        <f t="shared" si="96"/>
        <v>Error?</v>
      </c>
      <c r="E6229" s="2" t="s">
        <v>190</v>
      </c>
    </row>
    <row r="6230" spans="1:5" x14ac:dyDescent="0.2">
      <c r="A6230">
        <v>6169</v>
      </c>
      <c r="B6230" s="138">
        <f>'Acct Summary 7-8'!J20</f>
        <v>542</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542</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542</v>
      </c>
      <c r="D6266" s="2" t="str">
        <f t="shared" si="96"/>
        <v>Error?</v>
      </c>
      <c r="E6266" s="2" t="s">
        <v>190</v>
      </c>
    </row>
    <row r="6267" spans="1:5" x14ac:dyDescent="0.2">
      <c r="A6267">
        <v>6206</v>
      </c>
      <c r="B6267" s="138">
        <f>'Acct Summary 7-8'!C82</f>
        <v>-24899</v>
      </c>
      <c r="D6267" s="2" t="str">
        <f t="shared" si="96"/>
        <v>Error?</v>
      </c>
      <c r="E6267" s="2" t="s">
        <v>190</v>
      </c>
    </row>
    <row r="6268" spans="1:5" x14ac:dyDescent="0.2">
      <c r="A6268">
        <v>6207</v>
      </c>
      <c r="B6268" s="138">
        <f>'Acct Summary 7-8'!D82</f>
        <v>-148067</v>
      </c>
      <c r="D6268" s="2" t="str">
        <f t="shared" si="96"/>
        <v>Error?</v>
      </c>
      <c r="E6268" s="2" t="s">
        <v>190</v>
      </c>
    </row>
    <row r="6269" spans="1:5" x14ac:dyDescent="0.2">
      <c r="A6269">
        <v>6208</v>
      </c>
      <c r="B6269" s="138">
        <f>'Acct Summary 7-8'!E82</f>
        <v>-10789</v>
      </c>
      <c r="D6269" s="2" t="str">
        <f t="shared" si="96"/>
        <v>Error?</v>
      </c>
      <c r="E6269" s="2" t="s">
        <v>190</v>
      </c>
    </row>
    <row r="6270" spans="1:5" x14ac:dyDescent="0.2">
      <c r="A6270">
        <v>6209</v>
      </c>
      <c r="B6270" s="138">
        <f>'Acct Summary 7-8'!F82</f>
        <v>-133223</v>
      </c>
      <c r="D6270" s="2" t="str">
        <f t="shared" si="96"/>
        <v>Error?</v>
      </c>
      <c r="E6270" s="2" t="s">
        <v>190</v>
      </c>
    </row>
    <row r="6271" spans="1:5" x14ac:dyDescent="0.2">
      <c r="A6271">
        <v>6210</v>
      </c>
      <c r="B6271" s="138">
        <f>'Acct Summary 7-8'!G82</f>
        <v>-1272</v>
      </c>
      <c r="D6271" s="2" t="str">
        <f t="shared" ref="D6271:D6334" si="97">IF(ISBLANK(B6271),"OK",IF(A6271-B6271=0,"OK","Error?"))</f>
        <v>Error?</v>
      </c>
      <c r="E6271" s="2" t="s">
        <v>190</v>
      </c>
    </row>
    <row r="6272" spans="1:5" x14ac:dyDescent="0.2">
      <c r="A6272">
        <v>6211</v>
      </c>
      <c r="B6272" s="138">
        <f>'Acct Summary 7-8'!H82</f>
        <v>53624</v>
      </c>
      <c r="D6272" s="2" t="str">
        <f t="shared" si="97"/>
        <v>Error?</v>
      </c>
      <c r="E6272" s="2" t="s">
        <v>190</v>
      </c>
    </row>
    <row r="6273" spans="1:5" x14ac:dyDescent="0.2">
      <c r="A6273">
        <v>6212</v>
      </c>
      <c r="B6273" s="138">
        <f>'Acct Summary 7-8'!I82</f>
        <v>-715522</v>
      </c>
      <c r="D6273" s="2" t="str">
        <f t="shared" si="97"/>
        <v>Error?</v>
      </c>
      <c r="E6273" s="2" t="s">
        <v>190</v>
      </c>
    </row>
    <row r="6274" spans="1:5" x14ac:dyDescent="0.2">
      <c r="A6274">
        <v>6213</v>
      </c>
      <c r="B6274" s="138">
        <f>'Acct Summary 7-8'!J82</f>
        <v>542</v>
      </c>
      <c r="D6274" s="2" t="str">
        <f t="shared" si="97"/>
        <v>Error?</v>
      </c>
      <c r="E6274" s="2" t="s">
        <v>190</v>
      </c>
    </row>
    <row r="6275" spans="1:5" x14ac:dyDescent="0.2">
      <c r="A6275">
        <v>6214</v>
      </c>
      <c r="B6275" s="138">
        <f>'Acct Summary 7-8'!K82</f>
        <v>-90719</v>
      </c>
      <c r="D6275" s="2" t="str">
        <f t="shared" si="97"/>
        <v>Error?</v>
      </c>
      <c r="E6275" s="2" t="s">
        <v>190</v>
      </c>
    </row>
    <row r="6276" spans="1:5" x14ac:dyDescent="0.2">
      <c r="A6276">
        <v>6215</v>
      </c>
      <c r="B6276" s="138">
        <f>'Acct Summary 7-8'!C83</f>
        <v>-3.1779114794856934E-2</v>
      </c>
      <c r="D6276" s="2" t="str">
        <f t="shared" si="97"/>
        <v>Error?</v>
      </c>
      <c r="E6276" s="2" t="s">
        <v>190</v>
      </c>
    </row>
    <row r="6277" spans="1:5" x14ac:dyDescent="0.2">
      <c r="A6277">
        <v>6216</v>
      </c>
      <c r="B6277" s="138">
        <f>'Acct Summary 7-8'!D83</f>
        <v>-4.1553335391350714</v>
      </c>
      <c r="D6277" s="2" t="str">
        <f t="shared" si="97"/>
        <v>Error?</v>
      </c>
      <c r="E6277" s="2" t="s">
        <v>190</v>
      </c>
    </row>
    <row r="6278" spans="1:5" x14ac:dyDescent="0.2">
      <c r="A6278">
        <v>6217</v>
      </c>
      <c r="B6278" s="138">
        <f>'Acct Summary 7-8'!E83</f>
        <v>-0.1342549961424554</v>
      </c>
      <c r="D6278" s="2" t="str">
        <f t="shared" si="97"/>
        <v>Error?</v>
      </c>
      <c r="E6278" s="2" t="s">
        <v>190</v>
      </c>
    </row>
    <row r="6279" spans="1:5" x14ac:dyDescent="0.2">
      <c r="A6279">
        <v>6218</v>
      </c>
      <c r="B6279" s="138">
        <f>'Acct Summary 7-8'!F83</f>
        <v>-0.81632240393629862</v>
      </c>
      <c r="D6279" s="2" t="str">
        <f t="shared" si="97"/>
        <v>Error?</v>
      </c>
      <c r="E6279" s="2" t="s">
        <v>190</v>
      </c>
    </row>
    <row r="6280" spans="1:5" x14ac:dyDescent="0.2">
      <c r="A6280">
        <v>6219</v>
      </c>
      <c r="B6280" s="138">
        <f>'Acct Summary 7-8'!G83</f>
        <v>-1.2854587531454327E-2</v>
      </c>
      <c r="D6280" s="2" t="str">
        <f t="shared" si="97"/>
        <v>Error?</v>
      </c>
      <c r="E6280" s="2" t="s">
        <v>190</v>
      </c>
    </row>
    <row r="6281" spans="1:5" x14ac:dyDescent="0.2">
      <c r="A6281">
        <v>6220</v>
      </c>
      <c r="B6281" s="138">
        <f>'Acct Summary 7-8'!H83</f>
        <v>0.50151978526603258</v>
      </c>
      <c r="D6281" s="2" t="str">
        <f t="shared" si="97"/>
        <v>Error?</v>
      </c>
      <c r="E6281" s="2" t="s">
        <v>190</v>
      </c>
    </row>
    <row r="6282" spans="1:5" x14ac:dyDescent="0.2">
      <c r="A6282">
        <v>6221</v>
      </c>
      <c r="B6282" s="138">
        <f>'Acct Summary 7-8'!I83</f>
        <v>-1.0775722764463949</v>
      </c>
      <c r="D6282" s="2" t="str">
        <f t="shared" si="97"/>
        <v>Error?</v>
      </c>
      <c r="E6282" s="2" t="s">
        <v>190</v>
      </c>
    </row>
    <row r="6283" spans="1:5" x14ac:dyDescent="0.2">
      <c r="A6283">
        <v>6222</v>
      </c>
      <c r="B6283" s="138">
        <f>'Acct Summary 7-8'!J83</f>
        <v>1</v>
      </c>
      <c r="D6283" s="2" t="str">
        <f t="shared" si="97"/>
        <v>Error?</v>
      </c>
      <c r="E6283" s="2" t="s">
        <v>190</v>
      </c>
    </row>
    <row r="6284" spans="1:5" x14ac:dyDescent="0.2">
      <c r="A6284">
        <v>6223</v>
      </c>
      <c r="B6284" s="138">
        <f>'Acct Summary 7-8'!K83</f>
        <v>-1.1730500672390607</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281562</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281562</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672</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672</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2250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2250</v>
      </c>
      <c r="D6351" s="2" t="str">
        <f t="shared" si="98"/>
        <v>Error?</v>
      </c>
      <c r="E6351" s="2" t="s">
        <v>190</v>
      </c>
    </row>
    <row r="6352" spans="1:5" x14ac:dyDescent="0.2">
      <c r="A6352">
        <v>6291</v>
      </c>
      <c r="B6352" s="138">
        <f>'Revenues 9-14'!J109</f>
        <v>284484</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5774</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37062</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283942</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284484</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14462</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14462</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100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100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43772</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43772</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108580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108580</v>
      </c>
      <c r="D7171" s="2" t="str">
        <f t="shared" si="111"/>
        <v>Error?</v>
      </c>
    </row>
    <row r="7172" spans="1:4" x14ac:dyDescent="0.2">
      <c r="A7172">
        <v>7111</v>
      </c>
      <c r="B7172" s="138">
        <f>'Expenditures 15-22'!C325</f>
        <v>17400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17400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99628</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99628</v>
      </c>
      <c r="D7198" s="2" t="str">
        <f t="shared" si="111"/>
        <v>Error?</v>
      </c>
    </row>
    <row r="7199" spans="1:4" x14ac:dyDescent="0.2">
      <c r="A7199">
        <v>7138</v>
      </c>
      <c r="B7199" s="138">
        <f>'Expenditures 15-22'!C330</f>
        <v>17400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157962</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108580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283942</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17400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157962</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108580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283942</v>
      </c>
      <c r="D7224" s="2" t="str">
        <f t="shared" si="111"/>
        <v>Error?</v>
      </c>
    </row>
    <row r="7225" spans="1:4" x14ac:dyDescent="0.2">
      <c r="A7225">
        <v>7164</v>
      </c>
      <c r="B7225" s="138">
        <f>'Expenditures 15-22'!K343</f>
        <v>542</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36123</v>
      </c>
      <c r="D7265" s="2" t="str">
        <f t="shared" si="112"/>
        <v>Error?</v>
      </c>
    </row>
    <row r="7266" spans="1:5" x14ac:dyDescent="0.2">
      <c r="A7266">
        <f t="shared" si="113"/>
        <v>7205</v>
      </c>
      <c r="B7266" s="138">
        <f>'Expenditures 15-22'!F17</f>
        <v>939</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402900</v>
      </c>
      <c r="D7615" s="2" t="str">
        <f t="shared" ref="D7615:D7678" si="124">IF(ISBLANK(B7615),"OK",IF(A7615-B7615=0,"OK","Error?"))</f>
        <v>Error?</v>
      </c>
      <c r="E7615" s="2" t="s">
        <v>19</v>
      </c>
    </row>
    <row r="7616" spans="1:5" x14ac:dyDescent="0.2">
      <c r="A7616">
        <f t="shared" si="123"/>
        <v>7555</v>
      </c>
      <c r="B7616" s="138">
        <f>'Cap Outlay Deprec 26'!D14</f>
        <v>7728</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410628</v>
      </c>
      <c r="D7618" s="2" t="str">
        <f t="shared" si="124"/>
        <v>Error?</v>
      </c>
      <c r="E7618" s="2" t="s">
        <v>19</v>
      </c>
    </row>
    <row r="7619" spans="1:5" x14ac:dyDescent="0.2">
      <c r="A7619">
        <f t="shared" si="123"/>
        <v>7558</v>
      </c>
      <c r="B7619" s="138">
        <f>'Cap Outlay Deprec 26'!H14</f>
        <v>373400</v>
      </c>
      <c r="D7619" s="2" t="str">
        <f t="shared" si="124"/>
        <v>Error?</v>
      </c>
      <c r="E7619" s="2" t="s">
        <v>19</v>
      </c>
    </row>
    <row r="7620" spans="1:5" x14ac:dyDescent="0.2">
      <c r="A7620">
        <f t="shared" si="123"/>
        <v>7559</v>
      </c>
      <c r="B7620" s="138">
        <f>'Cap Outlay Deprec 26'!I14</f>
        <v>18029</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391429</v>
      </c>
      <c r="D7622" s="2" t="str">
        <f t="shared" si="124"/>
        <v>Error?</v>
      </c>
      <c r="E7622" s="2" t="s">
        <v>19</v>
      </c>
    </row>
    <row r="7623" spans="1:5" x14ac:dyDescent="0.2">
      <c r="A7623">
        <f t="shared" si="123"/>
        <v>7562</v>
      </c>
      <c r="B7623" s="138">
        <f>'Cap Outlay Deprec 26'!L14</f>
        <v>19199</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313579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53299</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77112</v>
      </c>
      <c r="D7713" s="2" t="str">
        <f t="shared" si="126"/>
        <v>Error?</v>
      </c>
      <c r="E7713" s="2" t="s">
        <v>827</v>
      </c>
    </row>
    <row r="7714" spans="1:6" x14ac:dyDescent="0.2">
      <c r="A7714">
        <v>7653</v>
      </c>
      <c r="B7714" s="138">
        <f>'Rest Tax Levies-Tort Im 25'!K9</f>
        <v>3889</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77112</v>
      </c>
      <c r="D7718" s="2" t="str">
        <f t="shared" si="126"/>
        <v>Error?</v>
      </c>
      <c r="E7718" s="2" t="s">
        <v>827</v>
      </c>
    </row>
    <row r="7719" spans="1:6" x14ac:dyDescent="0.2">
      <c r="A7719">
        <v>7658</v>
      </c>
      <c r="B7719" s="138">
        <f>'Rest Tax Levies-Tort Im 25'!K12</f>
        <v>3889</v>
      </c>
      <c r="D7719" s="2" t="str">
        <f t="shared" si="126"/>
        <v>Error?</v>
      </c>
      <c r="E7719" s="2" t="s">
        <v>827</v>
      </c>
    </row>
    <row r="7720" spans="1:6" x14ac:dyDescent="0.2">
      <c r="A7720">
        <v>7659</v>
      </c>
      <c r="B7720" s="138">
        <f>'Rest Tax Levies-Tort Im 25'!H14</f>
        <v>24693</v>
      </c>
      <c r="D7720" s="2" t="str">
        <f t="shared" si="126"/>
        <v>Error?</v>
      </c>
      <c r="E7720" s="2" t="s">
        <v>827</v>
      </c>
    </row>
    <row r="7721" spans="1:6" x14ac:dyDescent="0.2">
      <c r="A7721">
        <v>7660</v>
      </c>
      <c r="B7721" s="138">
        <f>'Rest Tax Levies-Tort Im 25'!K14</f>
        <v>3889</v>
      </c>
      <c r="D7721" s="2" t="str">
        <f t="shared" si="126"/>
        <v>Error?</v>
      </c>
      <c r="E7721" s="2" t="s">
        <v>827</v>
      </c>
    </row>
    <row r="7722" spans="1:6" x14ac:dyDescent="0.2">
      <c r="A7722">
        <v>7661</v>
      </c>
      <c r="B7722" s="138">
        <f>'Rest Tax Levies-Tort Im 25'!J15</f>
        <v>23488</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23488</v>
      </c>
      <c r="D7730" s="2" t="str">
        <f t="shared" si="126"/>
        <v>Error?</v>
      </c>
      <c r="E7730" s="2" t="s">
        <v>827</v>
      </c>
    </row>
    <row r="7731" spans="1:6" x14ac:dyDescent="0.2">
      <c r="A7731">
        <v>7670</v>
      </c>
      <c r="B7731" s="138">
        <f>'Revenues 9-14'!H103</f>
        <v>77112</v>
      </c>
      <c r="D7731" s="2" t="str">
        <f t="shared" si="126"/>
        <v>Error?</v>
      </c>
      <c r="E7731" s="2" t="s">
        <v>827</v>
      </c>
    </row>
    <row r="7732" spans="1:6" x14ac:dyDescent="0.2">
      <c r="A7732">
        <v>7671</v>
      </c>
      <c r="B7732" s="138">
        <f>'Rest Tax Levies-Tort Im 25'!J24</f>
        <v>106923</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106923</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50000</v>
      </c>
      <c r="D7752" s="2" t="str">
        <f t="shared" si="127"/>
        <v>Error?</v>
      </c>
      <c r="E7752" s="4" t="s">
        <v>1333</v>
      </c>
    </row>
    <row r="7753" spans="1:6" x14ac:dyDescent="0.2">
      <c r="A7753">
        <v>7692</v>
      </c>
      <c r="B7753" s="138">
        <f>'Acct Summary 7-8'!H25</f>
        <v>700000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0</v>
      </c>
      <c r="D7797" s="2" t="str">
        <f t="shared" si="127"/>
        <v>Error?</v>
      </c>
      <c r="E7797" s="4" t="s">
        <v>1904</v>
      </c>
    </row>
    <row r="7798" spans="1:5" x14ac:dyDescent="0.2">
      <c r="A7798">
        <v>7737</v>
      </c>
      <c r="B7798" s="138">
        <f>'Contracts Paid in CY 29'!F141</f>
        <v>0</v>
      </c>
      <c r="D7798" s="2" t="str">
        <f t="shared" si="127"/>
        <v>Error?</v>
      </c>
      <c r="E7798" s="4" t="s">
        <v>1904</v>
      </c>
    </row>
    <row r="7799" spans="1:5" x14ac:dyDescent="0.2">
      <c r="A7799">
        <v>7738</v>
      </c>
      <c r="B7799" s="138">
        <f>'Contracts Paid in CY 29'!G141</f>
        <v>0</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79" t="s">
        <v>1191</v>
      </c>
      <c r="B2" s="2379"/>
      <c r="C2" s="2379"/>
      <c r="D2" s="2379"/>
      <c r="E2" s="2379"/>
      <c r="F2" s="2379"/>
      <c r="G2" s="2379"/>
      <c r="H2" s="2379"/>
      <c r="I2" s="2379"/>
      <c r="J2" s="2379"/>
      <c r="K2" s="2379"/>
      <c r="L2" s="2379"/>
    </row>
    <row r="3" spans="1:29" ht="13.5" customHeight="1" x14ac:dyDescent="0.2">
      <c r="A3" s="2410" t="s">
        <v>1190</v>
      </c>
      <c r="B3" s="2410"/>
      <c r="C3" s="2410"/>
      <c r="D3" s="2410"/>
      <c r="E3" s="2410"/>
      <c r="F3" s="2410"/>
      <c r="G3" s="2410"/>
      <c r="H3" s="2410"/>
      <c r="I3" s="2410"/>
      <c r="J3" s="2410"/>
      <c r="K3" s="2410"/>
      <c r="L3" s="2410"/>
    </row>
    <row r="4" spans="1:29" ht="13.5" customHeight="1" x14ac:dyDescent="0.2">
      <c r="A4" s="2379" t="s">
        <v>1989</v>
      </c>
      <c r="B4" s="2400"/>
      <c r="C4" s="2400"/>
      <c r="D4" s="2400"/>
      <c r="E4" s="2400"/>
      <c r="F4" s="2400"/>
      <c r="G4" s="2400"/>
      <c r="H4" s="2400"/>
      <c r="I4" s="2400"/>
      <c r="J4" s="2400"/>
      <c r="K4" s="2400"/>
      <c r="L4" s="2400"/>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1" t="str">
        <f>COVER!A17</f>
        <v>Shawnee CUSD 84</v>
      </c>
      <c r="B7" s="2402"/>
      <c r="C7" s="2402"/>
      <c r="D7" s="2403"/>
      <c r="E7" s="2404">
        <f>COVER!A13</f>
        <v>30091084026</v>
      </c>
      <c r="F7" s="2405"/>
      <c r="G7" s="2411" t="str">
        <f>COVER!T23</f>
        <v>066-005023</v>
      </c>
      <c r="H7" s="2412"/>
      <c r="I7" s="2412"/>
      <c r="J7" s="2412"/>
      <c r="K7" s="2412"/>
      <c r="L7" s="2413"/>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14"/>
      <c r="B9" s="2415"/>
      <c r="C9" s="2415"/>
      <c r="D9" s="2415"/>
      <c r="E9" s="2415"/>
      <c r="F9" s="2416"/>
      <c r="G9" s="2385" t="str">
        <f>COVER!T13</f>
        <v>BEUSSINK HICKAM &amp; KOCHEL PC</v>
      </c>
      <c r="H9" s="2417"/>
      <c r="I9" s="2417"/>
      <c r="J9" s="2417"/>
      <c r="K9" s="2417"/>
      <c r="L9" s="2418"/>
    </row>
    <row r="10" spans="1:29" ht="13.5" customHeight="1" x14ac:dyDescent="0.2">
      <c r="A10" s="2391" t="str">
        <f>COVER!A38</f>
        <v>SHELLY CLOVER-HILL</v>
      </c>
      <c r="B10" s="2392"/>
      <c r="C10" s="2392"/>
      <c r="D10" s="2392"/>
      <c r="E10" s="2392"/>
      <c r="F10" s="2393"/>
      <c r="G10" s="2385" t="str">
        <f>COVER!T17</f>
        <v>139 W VIENNA ST - PO BOX 556</v>
      </c>
      <c r="H10" s="2386"/>
      <c r="I10" s="2386"/>
      <c r="J10" s="2386"/>
      <c r="K10" s="2386"/>
      <c r="L10" s="2387"/>
    </row>
    <row r="11" spans="1:29" ht="13.5" customHeight="1" x14ac:dyDescent="0.2">
      <c r="A11" s="1184" t="s">
        <v>1519</v>
      </c>
      <c r="B11" s="1185"/>
      <c r="C11" s="1186"/>
      <c r="D11" s="1191"/>
      <c r="E11" s="1186"/>
      <c r="F11" s="1190"/>
      <c r="G11" s="2385" t="str">
        <f>COVER!T19</f>
        <v>ANNA</v>
      </c>
      <c r="H11" s="2386"/>
      <c r="I11" s="2386"/>
      <c r="J11" s="2386"/>
      <c r="K11" s="2386"/>
      <c r="L11" s="2387"/>
    </row>
    <row r="12" spans="1:29" ht="13.5" customHeight="1" x14ac:dyDescent="0.2">
      <c r="A12" s="2394" t="s">
        <v>1518</v>
      </c>
      <c r="B12" s="2395"/>
      <c r="C12" s="2395"/>
      <c r="D12" s="2395"/>
      <c r="E12" s="2395"/>
      <c r="F12" s="2396"/>
      <c r="G12" s="2388"/>
      <c r="H12" s="2389"/>
      <c r="I12" s="2389"/>
      <c r="J12" s="2389"/>
      <c r="K12" s="2389"/>
      <c r="L12" s="2390"/>
    </row>
    <row r="13" spans="1:29" ht="13.5" customHeight="1" x14ac:dyDescent="0.2">
      <c r="A13" s="2385"/>
      <c r="B13" s="2386"/>
      <c r="C13" s="2386"/>
      <c r="D13" s="2386"/>
      <c r="E13" s="2386"/>
      <c r="F13" s="2387"/>
      <c r="G13" s="2380" t="s">
        <v>1520</v>
      </c>
      <c r="H13" s="2381"/>
      <c r="I13" s="2397" t="str">
        <f>COVER!T25</f>
        <v>office@bhcpa1.com</v>
      </c>
      <c r="J13" s="2398"/>
      <c r="K13" s="2398"/>
      <c r="L13" s="2399"/>
    </row>
    <row r="14" spans="1:29" ht="13.5" customHeight="1" x14ac:dyDescent="0.2">
      <c r="A14" s="2385" t="str">
        <f>COVER!A19</f>
        <v>3365 STATE HWY 3 NORTH</v>
      </c>
      <c r="B14" s="2386"/>
      <c r="C14" s="2386"/>
      <c r="D14" s="2386"/>
      <c r="E14" s="2386"/>
      <c r="F14" s="2387"/>
      <c r="G14" s="1195" t="s">
        <v>1185</v>
      </c>
      <c r="H14" s="1193"/>
      <c r="I14" s="1193"/>
      <c r="J14" s="1193"/>
      <c r="K14" s="1193"/>
      <c r="L14" s="1194"/>
    </row>
    <row r="15" spans="1:29" ht="13.5" customHeight="1" x14ac:dyDescent="0.2">
      <c r="A15" s="2385" t="str">
        <f>COVER!A21</f>
        <v>WOLF LAKE</v>
      </c>
      <c r="B15" s="2386"/>
      <c r="C15" s="2386"/>
      <c r="D15" s="2386"/>
      <c r="E15" s="2386"/>
      <c r="F15" s="2387"/>
      <c r="G15" s="2382" t="str">
        <f>COVER!T15</f>
        <v>SCOTT A HICKAM CPA</v>
      </c>
      <c r="H15" s="2383"/>
      <c r="I15" s="2383"/>
      <c r="J15" s="2383"/>
      <c r="K15" s="2383"/>
      <c r="L15" s="2384"/>
    </row>
    <row r="16" spans="1:29" ht="12.2" customHeight="1" x14ac:dyDescent="0.2">
      <c r="A16" s="2407">
        <f>COVER!A25</f>
        <v>62998</v>
      </c>
      <c r="B16" s="2408"/>
      <c r="C16" s="2408"/>
      <c r="D16" s="2408"/>
      <c r="E16" s="2408"/>
      <c r="F16" s="2409"/>
      <c r="G16" s="2419"/>
      <c r="H16" s="2420"/>
      <c r="I16" s="2420"/>
      <c r="J16" s="2420"/>
      <c r="K16" s="2420"/>
      <c r="L16" s="2421"/>
    </row>
    <row r="17" spans="1:13" ht="12.2" customHeight="1" x14ac:dyDescent="0.2">
      <c r="A17" s="2422"/>
      <c r="B17" s="2408"/>
      <c r="C17" s="2408"/>
      <c r="D17" s="2408"/>
      <c r="E17" s="2408"/>
      <c r="F17" s="2409"/>
      <c r="G17" s="1195" t="s">
        <v>1184</v>
      </c>
      <c r="H17" s="1193"/>
      <c r="I17" s="1193"/>
      <c r="J17" s="1193"/>
      <c r="K17" s="1197" t="s">
        <v>1183</v>
      </c>
      <c r="L17" s="1190"/>
      <c r="M17" s="1183"/>
    </row>
    <row r="18" spans="1:13" ht="12.2" customHeight="1" x14ac:dyDescent="0.2">
      <c r="A18" s="2391"/>
      <c r="B18" s="2392"/>
      <c r="C18" s="2392"/>
      <c r="D18" s="2392"/>
      <c r="E18" s="2392"/>
      <c r="F18" s="2393"/>
      <c r="G18" s="2401" t="str">
        <f>COVER!T21</f>
        <v>618-833-2721</v>
      </c>
      <c r="H18" s="2402"/>
      <c r="I18" s="2402"/>
      <c r="J18" s="2402"/>
      <c r="K18" s="2401" t="str">
        <f>COVER!X21</f>
        <v>618-833-7077</v>
      </c>
      <c r="L18" s="2406"/>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3" t="str">
        <f>'Single Audit Cover'!A7</f>
        <v>Shawnee CUSD 84</v>
      </c>
      <c r="B1" s="2400"/>
      <c r="C1" s="2400"/>
      <c r="D1" s="2400"/>
    </row>
    <row r="2" spans="1:11" s="1212" customFormat="1" ht="12.75" x14ac:dyDescent="0.2">
      <c r="A2" s="2424">
        <f>'Single Audit Cover'!E7</f>
        <v>30091084026</v>
      </c>
      <c r="B2" s="2425"/>
      <c r="C2" s="2425"/>
      <c r="D2" s="2425"/>
    </row>
    <row r="3" spans="1:11" s="1212" customFormat="1" ht="12.75" x14ac:dyDescent="0.2">
      <c r="A3" s="2423" t="s">
        <v>1513</v>
      </c>
      <c r="B3" s="2400"/>
      <c r="C3" s="2400"/>
      <c r="D3" s="2400"/>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7" t="str">
        <f>'Single Audit Cover'!A7</f>
        <v>Shawnee CUSD 84</v>
      </c>
      <c r="B1" s="2427"/>
      <c r="C1" s="2427"/>
      <c r="D1" s="2427"/>
      <c r="E1" s="2427"/>
    </row>
    <row r="2" spans="1:5" x14ac:dyDescent="0.2">
      <c r="A2" s="2428">
        <f>'Single Audit Cover'!E7</f>
        <v>30091084026</v>
      </c>
      <c r="B2" s="2428"/>
      <c r="C2" s="2428"/>
      <c r="D2" s="2428"/>
      <c r="E2" s="2428"/>
    </row>
    <row r="3" spans="1:5" ht="4.5" customHeight="1" x14ac:dyDescent="0.2"/>
    <row r="4" spans="1:5" x14ac:dyDescent="0.2">
      <c r="A4" s="2427" t="s">
        <v>1245</v>
      </c>
      <c r="B4" s="2427"/>
      <c r="C4" s="2427"/>
      <c r="D4" s="2427"/>
      <c r="E4" s="2427"/>
    </row>
    <row r="5" spans="1:5" x14ac:dyDescent="0.2">
      <c r="A5" s="2430" t="str">
        <f>'Single Audit Cover'!A4</f>
        <v>Year Ending June 30, 2019</v>
      </c>
      <c r="B5" s="2430"/>
      <c r="C5" s="2430"/>
      <c r="D5" s="2430"/>
      <c r="E5" s="2430"/>
    </row>
    <row r="6" spans="1:5" x14ac:dyDescent="0.2">
      <c r="A6" s="2427" t="s">
        <v>1244</v>
      </c>
      <c r="B6" s="2427"/>
      <c r="C6" s="2427"/>
      <c r="D6" s="2427"/>
      <c r="E6" s="2427"/>
    </row>
    <row r="8" spans="1:5" x14ac:dyDescent="0.2">
      <c r="A8" s="1257" t="s">
        <v>1243</v>
      </c>
    </row>
    <row r="10" spans="1:5" x14ac:dyDescent="0.2">
      <c r="A10" s="1258" t="s">
        <v>1242</v>
      </c>
      <c r="B10" s="1259" t="s">
        <v>1241</v>
      </c>
      <c r="C10" s="1259"/>
      <c r="D10" s="1260">
        <f>SUM('Acct Summary 7-8'!C7:K7)</f>
        <v>532138</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13211</v>
      </c>
    </row>
    <row r="15" spans="1:5" x14ac:dyDescent="0.2">
      <c r="A15" s="1258"/>
      <c r="B15" s="1259"/>
      <c r="C15" s="1259"/>
    </row>
    <row r="16" spans="1:5" x14ac:dyDescent="0.2">
      <c r="A16" s="1258" t="s">
        <v>1844</v>
      </c>
      <c r="B16" s="1259"/>
      <c r="C16" s="1259"/>
    </row>
    <row r="17" spans="1:4" x14ac:dyDescent="0.2">
      <c r="A17" s="1258" t="s">
        <v>2061</v>
      </c>
      <c r="B17" s="1259" t="s">
        <v>1236</v>
      </c>
      <c r="C17" s="1259"/>
      <c r="D17" s="1261">
        <f>-SUM('Revenues 9-14'!C264:D264,'Revenues 9-14'!F264:G264)</f>
        <v>-43190</v>
      </c>
    </row>
    <row r="19" spans="1:4" ht="13.5" thickBot="1" x14ac:dyDescent="0.25">
      <c r="A19" s="1262" t="s">
        <v>1235</v>
      </c>
      <c r="D19" s="1263">
        <f>SUM(D10:D17)</f>
        <v>502159</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29"/>
      <c r="B24" s="2429"/>
      <c r="D24" s="1265"/>
    </row>
    <row r="25" spans="1:4" x14ac:dyDescent="0.2">
      <c r="A25" s="2426"/>
      <c r="B25" s="2426"/>
      <c r="D25" s="1265"/>
    </row>
    <row r="26" spans="1:4" x14ac:dyDescent="0.2">
      <c r="A26" s="2426"/>
      <c r="B26" s="2426"/>
      <c r="D26" s="1265"/>
    </row>
    <row r="27" spans="1:4" x14ac:dyDescent="0.2">
      <c r="A27" s="2426"/>
      <c r="B27" s="2426"/>
      <c r="D27" s="1265"/>
    </row>
    <row r="28" spans="1:4" x14ac:dyDescent="0.2">
      <c r="A28" s="2426"/>
      <c r="B28" s="2426"/>
      <c r="D28" s="1265"/>
    </row>
    <row r="29" spans="1:4" x14ac:dyDescent="0.2">
      <c r="A29" s="2426"/>
      <c r="B29" s="2426"/>
      <c r="D29" s="1265"/>
    </row>
    <row r="30" spans="1:4" x14ac:dyDescent="0.2">
      <c r="A30" s="2426"/>
      <c r="B30" s="2426"/>
      <c r="D30" s="1265"/>
    </row>
    <row r="32" spans="1:4" x14ac:dyDescent="0.2">
      <c r="A32" s="1257" t="s">
        <v>1233</v>
      </c>
      <c r="D32" s="1260">
        <f>SUM(D19:D30)</f>
        <v>502159</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6"/>
      <c r="B40" s="2426"/>
      <c r="D40" s="1265"/>
    </row>
    <row r="41" spans="1:4" x14ac:dyDescent="0.2">
      <c r="A41" s="2426"/>
      <c r="B41" s="2426"/>
      <c r="D41" s="1268"/>
    </row>
    <row r="42" spans="1:4" x14ac:dyDescent="0.2">
      <c r="A42" s="2426"/>
      <c r="B42" s="2426"/>
      <c r="D42" s="1268"/>
    </row>
    <row r="43" spans="1:4" x14ac:dyDescent="0.2">
      <c r="A43" s="2426"/>
      <c r="B43" s="2426"/>
      <c r="D43" s="1268"/>
    </row>
    <row r="44" spans="1:4" x14ac:dyDescent="0.2">
      <c r="A44" s="2426"/>
      <c r="B44" s="2426"/>
      <c r="D44" s="1268"/>
    </row>
    <row r="45" spans="1:4" x14ac:dyDescent="0.2">
      <c r="A45" s="2426"/>
      <c r="B45" s="2426"/>
      <c r="D45" s="1268"/>
    </row>
    <row r="47" spans="1:4" x14ac:dyDescent="0.2">
      <c r="B47" s="1269" t="s">
        <v>1227</v>
      </c>
      <c r="C47" s="1269"/>
      <c r="D47" s="1270">
        <f>SUM(D35:D45)</f>
        <v>0</v>
      </c>
    </row>
    <row r="49" spans="2:4" x14ac:dyDescent="0.2">
      <c r="B49" s="1269" t="s">
        <v>1226</v>
      </c>
      <c r="C49" s="1269"/>
      <c r="D49" s="1270">
        <f>D32-D47</f>
        <v>502159</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0" t="str">
        <f>'Single Audit Cover'!A7</f>
        <v>Shawnee CUSD 84</v>
      </c>
      <c r="C1" s="2431"/>
      <c r="D1" s="2431"/>
      <c r="E1" s="2431"/>
      <c r="F1" s="2431"/>
      <c r="G1" s="2431"/>
      <c r="H1" s="2431"/>
      <c r="I1" s="2431"/>
      <c r="J1" s="2431"/>
      <c r="K1" s="2431"/>
      <c r="L1" s="2431"/>
      <c r="M1" s="2431"/>
    </row>
    <row r="2" spans="2:14" ht="15" x14ac:dyDescent="0.2">
      <c r="B2" s="2432">
        <f>'Single Audit Cover'!E7</f>
        <v>30091084026</v>
      </c>
      <c r="C2" s="2432"/>
      <c r="D2" s="2432"/>
      <c r="E2" s="2432"/>
      <c r="F2" s="2432"/>
      <c r="G2" s="2432"/>
      <c r="H2" s="2432"/>
      <c r="I2" s="2432"/>
      <c r="J2" s="2432"/>
      <c r="K2" s="2432"/>
      <c r="L2" s="2432"/>
      <c r="M2" s="2432"/>
      <c r="N2" s="1299"/>
    </row>
    <row r="3" spans="2:14" ht="15" x14ac:dyDescent="0.2">
      <c r="B3" s="2433" t="s">
        <v>1219</v>
      </c>
      <c r="C3" s="2433"/>
      <c r="D3" s="2433"/>
      <c r="E3" s="2433"/>
      <c r="F3" s="2433"/>
      <c r="G3" s="2433"/>
      <c r="H3" s="2433"/>
      <c r="I3" s="2433"/>
      <c r="J3" s="2433"/>
      <c r="K3" s="2433"/>
      <c r="L3" s="2433"/>
      <c r="M3" s="2433"/>
      <c r="N3" s="1299"/>
    </row>
    <row r="4" spans="2:14" ht="15" x14ac:dyDescent="0.2">
      <c r="B4" s="2434" t="str">
        <f>'Single Audit Cover'!A4</f>
        <v>Year Ending June 30, 2019</v>
      </c>
      <c r="C4" s="2434"/>
      <c r="D4" s="2434"/>
      <c r="E4" s="2434"/>
      <c r="F4" s="2434"/>
      <c r="G4" s="2434"/>
      <c r="H4" s="2434"/>
      <c r="I4" s="2434"/>
      <c r="J4" s="2434"/>
      <c r="K4" s="2434"/>
      <c r="L4" s="2434"/>
      <c r="M4" s="2434"/>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1990</v>
      </c>
      <c r="K8" s="1316" t="s">
        <v>1261</v>
      </c>
      <c r="L8" s="1317" t="s">
        <v>1257</v>
      </c>
      <c r="M8" s="1318" t="s">
        <v>30</v>
      </c>
    </row>
    <row r="9" spans="2:14" ht="14.25" x14ac:dyDescent="0.2">
      <c r="B9" s="1322" t="s">
        <v>1259</v>
      </c>
      <c r="C9" s="1310" t="s">
        <v>1735</v>
      </c>
      <c r="D9" s="1311" t="s">
        <v>1736</v>
      </c>
      <c r="E9" s="1319" t="s">
        <v>1839</v>
      </c>
      <c r="F9" s="1320" t="s">
        <v>1990</v>
      </c>
      <c r="G9" s="1321" t="s">
        <v>1839</v>
      </c>
      <c r="H9" s="1314" t="s">
        <v>1582</v>
      </c>
      <c r="I9" s="1316" t="s">
        <v>1990</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4" t="str">
        <f>'Single Audit Cover'!A7</f>
        <v>Shawnee CUSD 84</v>
      </c>
      <c r="B1" s="2444"/>
      <c r="C1" s="2444"/>
      <c r="D1" s="2444"/>
      <c r="E1" s="2444"/>
      <c r="F1" s="2444"/>
    </row>
    <row r="2" spans="1:7" ht="13.5" customHeight="1" x14ac:dyDescent="0.2">
      <c r="A2" s="2432">
        <f>'Single Audit Cover'!E7</f>
        <v>30091084026</v>
      </c>
      <c r="B2" s="2432"/>
      <c r="C2" s="2432"/>
      <c r="D2" s="2432"/>
      <c r="E2" s="2432"/>
      <c r="F2" s="2432"/>
      <c r="G2" s="1272"/>
    </row>
    <row r="3" spans="1:7" ht="15.75" customHeight="1" x14ac:dyDescent="0.2">
      <c r="A3" s="2445" t="s">
        <v>1271</v>
      </c>
      <c r="B3" s="2445"/>
      <c r="C3" s="2445"/>
      <c r="D3" s="2445"/>
      <c r="E3" s="2445"/>
      <c r="F3" s="2445"/>
    </row>
    <row r="4" spans="1:7" ht="13.5" customHeight="1" x14ac:dyDescent="0.2">
      <c r="A4" s="2446" t="str">
        <f>'Single Audit Cover'!A4</f>
        <v>Year Ending June 30, 2019</v>
      </c>
      <c r="B4" s="2446"/>
      <c r="C4" s="2446"/>
      <c r="D4" s="2446"/>
      <c r="E4" s="2446"/>
      <c r="F4" s="2446"/>
    </row>
    <row r="5" spans="1:7" ht="8.25" customHeight="1" x14ac:dyDescent="0.2">
      <c r="C5" s="317"/>
      <c r="D5" s="317"/>
    </row>
    <row r="6" spans="1:7" ht="13.5" customHeight="1" x14ac:dyDescent="0.2">
      <c r="A6" s="1273" t="s">
        <v>1728</v>
      </c>
      <c r="C6" s="317"/>
      <c r="D6" s="317"/>
    </row>
    <row r="7" spans="1:7" ht="60.95" customHeight="1" x14ac:dyDescent="0.2">
      <c r="A7" s="2443" t="s">
        <v>1729</v>
      </c>
      <c r="B7" s="2443"/>
      <c r="C7" s="2443"/>
      <c r="D7" s="2443"/>
      <c r="E7" s="2443"/>
      <c r="F7" s="2443"/>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3" t="s">
        <v>1731</v>
      </c>
      <c r="B13" s="2443"/>
      <c r="C13" s="2443"/>
      <c r="D13" s="2443"/>
      <c r="E13" s="2443"/>
      <c r="F13" s="2443"/>
    </row>
    <row r="14" spans="1:7" ht="9.75" customHeight="1" x14ac:dyDescent="0.2">
      <c r="C14" s="1257"/>
      <c r="D14" s="1257"/>
    </row>
    <row r="15" spans="1:7" ht="13.5" customHeight="1" x14ac:dyDescent="0.2">
      <c r="C15" s="1846" t="s">
        <v>1270</v>
      </c>
      <c r="D15" s="2441" t="s">
        <v>1269</v>
      </c>
      <c r="E15" s="2441"/>
      <c r="F15" s="2441"/>
    </row>
    <row r="16" spans="1:7" ht="13.5" customHeight="1" x14ac:dyDescent="0.2">
      <c r="A16" s="1279"/>
      <c r="B16" s="1273" t="s">
        <v>1268</v>
      </c>
      <c r="C16" s="1846" t="s">
        <v>1267</v>
      </c>
      <c r="D16" s="2442" t="s">
        <v>1588</v>
      </c>
      <c r="E16" s="2442"/>
      <c r="F16" s="2442"/>
    </row>
    <row r="17" spans="1:6" ht="20.45" customHeight="1" x14ac:dyDescent="0.2">
      <c r="A17" s="1280"/>
      <c r="B17" s="1281"/>
      <c r="C17" s="1282"/>
      <c r="D17" s="2436"/>
      <c r="E17" s="2436"/>
      <c r="F17" s="2436"/>
    </row>
    <row r="18" spans="1:6" ht="20.65" customHeight="1" x14ac:dyDescent="0.2">
      <c r="A18" s="1280"/>
      <c r="B18" s="1281"/>
      <c r="C18" s="1282"/>
      <c r="D18" s="2436"/>
      <c r="E18" s="2436"/>
      <c r="F18" s="2436"/>
    </row>
    <row r="19" spans="1:6" ht="20.65" customHeight="1" x14ac:dyDescent="0.2">
      <c r="A19" s="1280"/>
      <c r="B19" s="1281"/>
      <c r="C19" s="1282"/>
      <c r="D19" s="2436"/>
      <c r="E19" s="2436"/>
      <c r="F19" s="2436"/>
    </row>
    <row r="20" spans="1:6" ht="20.65" customHeight="1" x14ac:dyDescent="0.2">
      <c r="A20" s="1280"/>
      <c r="B20" s="1281"/>
      <c r="C20" s="1282"/>
      <c r="D20" s="2436"/>
      <c r="E20" s="2436"/>
      <c r="F20" s="2436"/>
    </row>
    <row r="21" spans="1:6" ht="20.65" customHeight="1" x14ac:dyDescent="0.2">
      <c r="A21" s="1280"/>
      <c r="B21" s="1281"/>
      <c r="C21" s="1282"/>
      <c r="D21" s="2436"/>
      <c r="E21" s="2436"/>
      <c r="F21" s="2436"/>
    </row>
    <row r="22" spans="1:6" ht="20.65" customHeight="1" x14ac:dyDescent="0.2">
      <c r="A22" s="1280"/>
      <c r="B22" s="1281"/>
      <c r="C22" s="1282"/>
      <c r="D22" s="2436"/>
      <c r="E22" s="2436"/>
      <c r="F22" s="2436"/>
    </row>
    <row r="23" spans="1:6" ht="20.65" customHeight="1" x14ac:dyDescent="0.2">
      <c r="A23" s="1280"/>
      <c r="B23" s="1281"/>
      <c r="C23" s="1282"/>
      <c r="D23" s="2436"/>
      <c r="E23" s="2436"/>
      <c r="F23" s="2436"/>
    </row>
    <row r="24" spans="1:6" ht="20.65" customHeight="1" x14ac:dyDescent="0.2">
      <c r="A24" s="1280"/>
      <c r="B24" s="1281"/>
      <c r="C24" s="1282"/>
      <c r="D24" s="2436"/>
      <c r="E24" s="2436"/>
      <c r="F24" s="2436"/>
    </row>
    <row r="25" spans="1:6" ht="20.65" customHeight="1" x14ac:dyDescent="0.2">
      <c r="A25" s="1280"/>
      <c r="B25" s="1281"/>
      <c r="C25" s="1282"/>
      <c r="D25" s="2436"/>
      <c r="E25" s="2436"/>
      <c r="F25" s="2436"/>
    </row>
    <row r="26" spans="1:6" ht="20.65" customHeight="1" x14ac:dyDescent="0.2">
      <c r="A26" s="1280"/>
      <c r="B26" s="1281"/>
      <c r="C26" s="1282"/>
      <c r="D26" s="2436"/>
      <c r="E26" s="2436"/>
      <c r="F26" s="2436"/>
    </row>
    <row r="27" spans="1:6" ht="20.65" customHeight="1" x14ac:dyDescent="0.2">
      <c r="A27" s="1280"/>
      <c r="B27" s="1281"/>
      <c r="C27" s="1282"/>
      <c r="D27" s="2436"/>
      <c r="E27" s="2436"/>
      <c r="F27" s="2436"/>
    </row>
    <row r="28" spans="1:6" ht="20.65" customHeight="1" x14ac:dyDescent="0.2">
      <c r="A28" s="1280"/>
      <c r="B28" s="1281"/>
      <c r="C28" s="1282"/>
      <c r="D28" s="2436"/>
      <c r="E28" s="2436"/>
      <c r="F28" s="2436"/>
    </row>
    <row r="29" spans="1:6" ht="20.65" customHeight="1" x14ac:dyDescent="0.2">
      <c r="A29" s="1280"/>
      <c r="B29" s="1281"/>
      <c r="C29" s="1282"/>
      <c r="D29" s="2436"/>
      <c r="E29" s="2436"/>
      <c r="F29" s="2436"/>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37" t="s">
        <v>1732</v>
      </c>
      <c r="B32" s="2437"/>
      <c r="C32" s="2437"/>
      <c r="D32" s="2437"/>
      <c r="E32" s="2437"/>
      <c r="F32" s="2437"/>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38">
        <f>+C33+C34</f>
        <v>0</v>
      </c>
      <c r="F34" s="2439"/>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0" t="s">
        <v>1590</v>
      </c>
      <c r="C49" s="2440"/>
      <c r="D49" s="2440"/>
      <c r="E49" s="1396"/>
    </row>
    <row r="50" spans="1:5" s="1297" customFormat="1" ht="3.75" customHeight="1" x14ac:dyDescent="0.2">
      <c r="A50" s="1296"/>
      <c r="B50" s="1845"/>
      <c r="C50" s="1845"/>
      <c r="D50" s="1845"/>
      <c r="E50" s="1396"/>
    </row>
    <row r="51" spans="1:5" s="1297" customFormat="1" ht="20.25" customHeight="1" x14ac:dyDescent="0.2">
      <c r="A51" s="1298">
        <v>6</v>
      </c>
      <c r="B51" s="2435" t="s">
        <v>1551</v>
      </c>
      <c r="C51" s="2435"/>
      <c r="D51" s="2435"/>
    </row>
    <row r="52" spans="1:5" ht="14.25" customHeight="1" x14ac:dyDescent="0.2">
      <c r="A52" s="1298"/>
      <c r="B52" s="2435"/>
      <c r="C52" s="2435"/>
      <c r="D52" s="2435"/>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5" colorId="8" zoomScale="110" zoomScaleNormal="110" workbookViewId="0">
      <selection activeCell="B20" sqref="B20"/>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2" t="s">
        <v>1168</v>
      </c>
      <c r="B2" s="2052"/>
      <c r="C2" s="2052"/>
      <c r="D2" s="2052"/>
      <c r="E2" s="2052"/>
      <c r="F2" s="2052"/>
      <c r="G2" s="2052"/>
      <c r="H2" s="2052"/>
      <c r="I2" s="2052"/>
      <c r="J2" s="2052"/>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6" t="s">
        <v>1633</v>
      </c>
      <c r="B35" s="2067"/>
      <c r="C35" s="2067"/>
      <c r="D35" s="2067"/>
      <c r="E35" s="2068"/>
      <c r="F35" s="2068"/>
      <c r="G35" s="2068"/>
      <c r="H35" s="2068"/>
      <c r="I35" s="2068"/>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t="s">
        <v>2064</v>
      </c>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6" t="s">
        <v>313</v>
      </c>
      <c r="B47" s="2069"/>
      <c r="C47" s="2069"/>
      <c r="D47" s="2069"/>
      <c r="E47" s="2070"/>
      <c r="F47" s="2070"/>
      <c r="G47" s="2070"/>
      <c r="H47" s="2070"/>
      <c r="I47" s="2070"/>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3"/>
      <c r="C57" s="2074"/>
      <c r="D57" s="2074"/>
      <c r="E57" s="2074"/>
      <c r="F57" s="2074"/>
      <c r="G57" s="2074"/>
      <c r="H57" s="2074"/>
      <c r="I57" s="2074"/>
      <c r="J57" s="2075"/>
    </row>
    <row r="58" spans="1:10" s="181" customFormat="1" x14ac:dyDescent="0.2">
      <c r="A58" s="253"/>
      <c r="B58" s="2076"/>
      <c r="C58" s="2077"/>
      <c r="D58" s="2077"/>
      <c r="E58" s="2077"/>
      <c r="F58" s="2077"/>
      <c r="G58" s="2077"/>
      <c r="H58" s="2077"/>
      <c r="I58" s="2077"/>
      <c r="J58" s="2078"/>
    </row>
    <row r="59" spans="1:10" s="181" customFormat="1" x14ac:dyDescent="0.2">
      <c r="A59" s="253"/>
      <c r="B59" s="2076"/>
      <c r="C59" s="2077"/>
      <c r="D59" s="2077"/>
      <c r="E59" s="2077"/>
      <c r="F59" s="2077"/>
      <c r="G59" s="2077"/>
      <c r="H59" s="2077"/>
      <c r="I59" s="2077"/>
      <c r="J59" s="2078"/>
    </row>
    <row r="60" spans="1:10" s="181" customFormat="1" x14ac:dyDescent="0.2">
      <c r="A60" s="253"/>
      <c r="B60" s="2076"/>
      <c r="C60" s="2077"/>
      <c r="D60" s="2077"/>
      <c r="E60" s="2077"/>
      <c r="F60" s="2077"/>
      <c r="G60" s="2077"/>
      <c r="H60" s="2077"/>
      <c r="I60" s="2077"/>
      <c r="J60" s="2078"/>
    </row>
    <row r="61" spans="1:10" s="181" customFormat="1" x14ac:dyDescent="0.2">
      <c r="A61" s="253"/>
      <c r="B61" s="2076"/>
      <c r="C61" s="2077"/>
      <c r="D61" s="2077"/>
      <c r="E61" s="2077"/>
      <c r="F61" s="2077"/>
      <c r="G61" s="2077"/>
      <c r="H61" s="2077"/>
      <c r="I61" s="2077"/>
      <c r="J61" s="2078"/>
    </row>
    <row r="62" spans="1:10" s="181" customFormat="1" x14ac:dyDescent="0.2">
      <c r="A62" s="253"/>
      <c r="B62" s="2076"/>
      <c r="C62" s="2077"/>
      <c r="D62" s="2077"/>
      <c r="E62" s="2077"/>
      <c r="F62" s="2077"/>
      <c r="G62" s="2077"/>
      <c r="H62" s="2077"/>
      <c r="I62" s="2077"/>
      <c r="J62" s="2078"/>
    </row>
    <row r="63" spans="1:10" s="181" customFormat="1" x14ac:dyDescent="0.2">
      <c r="A63" s="253"/>
      <c r="B63" s="2076"/>
      <c r="C63" s="2077"/>
      <c r="D63" s="2077"/>
      <c r="E63" s="2077"/>
      <c r="F63" s="2077"/>
      <c r="G63" s="2077"/>
      <c r="H63" s="2077"/>
      <c r="I63" s="2077"/>
      <c r="J63" s="2078"/>
    </row>
    <row r="64" spans="1:10" s="181" customFormat="1" x14ac:dyDescent="0.2">
      <c r="A64" s="253"/>
      <c r="B64" s="2076"/>
      <c r="C64" s="2077"/>
      <c r="D64" s="2077"/>
      <c r="E64" s="2077"/>
      <c r="F64" s="2077"/>
      <c r="G64" s="2077"/>
      <c r="H64" s="2077"/>
      <c r="I64" s="2077"/>
      <c r="J64" s="2078"/>
    </row>
    <row r="65" spans="1:10" s="181" customFormat="1" x14ac:dyDescent="0.2">
      <c r="A65" s="253"/>
      <c r="B65" s="2076"/>
      <c r="C65" s="2077"/>
      <c r="D65" s="2077"/>
      <c r="E65" s="2077"/>
      <c r="F65" s="2077"/>
      <c r="G65" s="2077"/>
      <c r="H65" s="2077"/>
      <c r="I65" s="2077"/>
      <c r="J65" s="2078"/>
    </row>
    <row r="66" spans="1:10" s="181" customFormat="1" x14ac:dyDescent="0.2">
      <c r="A66" s="253"/>
      <c r="B66" s="2076"/>
      <c r="C66" s="2077"/>
      <c r="D66" s="2077"/>
      <c r="E66" s="2077"/>
      <c r="F66" s="2077"/>
      <c r="G66" s="2077"/>
      <c r="H66" s="2077"/>
      <c r="I66" s="2077"/>
      <c r="J66" s="2078"/>
    </row>
    <row r="67" spans="1:10" s="181" customFormat="1" ht="9" customHeight="1" x14ac:dyDescent="0.2">
      <c r="A67" s="254"/>
      <c r="B67" s="2079"/>
      <c r="C67" s="2080"/>
      <c r="D67" s="2080"/>
      <c r="E67" s="2080"/>
      <c r="F67" s="2080"/>
      <c r="G67" s="2080"/>
      <c r="H67" s="2080"/>
      <c r="I67" s="2080"/>
      <c r="J67" s="208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6" t="s">
        <v>1323</v>
      </c>
      <c r="B70" s="2069"/>
      <c r="C70" s="2069"/>
      <c r="D70" s="2069"/>
      <c r="E70" s="2070"/>
      <c r="F70" s="2070"/>
      <c r="G70" s="2070"/>
      <c r="H70" s="2070"/>
      <c r="I70" s="2070"/>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1" t="s">
        <v>1320</v>
      </c>
      <c r="B83" s="2071"/>
      <c r="C83" s="2071"/>
      <c r="D83" s="2072"/>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3" t="s">
        <v>2092</v>
      </c>
      <c r="C102" s="2054"/>
      <c r="D102" s="2054"/>
      <c r="E102" s="2054"/>
      <c r="F102" s="2054"/>
      <c r="G102" s="2054"/>
      <c r="H102" s="2054"/>
      <c r="I102" s="2055"/>
    </row>
    <row r="103" spans="1:9" s="181" customFormat="1" ht="11.25" customHeight="1" x14ac:dyDescent="0.2">
      <c r="A103" s="316"/>
      <c r="B103" s="2056"/>
      <c r="C103" s="2057"/>
      <c r="D103" s="2057"/>
      <c r="E103" s="2057"/>
      <c r="F103" s="2057"/>
      <c r="G103" s="2057"/>
      <c r="H103" s="2057"/>
      <c r="I103" s="2058"/>
    </row>
    <row r="104" spans="1:9" s="181" customFormat="1" ht="11.25" customHeight="1" x14ac:dyDescent="0.2">
      <c r="A104" s="316"/>
      <c r="B104" s="2056"/>
      <c r="C104" s="2057"/>
      <c r="D104" s="2057"/>
      <c r="E104" s="2057"/>
      <c r="F104" s="2057"/>
      <c r="G104" s="2057"/>
      <c r="H104" s="2057"/>
      <c r="I104" s="2058"/>
    </row>
    <row r="105" spans="1:9" s="181" customFormat="1" x14ac:dyDescent="0.2">
      <c r="A105" s="316"/>
      <c r="B105" s="2056"/>
      <c r="C105" s="2057"/>
      <c r="D105" s="2057"/>
      <c r="E105" s="2057"/>
      <c r="F105" s="2057"/>
      <c r="G105" s="2057"/>
      <c r="H105" s="2057"/>
      <c r="I105" s="2058"/>
    </row>
    <row r="106" spans="1:9" s="181" customFormat="1" ht="11.25" customHeight="1" x14ac:dyDescent="0.2">
      <c r="A106" s="316"/>
      <c r="B106" s="2056"/>
      <c r="C106" s="2057"/>
      <c r="D106" s="2057"/>
      <c r="E106" s="2057"/>
      <c r="F106" s="2057"/>
      <c r="G106" s="2057"/>
      <c r="H106" s="2057"/>
      <c r="I106" s="2058"/>
    </row>
    <row r="107" spans="1:9" s="181" customFormat="1" ht="11.25" customHeight="1" x14ac:dyDescent="0.2">
      <c r="A107" s="316"/>
      <c r="B107" s="2056"/>
      <c r="C107" s="2057"/>
      <c r="D107" s="2057"/>
      <c r="E107" s="2057"/>
      <c r="F107" s="2057"/>
      <c r="G107" s="2057"/>
      <c r="H107" s="2057"/>
      <c r="I107" s="2058"/>
    </row>
    <row r="108" spans="1:9" s="181" customFormat="1" ht="11.25" customHeight="1" x14ac:dyDescent="0.2">
      <c r="A108" s="316"/>
      <c r="B108" s="2056"/>
      <c r="C108" s="2057"/>
      <c r="D108" s="2057"/>
      <c r="E108" s="2057"/>
      <c r="F108" s="2057"/>
      <c r="G108" s="2057"/>
      <c r="H108" s="2057"/>
      <c r="I108" s="2058"/>
    </row>
    <row r="109" spans="1:9" s="181" customFormat="1" ht="11.25" customHeight="1" x14ac:dyDescent="0.2">
      <c r="A109" s="316"/>
      <c r="B109" s="2056"/>
      <c r="C109" s="2057"/>
      <c r="D109" s="2057"/>
      <c r="E109" s="2057"/>
      <c r="F109" s="2057"/>
      <c r="G109" s="2057"/>
      <c r="H109" s="2057"/>
      <c r="I109" s="2058"/>
    </row>
    <row r="110" spans="1:9" s="181" customFormat="1" ht="11.25" customHeight="1" x14ac:dyDescent="0.2">
      <c r="A110" s="316"/>
      <c r="B110" s="2056"/>
      <c r="C110" s="2057"/>
      <c r="D110" s="2057"/>
      <c r="E110" s="2057"/>
      <c r="F110" s="2057"/>
      <c r="G110" s="2057"/>
      <c r="H110" s="2057"/>
      <c r="I110" s="2058"/>
    </row>
    <row r="111" spans="1:9" s="181" customFormat="1" ht="11.25" customHeight="1" x14ac:dyDescent="0.2">
      <c r="A111" s="316"/>
      <c r="B111" s="2056"/>
      <c r="C111" s="2057"/>
      <c r="D111" s="2057"/>
      <c r="E111" s="2057"/>
      <c r="F111" s="2057"/>
      <c r="G111" s="2057"/>
      <c r="H111" s="2057"/>
      <c r="I111" s="2058"/>
    </row>
    <row r="112" spans="1:9" s="181" customFormat="1" ht="11.25" customHeight="1" x14ac:dyDescent="0.2">
      <c r="A112" s="316"/>
      <c r="B112" s="2059"/>
      <c r="C112" s="2060"/>
      <c r="D112" s="2060"/>
      <c r="E112" s="2060"/>
      <c r="F112" s="2060"/>
      <c r="G112" s="2060"/>
      <c r="H112" s="2060"/>
      <c r="I112" s="206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2" t="s">
        <v>2065</v>
      </c>
      <c r="D114" s="2062"/>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3" t="s">
        <v>1330</v>
      </c>
      <c r="D117" s="2064"/>
      <c r="E117" s="2065"/>
      <c r="F117" s="2065"/>
      <c r="G117" s="2065"/>
      <c r="H117" s="2065"/>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1906</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8" t="str">
        <f>'Single Audit Cover'!A7</f>
        <v>Shawnee CUSD 84</v>
      </c>
      <c r="C1" s="2459"/>
      <c r="D1" s="2459"/>
      <c r="E1" s="2459"/>
      <c r="F1" s="2459"/>
      <c r="G1" s="2459"/>
      <c r="H1" s="2459"/>
      <c r="I1" s="2459"/>
      <c r="J1" s="1406"/>
    </row>
    <row r="2" spans="2:10" s="317" customFormat="1" ht="12.75" customHeight="1" x14ac:dyDescent="0.2">
      <c r="B2" s="2460">
        <f>'Single Audit Cover'!E7</f>
        <v>30091084026</v>
      </c>
      <c r="C2" s="2461"/>
      <c r="D2" s="2461"/>
      <c r="E2" s="2461"/>
      <c r="F2" s="2461"/>
      <c r="G2" s="2461"/>
      <c r="H2" s="2461"/>
      <c r="I2" s="2461"/>
      <c r="J2" s="1406"/>
    </row>
    <row r="3" spans="2:10" s="317" customFormat="1" ht="12.75" customHeight="1" x14ac:dyDescent="0.2">
      <c r="B3" s="2462" t="s">
        <v>1285</v>
      </c>
      <c r="C3" s="2463"/>
      <c r="D3" s="2463"/>
      <c r="E3" s="2463"/>
      <c r="F3" s="2463"/>
      <c r="G3" s="2463"/>
      <c r="H3" s="2463"/>
      <c r="I3" s="2463"/>
      <c r="J3" s="1407"/>
    </row>
    <row r="4" spans="2:10" s="317" customFormat="1" ht="12.75" customHeight="1" x14ac:dyDescent="0.2">
      <c r="B4" s="2462" t="str">
        <f>'Single Audit Cover'!A4</f>
        <v>Year Ending June 30, 2019</v>
      </c>
      <c r="C4" s="2463"/>
      <c r="D4" s="2463"/>
      <c r="E4" s="2463"/>
      <c r="F4" s="2463"/>
      <c r="G4" s="2463"/>
      <c r="H4" s="2463"/>
      <c r="I4" s="2463"/>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2" t="s">
        <v>1284</v>
      </c>
      <c r="C7" s="2463"/>
      <c r="D7" s="2463"/>
      <c r="E7" s="2463"/>
      <c r="F7" s="2463"/>
      <c r="G7" s="2463"/>
      <c r="H7" s="2463"/>
      <c r="I7" s="2463"/>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4"/>
      <c r="D11" s="2464"/>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5"/>
      <c r="E29" s="2465"/>
      <c r="F29" s="2465"/>
      <c r="G29" s="2465"/>
      <c r="H29" s="2465"/>
      <c r="I29" s="2465"/>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6" t="s">
        <v>1751</v>
      </c>
      <c r="D37" s="2467"/>
      <c r="E37" s="2467"/>
      <c r="F37" s="2468"/>
      <c r="G37" s="2466" t="s">
        <v>1592</v>
      </c>
      <c r="H37" s="2467"/>
      <c r="I37" s="2468"/>
    </row>
    <row r="38" spans="2:9" ht="16.5" customHeight="1" x14ac:dyDescent="0.2">
      <c r="B38" s="1428"/>
      <c r="C38" s="2454"/>
      <c r="D38" s="2455"/>
      <c r="E38" s="2455"/>
      <c r="F38" s="2456"/>
      <c r="G38" s="2469"/>
      <c r="H38" s="2470"/>
      <c r="I38" s="2471"/>
    </row>
    <row r="39" spans="2:9" ht="16.5" customHeight="1" x14ac:dyDescent="0.2">
      <c r="B39" s="1428"/>
      <c r="C39" s="2454"/>
      <c r="D39" s="2455"/>
      <c r="E39" s="2455"/>
      <c r="F39" s="2456"/>
      <c r="G39" s="2457"/>
      <c r="H39" s="2457"/>
      <c r="I39" s="2457"/>
    </row>
    <row r="40" spans="2:9" ht="16.5" customHeight="1" x14ac:dyDescent="0.2">
      <c r="B40" s="1428"/>
      <c r="C40" s="2454"/>
      <c r="D40" s="2455"/>
      <c r="E40" s="2455"/>
      <c r="F40" s="2456"/>
      <c r="G40" s="2457"/>
      <c r="H40" s="2457"/>
      <c r="I40" s="2457"/>
    </row>
    <row r="41" spans="2:9" ht="16.5" customHeight="1" x14ac:dyDescent="0.2">
      <c r="B41" s="1428"/>
      <c r="C41" s="2454"/>
      <c r="D41" s="2455"/>
      <c r="E41" s="2455"/>
      <c r="F41" s="2456"/>
      <c r="G41" s="2457"/>
      <c r="H41" s="2457"/>
      <c r="I41" s="2457"/>
    </row>
    <row r="42" spans="2:9" ht="16.5" customHeight="1" x14ac:dyDescent="0.2">
      <c r="B42" s="1428"/>
      <c r="C42" s="2454"/>
      <c r="D42" s="2455"/>
      <c r="E42" s="2455"/>
      <c r="F42" s="2456"/>
      <c r="G42" s="2457"/>
      <c r="H42" s="2457"/>
      <c r="I42" s="2457"/>
    </row>
    <row r="43" spans="2:9" ht="16.5" customHeight="1" x14ac:dyDescent="0.2">
      <c r="B43" s="1428"/>
      <c r="C43" s="2447" t="s">
        <v>1593</v>
      </c>
      <c r="D43" s="2448"/>
      <c r="E43" s="2448"/>
      <c r="F43" s="2449"/>
      <c r="G43" s="2450">
        <f>SUM(G38:I42)</f>
        <v>0</v>
      </c>
      <c r="H43" s="2450"/>
      <c r="I43" s="2450"/>
    </row>
    <row r="44" spans="2:9" ht="12.75" customHeight="1" x14ac:dyDescent="0.2"/>
    <row r="45" spans="2:9" ht="12.75" customHeight="1" x14ac:dyDescent="0.2">
      <c r="B45" s="1419" t="s">
        <v>1841</v>
      </c>
      <c r="D45" s="2451">
        <v>0</v>
      </c>
      <c r="E45" s="2452"/>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53"/>
      <c r="F49" s="2453"/>
      <c r="G49" s="2453"/>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8" t="str">
        <f>'Single Audit Cover'!A7</f>
        <v>Shawnee CUSD 84</v>
      </c>
      <c r="C1" s="2458"/>
      <c r="D1" s="2458"/>
      <c r="E1" s="2458"/>
      <c r="F1" s="2458"/>
      <c r="G1" s="2458"/>
      <c r="H1" s="2458"/>
      <c r="I1" s="2458"/>
      <c r="J1" s="2458"/>
      <c r="K1" s="2458"/>
      <c r="L1" s="1371"/>
      <c r="M1" s="1371"/>
    </row>
    <row r="2" spans="1:13" ht="12" customHeight="1" x14ac:dyDescent="0.2">
      <c r="B2" s="2460">
        <f>'Single Audit Cover'!E7</f>
        <v>30091084026</v>
      </c>
      <c r="C2" s="2460"/>
      <c r="D2" s="2460"/>
      <c r="E2" s="2460"/>
      <c r="F2" s="2460"/>
      <c r="G2" s="2460"/>
      <c r="H2" s="2460"/>
      <c r="I2" s="2460"/>
      <c r="J2" s="2460"/>
      <c r="K2" s="2460"/>
      <c r="L2" s="1372"/>
      <c r="M2" s="1373"/>
    </row>
    <row r="3" spans="1:13" ht="10.35" customHeight="1" x14ac:dyDescent="0.2">
      <c r="B3" s="2474" t="s">
        <v>1285</v>
      </c>
      <c r="C3" s="2474"/>
      <c r="D3" s="2474"/>
      <c r="E3" s="2474"/>
      <c r="F3" s="2474"/>
      <c r="G3" s="2474"/>
      <c r="H3" s="2474"/>
      <c r="I3" s="2474"/>
      <c r="J3" s="2474"/>
      <c r="K3" s="2474"/>
      <c r="L3" s="1374"/>
      <c r="M3" s="1374"/>
    </row>
    <row r="4" spans="1:13" ht="14.25" customHeight="1" x14ac:dyDescent="0.2">
      <c r="B4" s="2475" t="str">
        <f>'Single Audit Cover'!A4</f>
        <v>Year Ending June 30, 2019</v>
      </c>
      <c r="C4" s="2475"/>
      <c r="D4" s="2475"/>
      <c r="E4" s="2475"/>
      <c r="F4" s="2475"/>
      <c r="G4" s="2475"/>
      <c r="H4" s="2475"/>
      <c r="I4" s="2475"/>
      <c r="J4" s="2475"/>
      <c r="K4" s="2475"/>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5" t="s">
        <v>1296</v>
      </c>
      <c r="C7" s="2475"/>
      <c r="D7" s="2476"/>
      <c r="E7" s="2476"/>
      <c r="F7" s="2476"/>
      <c r="G7" s="2476"/>
      <c r="H7" s="2476"/>
      <c r="I7" s="2476"/>
      <c r="J7" s="2476"/>
      <c r="K7" s="2476"/>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3"/>
      <c r="C14" s="2473"/>
      <c r="D14" s="2473"/>
      <c r="E14" s="2473"/>
      <c r="F14" s="2473"/>
      <c r="G14" s="2473"/>
      <c r="H14" s="2473"/>
      <c r="I14" s="2473"/>
      <c r="J14" s="2473"/>
      <c r="K14" s="2473"/>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3"/>
      <c r="C17" s="2473"/>
      <c r="D17" s="2473"/>
      <c r="E17" s="2473"/>
      <c r="F17" s="2473"/>
      <c r="G17" s="2473"/>
      <c r="H17" s="2473"/>
      <c r="I17" s="2473"/>
      <c r="J17" s="2473"/>
      <c r="K17" s="2473"/>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7"/>
      <c r="C20" s="2477"/>
      <c r="D20" s="2473"/>
      <c r="E20" s="2473"/>
      <c r="F20" s="2473"/>
      <c r="G20" s="2473"/>
      <c r="H20" s="2473"/>
      <c r="I20" s="2473"/>
      <c r="J20" s="2473"/>
      <c r="K20" s="2473"/>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3"/>
      <c r="C23" s="2473"/>
      <c r="D23" s="2473"/>
      <c r="E23" s="2473"/>
      <c r="F23" s="2473"/>
      <c r="G23" s="2473"/>
      <c r="H23" s="2473"/>
      <c r="I23" s="2473"/>
      <c r="J23" s="2473"/>
      <c r="K23" s="2473"/>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3"/>
      <c r="C26" s="2473"/>
      <c r="D26" s="2473"/>
      <c r="E26" s="2473"/>
      <c r="F26" s="2473"/>
      <c r="G26" s="2473"/>
      <c r="H26" s="2473"/>
      <c r="I26" s="2473"/>
      <c r="J26" s="2473"/>
      <c r="K26" s="2473"/>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2"/>
      <c r="C29" s="2472"/>
      <c r="D29" s="2473"/>
      <c r="E29" s="2473"/>
      <c r="F29" s="2473"/>
      <c r="G29" s="2473"/>
      <c r="H29" s="2473"/>
      <c r="I29" s="2473"/>
      <c r="J29" s="2473"/>
      <c r="K29" s="2473"/>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2"/>
      <c r="C32" s="2472"/>
      <c r="D32" s="2473"/>
      <c r="E32" s="2473"/>
      <c r="F32" s="2473"/>
      <c r="G32" s="2473"/>
      <c r="H32" s="2473"/>
      <c r="I32" s="2473"/>
      <c r="J32" s="2473"/>
      <c r="K32" s="2473"/>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1" t="str">
        <f>'Single Audit Cover'!A7</f>
        <v>Shawnee CUSD 84</v>
      </c>
      <c r="C1" s="2481"/>
      <c r="D1" s="2481"/>
      <c r="E1" s="2481"/>
      <c r="F1" s="2481"/>
      <c r="G1" s="2481"/>
      <c r="H1" s="2481"/>
      <c r="I1" s="2481"/>
      <c r="J1" s="2481"/>
      <c r="K1" s="2481"/>
      <c r="L1" s="1449"/>
    </row>
    <row r="2" spans="1:12" ht="12.75" customHeight="1" x14ac:dyDescent="0.2">
      <c r="B2" s="2482">
        <f>'Single Audit Cover'!E7</f>
        <v>30091084026</v>
      </c>
      <c r="C2" s="2482"/>
      <c r="D2" s="2482"/>
      <c r="E2" s="2482"/>
      <c r="F2" s="2482"/>
      <c r="G2" s="2482"/>
      <c r="H2" s="2482"/>
      <c r="I2" s="2482"/>
      <c r="J2" s="2482"/>
      <c r="K2" s="2482"/>
      <c r="L2" s="1450"/>
    </row>
    <row r="3" spans="1:12" ht="12.75" customHeight="1" x14ac:dyDescent="0.2">
      <c r="B3" s="2474" t="s">
        <v>1285</v>
      </c>
      <c r="C3" s="2474"/>
      <c r="D3" s="2474"/>
      <c r="E3" s="2474"/>
      <c r="F3" s="2474"/>
      <c r="G3" s="2474"/>
      <c r="H3" s="2474"/>
      <c r="I3" s="2474"/>
      <c r="J3" s="2474"/>
      <c r="K3" s="2474"/>
      <c r="L3" s="1374"/>
    </row>
    <row r="4" spans="1:12" ht="12.75" customHeight="1" x14ac:dyDescent="0.2">
      <c r="B4" s="2474" t="str">
        <f>'Single Audit Cover'!A4</f>
        <v>Year Ending June 30, 2019</v>
      </c>
      <c r="C4" s="2474"/>
      <c r="D4" s="2474"/>
      <c r="E4" s="2474"/>
      <c r="F4" s="2474"/>
      <c r="G4" s="2474"/>
      <c r="H4" s="2474"/>
      <c r="I4" s="2474"/>
      <c r="J4" s="2474"/>
      <c r="K4" s="2474"/>
      <c r="L4" s="1374"/>
    </row>
    <row r="5" spans="1:12" ht="5.25" customHeight="1" x14ac:dyDescent="0.2">
      <c r="B5" s="1257" t="s">
        <v>1169</v>
      </c>
      <c r="C5" s="1257"/>
      <c r="L5" s="322"/>
    </row>
    <row r="6" spans="1:12" ht="30.75" customHeight="1" x14ac:dyDescent="0.2">
      <c r="A6" s="322"/>
      <c r="B6" s="2483" t="s">
        <v>1308</v>
      </c>
      <c r="C6" s="2483"/>
      <c r="D6" s="2483"/>
      <c r="E6" s="2483"/>
      <c r="F6" s="2483"/>
      <c r="G6" s="2483"/>
      <c r="H6" s="2483"/>
      <c r="I6" s="2483"/>
      <c r="J6" s="2483"/>
      <c r="K6" s="2483"/>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1991</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5"/>
      <c r="G12" s="2465"/>
      <c r="H12" s="2465"/>
      <c r="I12" s="2465"/>
      <c r="J12" s="2465"/>
      <c r="K12" s="2465"/>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78"/>
      <c r="E14" s="2478"/>
      <c r="F14" s="2478"/>
      <c r="H14" s="1459" t="s">
        <v>1303</v>
      </c>
      <c r="I14" s="2479"/>
      <c r="J14" s="2479"/>
      <c r="K14" s="2479"/>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79"/>
      <c r="E16" s="2479"/>
      <c r="F16" s="2479"/>
      <c r="G16" s="2479"/>
      <c r="H16" s="2479"/>
      <c r="I16" s="2479"/>
      <c r="J16" s="2479"/>
      <c r="K16" s="2479"/>
      <c r="L16" s="322"/>
    </row>
    <row r="17" spans="2:12" ht="13.5" customHeight="1" x14ac:dyDescent="0.2">
      <c r="B17" s="1384" t="s">
        <v>1301</v>
      </c>
      <c r="C17" s="1384"/>
      <c r="D17" s="2480"/>
      <c r="E17" s="2480"/>
      <c r="F17" s="2480"/>
      <c r="G17" s="2480"/>
      <c r="H17" s="2480"/>
      <c r="I17" s="2480"/>
      <c r="J17" s="2480"/>
      <c r="K17" s="2480"/>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3"/>
      <c r="C20" s="2473"/>
      <c r="D20" s="2473"/>
      <c r="E20" s="2473"/>
      <c r="F20" s="2473"/>
      <c r="G20" s="2473"/>
      <c r="H20" s="2473"/>
      <c r="I20" s="2473"/>
      <c r="J20" s="2473"/>
      <c r="K20" s="2473"/>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3"/>
      <c r="C23" s="2473"/>
      <c r="D23" s="2473"/>
      <c r="E23" s="2473"/>
      <c r="F23" s="2473"/>
      <c r="G23" s="2473"/>
      <c r="H23" s="2473"/>
      <c r="I23" s="2473"/>
      <c r="J23" s="2473"/>
      <c r="K23" s="2473"/>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3"/>
      <c r="C26" s="2473"/>
      <c r="D26" s="2473"/>
      <c r="E26" s="2473"/>
      <c r="F26" s="2473"/>
      <c r="G26" s="2473"/>
      <c r="H26" s="2473"/>
      <c r="I26" s="2473"/>
      <c r="J26" s="2473"/>
      <c r="K26" s="2473"/>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3"/>
      <c r="C29" s="2473"/>
      <c r="D29" s="2473"/>
      <c r="E29" s="2473"/>
      <c r="F29" s="2473"/>
      <c r="G29" s="2473"/>
      <c r="H29" s="2473"/>
      <c r="I29" s="2473"/>
      <c r="J29" s="2473"/>
      <c r="K29" s="2473"/>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3"/>
      <c r="C32" s="2473"/>
      <c r="D32" s="2473"/>
      <c r="E32" s="2473"/>
      <c r="F32" s="2473"/>
      <c r="G32" s="2473"/>
      <c r="H32" s="2473"/>
      <c r="I32" s="2473"/>
      <c r="J32" s="2473"/>
      <c r="K32" s="2473"/>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3"/>
      <c r="C35" s="2473"/>
      <c r="D35" s="2473"/>
      <c r="E35" s="2473"/>
      <c r="F35" s="2473"/>
      <c r="G35" s="2473"/>
      <c r="H35" s="2473"/>
      <c r="I35" s="2473"/>
      <c r="J35" s="2473"/>
      <c r="K35" s="2473"/>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3"/>
      <c r="C38" s="2473"/>
      <c r="D38" s="2473"/>
      <c r="E38" s="2473"/>
      <c r="F38" s="2473"/>
      <c r="G38" s="2473"/>
      <c r="H38" s="2473"/>
      <c r="I38" s="2473"/>
      <c r="J38" s="2473"/>
      <c r="K38" s="2473"/>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3"/>
      <c r="C41" s="2473"/>
      <c r="D41" s="2473"/>
      <c r="E41" s="2473"/>
      <c r="F41" s="2473"/>
      <c r="G41" s="2473"/>
      <c r="H41" s="2473"/>
      <c r="I41" s="2473"/>
      <c r="J41" s="2473"/>
      <c r="K41" s="2473"/>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8" t="str">
        <f>'Single Audit Cover'!A7</f>
        <v>Shawnee CUSD 84</v>
      </c>
      <c r="C1" s="2458"/>
      <c r="D1" s="2458"/>
      <c r="E1" s="1469"/>
    </row>
    <row r="2" spans="2:5" s="1279" customFormat="1" ht="12.75" customHeight="1" x14ac:dyDescent="0.2">
      <c r="B2" s="2460">
        <f>'Single Audit Cover'!E7</f>
        <v>30091084026</v>
      </c>
      <c r="C2" s="2460"/>
      <c r="D2" s="2460"/>
      <c r="E2" s="1470"/>
    </row>
    <row r="3" spans="2:5" ht="12.75" customHeight="1" x14ac:dyDescent="0.2">
      <c r="B3" s="2474" t="s">
        <v>1766</v>
      </c>
      <c r="C3" s="2474"/>
      <c r="D3" s="2474"/>
      <c r="E3" s="1271"/>
    </row>
    <row r="4" spans="2:5" s="1279" customFormat="1" ht="12.75" customHeight="1" x14ac:dyDescent="0.2">
      <c r="B4" s="2484" t="str">
        <f>'Single Audit Cover'!A4</f>
        <v>Year Ending June 30, 2019</v>
      </c>
      <c r="C4" s="2484"/>
      <c r="D4" s="2484"/>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27" colorId="8" zoomScale="110" zoomScaleNormal="110" workbookViewId="0">
      <selection activeCell="H8" sqref="H8"/>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2" t="s">
        <v>386</v>
      </c>
      <c r="B1" s="2082"/>
      <c r="C1" s="2082"/>
      <c r="D1" s="2082"/>
      <c r="E1" s="2082"/>
      <c r="F1" s="2082"/>
      <c r="G1" s="2082"/>
      <c r="H1" s="2082"/>
      <c r="I1" s="2082"/>
      <c r="J1" s="2082"/>
      <c r="K1" s="2082"/>
      <c r="L1" s="2082"/>
      <c r="M1" s="2082"/>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60726518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f>2.09/100</f>
        <v>2.0899999999999998E-2</v>
      </c>
      <c r="E10" s="356" t="s">
        <v>1005</v>
      </c>
      <c r="F10" s="355">
        <f>0.5/100</f>
        <v>5.0000000000000001E-3</v>
      </c>
      <c r="G10" s="356" t="s">
        <v>1005</v>
      </c>
      <c r="H10" s="355">
        <f>0.2/100</f>
        <v>2E-3</v>
      </c>
      <c r="I10" s="356" t="s">
        <v>1006</v>
      </c>
      <c r="J10" s="1732">
        <f>ROUND(D10+F10+H10,5)</f>
        <v>2.7900000000000001E-2</v>
      </c>
      <c r="K10" s="222"/>
      <c r="L10" s="355">
        <f>0.05/100</f>
        <v>5.0000000000000001E-4</v>
      </c>
      <c r="M10" s="222"/>
    </row>
    <row r="11" spans="1:14" ht="7.5" customHeight="1" x14ac:dyDescent="0.2">
      <c r="B11" s="222"/>
      <c r="C11" s="222"/>
      <c r="D11" s="2092" t="str">
        <f>IF(SUM(J10)&lt;=0.0999999,"","Enter the Tax Rates by moving the decimal two places to the left.")</f>
        <v/>
      </c>
      <c r="E11" s="2093"/>
      <c r="F11" s="2093"/>
      <c r="G11" s="2093"/>
      <c r="H11" s="2093"/>
      <c r="I11" s="2093"/>
      <c r="J11" s="209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4014343</v>
      </c>
      <c r="E16" s="356"/>
      <c r="F16" s="1733">
        <f>SUM('Acct Summary 7-8'!C17,'Acct Summary 7-8'!D17,'Acct Summary 7-8'!F17)</f>
        <v>4286054</v>
      </c>
      <c r="G16" s="356"/>
      <c r="H16" s="1733">
        <f>SUM(D16-F16)</f>
        <v>-271711</v>
      </c>
      <c r="I16" s="222"/>
      <c r="J16" s="1733">
        <f>SUM('Acct Summary 7-8'!C81,'Acct Summary 7-8'!D81,'Acct Summary 7-8'!F81,'Acct Summary 7-8'!I81)</f>
        <v>1646347</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f>IF(B31="X",(J7*0.069),IF(B32="X",(J7*0.138),"Enter x in a.or b."))</f>
        <v>8380259.4840000011</v>
      </c>
      <c r="I31" s="368"/>
      <c r="J31" s="222"/>
      <c r="K31" s="222"/>
      <c r="L31" s="222"/>
      <c r="M31" s="222"/>
    </row>
    <row r="32" spans="1:13" ht="13.35" customHeight="1" x14ac:dyDescent="0.2">
      <c r="B32" s="369" t="s">
        <v>2064</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859600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t="s">
        <v>2064</v>
      </c>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t="s">
        <v>2064</v>
      </c>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3" t="s">
        <v>2091</v>
      </c>
      <c r="C54" s="2084"/>
      <c r="D54" s="2084"/>
      <c r="E54" s="2084"/>
      <c r="F54" s="2084"/>
      <c r="G54" s="2084"/>
      <c r="H54" s="2084"/>
      <c r="I54" s="2084"/>
      <c r="J54" s="2084"/>
      <c r="K54" s="2084"/>
      <c r="L54" s="2085"/>
      <c r="M54" s="380"/>
    </row>
    <row r="55" spans="1:13" ht="12.75" customHeight="1" x14ac:dyDescent="0.2">
      <c r="B55" s="2086"/>
      <c r="C55" s="2087"/>
      <c r="D55" s="2087"/>
      <c r="E55" s="2087"/>
      <c r="F55" s="2087"/>
      <c r="G55" s="2087"/>
      <c r="H55" s="2087"/>
      <c r="I55" s="2087"/>
      <c r="J55" s="2087"/>
      <c r="K55" s="2087"/>
      <c r="L55" s="2088"/>
      <c r="M55" s="380"/>
    </row>
    <row r="56" spans="1:13" ht="12.75" customHeight="1" x14ac:dyDescent="0.2">
      <c r="B56" s="2086"/>
      <c r="C56" s="2087"/>
      <c r="D56" s="2087"/>
      <c r="E56" s="2087"/>
      <c r="F56" s="2087"/>
      <c r="G56" s="2087"/>
      <c r="H56" s="2087"/>
      <c r="I56" s="2087"/>
      <c r="J56" s="2087"/>
      <c r="K56" s="2087"/>
      <c r="L56" s="2088"/>
      <c r="M56" s="222"/>
    </row>
    <row r="57" spans="1:13" ht="12.75" customHeight="1" x14ac:dyDescent="0.2">
      <c r="B57" s="2086"/>
      <c r="C57" s="2087"/>
      <c r="D57" s="2087"/>
      <c r="E57" s="2087"/>
      <c r="F57" s="2087"/>
      <c r="G57" s="2087"/>
      <c r="H57" s="2087"/>
      <c r="I57" s="2087"/>
      <c r="J57" s="2087"/>
      <c r="K57" s="2087"/>
      <c r="L57" s="2088"/>
      <c r="M57" s="222"/>
    </row>
    <row r="58" spans="1:13" x14ac:dyDescent="0.2">
      <c r="B58" s="2089"/>
      <c r="C58" s="2090"/>
      <c r="D58" s="2090"/>
      <c r="E58" s="2090"/>
      <c r="F58" s="2090"/>
      <c r="G58" s="2090"/>
      <c r="H58" s="2090"/>
      <c r="I58" s="2090"/>
      <c r="J58" s="2090"/>
      <c r="K58" s="2090"/>
      <c r="L58" s="209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4"/>
      <c r="D61" s="209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7"/>
      <c r="B1" s="2098"/>
      <c r="C1" s="2098"/>
      <c r="D1" s="384"/>
      <c r="E1" s="384"/>
      <c r="F1" s="384"/>
      <c r="G1" s="384"/>
      <c r="H1" s="384"/>
      <c r="I1" s="384"/>
      <c r="J1" s="384"/>
      <c r="K1" s="384"/>
      <c r="L1" s="384"/>
      <c r="M1" s="384"/>
      <c r="N1" s="384"/>
      <c r="O1" s="2097"/>
      <c r="P1" s="2098"/>
      <c r="Q1" s="2098"/>
    </row>
    <row r="2" spans="1:18" ht="15" x14ac:dyDescent="0.2">
      <c r="A2" s="2101" t="s">
        <v>556</v>
      </c>
      <c r="B2" s="2101"/>
      <c r="C2" s="2101"/>
      <c r="D2" s="2101"/>
      <c r="E2" s="2101"/>
      <c r="F2" s="2101"/>
      <c r="G2" s="2101"/>
      <c r="H2" s="2101"/>
      <c r="I2" s="2101"/>
      <c r="J2" s="2101"/>
      <c r="K2" s="2101"/>
      <c r="L2" s="2101"/>
      <c r="M2" s="2101"/>
      <c r="N2" s="2101"/>
      <c r="O2" s="2101"/>
      <c r="P2" s="2101"/>
      <c r="Q2" s="2101"/>
      <c r="R2" s="2101"/>
    </row>
    <row r="3" spans="1:18" ht="12.75" x14ac:dyDescent="0.2">
      <c r="A3" s="2102" t="s">
        <v>1413</v>
      </c>
      <c r="B3" s="2102"/>
      <c r="C3" s="2102"/>
      <c r="D3" s="2102"/>
      <c r="E3" s="2102"/>
      <c r="F3" s="2102"/>
      <c r="G3" s="2102"/>
      <c r="H3" s="2102"/>
      <c r="I3" s="2102"/>
      <c r="J3" s="2102"/>
      <c r="K3" s="2102"/>
      <c r="L3" s="2102"/>
      <c r="M3" s="2102"/>
      <c r="N3" s="2102"/>
      <c r="O3" s="2102"/>
      <c r="P3" s="2102"/>
      <c r="Q3" s="2102"/>
      <c r="R3" s="2102"/>
    </row>
    <row r="4" spans="1:18" x14ac:dyDescent="0.2">
      <c r="A4" s="2103" t="s">
        <v>1554</v>
      </c>
      <c r="B4" s="2103"/>
      <c r="C4" s="2103"/>
      <c r="D4" s="2103"/>
      <c r="E4" s="2103"/>
      <c r="F4" s="2103"/>
      <c r="G4" s="2103"/>
      <c r="H4" s="2103"/>
      <c r="I4" s="2103"/>
      <c r="J4" s="2103"/>
      <c r="K4" s="2103"/>
      <c r="L4" s="2103"/>
      <c r="M4" s="2103"/>
      <c r="N4" s="2103"/>
      <c r="O4" s="2103"/>
      <c r="P4" s="2103"/>
      <c r="Q4" s="2103"/>
      <c r="R4" s="210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Shawnee CUSD 84</v>
      </c>
      <c r="E7" s="391"/>
      <c r="G7" s="252"/>
      <c r="H7" s="387"/>
      <c r="I7" s="387"/>
      <c r="J7" s="387"/>
      <c r="K7" s="387"/>
      <c r="L7" s="329"/>
      <c r="M7" s="329"/>
      <c r="N7" s="329"/>
      <c r="O7" s="329"/>
      <c r="P7" s="329"/>
    </row>
    <row r="8" spans="1:18" ht="12.75" x14ac:dyDescent="0.2">
      <c r="A8" s="329"/>
      <c r="B8" s="329"/>
      <c r="C8" s="389" t="s">
        <v>1125</v>
      </c>
      <c r="D8" s="392">
        <f>COVER!A13</f>
        <v>30091084026</v>
      </c>
      <c r="E8" s="393"/>
      <c r="G8" s="329"/>
      <c r="H8" s="329"/>
      <c r="I8" s="329"/>
      <c r="J8" s="329"/>
      <c r="K8" s="329"/>
      <c r="L8" s="329"/>
      <c r="M8" s="329"/>
      <c r="N8" s="329"/>
      <c r="O8" s="329"/>
      <c r="P8" s="329"/>
    </row>
    <row r="9" spans="1:18" ht="12.75" x14ac:dyDescent="0.2">
      <c r="A9" s="329"/>
      <c r="B9" s="329"/>
      <c r="C9" s="389" t="s">
        <v>713</v>
      </c>
      <c r="D9" s="394" t="str">
        <f>COVER!A15</f>
        <v>UNION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1646347</v>
      </c>
      <c r="I12" s="404"/>
      <c r="J12" s="404"/>
      <c r="K12" s="405">
        <f>TRUNC((H12/H13*100000),5)/100000</f>
        <v>0.41011617589999999</v>
      </c>
      <c r="L12" s="406"/>
      <c r="M12" s="360" t="s">
        <v>1144</v>
      </c>
      <c r="N12" s="360"/>
      <c r="O12" s="407">
        <v>0.35</v>
      </c>
      <c r="P12" s="218"/>
      <c r="Q12" s="218"/>
    </row>
    <row r="13" spans="1:18" s="408" customFormat="1" ht="12.75" x14ac:dyDescent="0.2">
      <c r="A13" s="218"/>
      <c r="B13" s="401"/>
      <c r="C13" s="2099" t="s">
        <v>1324</v>
      </c>
      <c r="D13" s="2100"/>
      <c r="E13" s="218"/>
      <c r="F13" s="409" t="s">
        <v>793</v>
      </c>
      <c r="G13" s="402"/>
      <c r="H13" s="403">
        <f>SUM('Acct Summary 7-8'!C8+'Acct Summary 7-8'!D8+'Acct Summary 7-8'!F8+'Acct Summary 7-8'!I8)+H14</f>
        <v>4014343</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4286054</v>
      </c>
      <c r="I17" s="404"/>
      <c r="J17" s="416"/>
      <c r="K17" s="405">
        <f>TRUNC((H17/H18*100000),5)/100000</f>
        <v>1.0676850483</v>
      </c>
      <c r="L17" s="406"/>
      <c r="M17" s="417" t="s">
        <v>1171</v>
      </c>
      <c r="O17" s="418" t="str">
        <f>IF(AND(O16="2", J20 &gt; 2),"1",IF(AND(O16 = "1", J20 &gt; 2),"2",IF(AND(O16="1", J20 &gt;1),"1","0")))</f>
        <v>0</v>
      </c>
      <c r="P17" s="218"/>
    </row>
    <row r="18" spans="1:18" s="408" customFormat="1" ht="11.25" x14ac:dyDescent="0.2">
      <c r="A18" s="218"/>
      <c r="B18" s="401"/>
      <c r="C18" s="2099" t="s">
        <v>1317</v>
      </c>
      <c r="D18" s="2100"/>
      <c r="E18" s="218"/>
      <c r="F18" s="419" t="s">
        <v>794</v>
      </c>
      <c r="G18" s="402"/>
      <c r="H18" s="403">
        <f>SUM('Acct Summary 7-8'!C8+'Acct Summary 7-8'!D8+'Acct Summary 7-8'!F8+'Acct Summary 7-8'!I8)+H19</f>
        <v>4014343</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4.581753</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096" t="s">
        <v>1412</v>
      </c>
      <c r="D24" s="2096"/>
      <c r="E24" s="218"/>
      <c r="F24" s="218" t="s">
        <v>445</v>
      </c>
      <c r="G24" s="402"/>
      <c r="H24" s="403">
        <f>SUM('Assets-Liab 5-6'!C4+'Assets-Liab 5-6'!D4+'Assets-Liab 5-6'!F4+'Assets-Liab 5-6'!I4+'Assets-Liab 5-6'!C5+'Assets-Liab 5-6'!D5+'Assets-Liab 5-6'!F5+'Assets-Liab 5-6'!I5)</f>
        <v>1646347</v>
      </c>
      <c r="I24" s="422"/>
      <c r="J24" s="422"/>
      <c r="K24" s="423">
        <f>TRUNC(((H24/H25*100000)/100000),2)</f>
        <v>138.28</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11905.70556</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1440129.3743700001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859600</v>
      </c>
      <c r="I32" s="420"/>
      <c r="J32" s="420"/>
      <c r="K32" s="423">
        <f>TRUNC(100-((((H32/H33*100))*100)/100),2)</f>
        <v>89.74</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8380259.4840000011</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3.55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22" activePane="bottomLeft" state="frozen"/>
      <selection pane="bottomLeft" activeCell="D39" sqref="D3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4"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5"/>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6" t="s">
        <v>973</v>
      </c>
      <c r="B3" s="2107"/>
      <c r="C3" s="1559"/>
      <c r="D3" s="1560"/>
      <c r="E3" s="1560"/>
      <c r="F3" s="1560"/>
      <c r="G3" s="1560"/>
      <c r="H3" s="1560"/>
      <c r="I3" s="1560"/>
      <c r="J3" s="1560"/>
      <c r="K3" s="1560"/>
      <c r="L3" s="1560"/>
      <c r="M3" s="1561"/>
      <c r="N3" s="1562"/>
    </row>
    <row r="4" spans="1:14" ht="13.5" customHeight="1" x14ac:dyDescent="0.2">
      <c r="A4" s="463" t="s">
        <v>1651</v>
      </c>
      <c r="B4" s="464"/>
      <c r="C4" s="465">
        <f>773502+10000</f>
        <v>783502</v>
      </c>
      <c r="D4" s="466">
        <v>35633</v>
      </c>
      <c r="E4" s="466">
        <f>76961+3401</f>
        <v>80362</v>
      </c>
      <c r="F4" s="466">
        <v>163199</v>
      </c>
      <c r="G4" s="466">
        <f>43943+55010</f>
        <v>98953</v>
      </c>
      <c r="H4" s="466">
        <v>106923</v>
      </c>
      <c r="I4" s="466">
        <v>664013</v>
      </c>
      <c r="J4" s="467">
        <v>542</v>
      </c>
      <c r="K4" s="466">
        <f>75881+1455</f>
        <v>77336</v>
      </c>
      <c r="L4" s="466">
        <v>51052</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783502</v>
      </c>
      <c r="D13" s="1737">
        <f t="shared" ref="D13:L13" si="0">SUM(D4:D12)</f>
        <v>35633</v>
      </c>
      <c r="E13" s="1737">
        <f t="shared" si="0"/>
        <v>80362</v>
      </c>
      <c r="F13" s="1737">
        <f t="shared" si="0"/>
        <v>163199</v>
      </c>
      <c r="G13" s="1737">
        <f t="shared" si="0"/>
        <v>98953</v>
      </c>
      <c r="H13" s="1737">
        <f t="shared" si="0"/>
        <v>106923</v>
      </c>
      <c r="I13" s="1737">
        <f t="shared" si="0"/>
        <v>664013</v>
      </c>
      <c r="J13" s="1737">
        <f t="shared" si="0"/>
        <v>542</v>
      </c>
      <c r="K13" s="1737">
        <f t="shared" si="0"/>
        <v>77336</v>
      </c>
      <c r="L13" s="1737">
        <f t="shared" si="0"/>
        <v>51052</v>
      </c>
      <c r="M13" s="468"/>
      <c r="N13" s="469"/>
    </row>
    <row r="14" spans="1:14" ht="18" customHeight="1" thickTop="1" x14ac:dyDescent="0.2">
      <c r="A14" s="2108" t="s">
        <v>147</v>
      </c>
      <c r="B14" s="2109"/>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v>0</v>
      </c>
      <c r="N15" s="484"/>
    </row>
    <row r="16" spans="1:14" s="485" customFormat="1" ht="12.75" customHeight="1" x14ac:dyDescent="0.2">
      <c r="A16" s="482" t="s">
        <v>1402</v>
      </c>
      <c r="B16" s="483">
        <v>220</v>
      </c>
      <c r="C16" s="477"/>
      <c r="D16" s="477"/>
      <c r="E16" s="477"/>
      <c r="F16" s="477"/>
      <c r="G16" s="477"/>
      <c r="H16" s="477"/>
      <c r="I16" s="477"/>
      <c r="J16" s="477"/>
      <c r="K16" s="477"/>
      <c r="L16" s="477"/>
      <c r="M16" s="467">
        <v>27700</v>
      </c>
      <c r="N16" s="484"/>
    </row>
    <row r="17" spans="1:14" s="485" customFormat="1" ht="12.75" customHeight="1" x14ac:dyDescent="0.2">
      <c r="A17" s="482" t="s">
        <v>1403</v>
      </c>
      <c r="B17" s="483">
        <v>230</v>
      </c>
      <c r="C17" s="477"/>
      <c r="D17" s="477"/>
      <c r="E17" s="477"/>
      <c r="F17" s="477"/>
      <c r="G17" s="477"/>
      <c r="H17" s="477"/>
      <c r="I17" s="477"/>
      <c r="J17" s="477"/>
      <c r="K17" s="477"/>
      <c r="L17" s="477"/>
      <c r="M17" s="467">
        <v>9007278</v>
      </c>
      <c r="N17" s="484"/>
    </row>
    <row r="18" spans="1:14" s="485" customFormat="1" ht="12.75" customHeight="1" x14ac:dyDescent="0.2">
      <c r="A18" s="482" t="s">
        <v>1404</v>
      </c>
      <c r="B18" s="483">
        <v>240</v>
      </c>
      <c r="C18" s="477"/>
      <c r="D18" s="477"/>
      <c r="E18" s="477"/>
      <c r="F18" s="477"/>
      <c r="G18" s="477"/>
      <c r="H18" s="477"/>
      <c r="I18" s="477"/>
      <c r="J18" s="477"/>
      <c r="K18" s="477"/>
      <c r="L18" s="477"/>
      <c r="M18" s="467">
        <v>2454587</v>
      </c>
      <c r="N18" s="484"/>
    </row>
    <row r="19" spans="1:14" s="485" customFormat="1" ht="12.75" customHeight="1" x14ac:dyDescent="0.2">
      <c r="A19" s="482" t="s">
        <v>1405</v>
      </c>
      <c r="B19" s="483">
        <v>250</v>
      </c>
      <c r="C19" s="477"/>
      <c r="D19" s="477"/>
      <c r="E19" s="477"/>
      <c r="F19" s="477"/>
      <c r="G19" s="477"/>
      <c r="H19" s="477"/>
      <c r="I19" s="477"/>
      <c r="J19" s="477"/>
      <c r="K19" s="477"/>
      <c r="L19" s="477"/>
      <c r="M19" s="467">
        <f>979911+44247+410628</f>
        <v>1434786</v>
      </c>
      <c r="N19" s="484"/>
    </row>
    <row r="20" spans="1:14" s="485" customFormat="1" ht="12.75" customHeight="1" x14ac:dyDescent="0.2">
      <c r="A20" s="482" t="s">
        <v>1406</v>
      </c>
      <c r="B20" s="483">
        <v>260</v>
      </c>
      <c r="C20" s="477"/>
      <c r="D20" s="477"/>
      <c r="E20" s="477"/>
      <c r="F20" s="477"/>
      <c r="G20" s="477"/>
      <c r="H20" s="477"/>
      <c r="I20" s="477"/>
      <c r="J20" s="477"/>
      <c r="K20" s="477"/>
      <c r="L20" s="477"/>
      <c r="M20" s="467">
        <v>125942</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80362</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779238</v>
      </c>
    </row>
    <row r="23" spans="1:14" ht="13.5" customHeight="1" thickBot="1" x14ac:dyDescent="0.25">
      <c r="A23" s="1736" t="s">
        <v>643</v>
      </c>
      <c r="B23" s="1741"/>
      <c r="C23" s="468"/>
      <c r="D23" s="468"/>
      <c r="E23" s="468"/>
      <c r="F23" s="468"/>
      <c r="G23" s="468"/>
      <c r="H23" s="468"/>
      <c r="I23" s="468"/>
      <c r="J23" s="468"/>
      <c r="K23" s="468"/>
      <c r="L23" s="468"/>
      <c r="M23" s="1688">
        <f>SUM(M15:M22)</f>
        <v>13050293</v>
      </c>
      <c r="N23" s="1688">
        <f>SUM(N21:N22)</f>
        <v>859600</v>
      </c>
    </row>
    <row r="24" spans="1:14" ht="18" customHeight="1" thickTop="1" x14ac:dyDescent="0.2">
      <c r="A24" s="2110" t="s">
        <v>598</v>
      </c>
      <c r="B24" s="2111"/>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51052</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51052</v>
      </c>
      <c r="M34" s="468"/>
      <c r="N34" s="480"/>
    </row>
    <row r="35" spans="1:14" ht="18" customHeight="1" thickTop="1" x14ac:dyDescent="0.2">
      <c r="A35" s="2112" t="s">
        <v>529</v>
      </c>
      <c r="B35" s="2113"/>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859600</v>
      </c>
    </row>
    <row r="37" spans="1:14" ht="13.5" thickBot="1" x14ac:dyDescent="0.25">
      <c r="A37" s="1736" t="s">
        <v>653</v>
      </c>
      <c r="B37" s="1741"/>
      <c r="C37" s="477"/>
      <c r="D37" s="477"/>
      <c r="E37" s="477"/>
      <c r="F37" s="477"/>
      <c r="G37" s="477"/>
      <c r="H37" s="477"/>
      <c r="I37" s="477"/>
      <c r="J37" s="477"/>
      <c r="K37" s="477"/>
      <c r="L37" s="480"/>
      <c r="M37" s="468"/>
      <c r="N37" s="1688">
        <f>SUM(N36:N36)</f>
        <v>859600</v>
      </c>
    </row>
    <row r="38" spans="1:14" s="329" customFormat="1" ht="13.5" customHeight="1" thickTop="1" x14ac:dyDescent="0.2">
      <c r="A38" s="496" t="s">
        <v>420</v>
      </c>
      <c r="B38" s="483">
        <v>714</v>
      </c>
      <c r="C38" s="466">
        <v>0</v>
      </c>
      <c r="D38" s="466">
        <v>0</v>
      </c>
      <c r="E38" s="466">
        <v>80362</v>
      </c>
      <c r="F38" s="466">
        <v>0</v>
      </c>
      <c r="G38" s="466">
        <v>98953</v>
      </c>
      <c r="H38" s="466">
        <v>106923</v>
      </c>
      <c r="I38" s="466">
        <v>0</v>
      </c>
      <c r="J38" s="467">
        <v>542</v>
      </c>
      <c r="K38" s="466">
        <v>77336</v>
      </c>
      <c r="L38" s="481">
        <v>0</v>
      </c>
      <c r="M38" s="497"/>
      <c r="N38" s="497"/>
    </row>
    <row r="39" spans="1:14" s="329" customFormat="1" ht="13.5" customHeight="1" x14ac:dyDescent="0.2">
      <c r="A39" s="496" t="s">
        <v>342</v>
      </c>
      <c r="B39" s="483">
        <v>730</v>
      </c>
      <c r="C39" s="466">
        <v>783502</v>
      </c>
      <c r="D39" s="466">
        <v>35633</v>
      </c>
      <c r="E39" s="466">
        <v>0</v>
      </c>
      <c r="F39" s="466">
        <v>163199</v>
      </c>
      <c r="G39" s="466">
        <v>0</v>
      </c>
      <c r="H39" s="466">
        <v>0</v>
      </c>
      <c r="I39" s="466">
        <v>664013</v>
      </c>
      <c r="J39" s="467">
        <v>0</v>
      </c>
      <c r="K39" s="466">
        <v>0</v>
      </c>
      <c r="L39" s="466">
        <v>0</v>
      </c>
      <c r="M39" s="497"/>
      <c r="N39" s="497"/>
    </row>
    <row r="40" spans="1:14" s="329" customFormat="1" ht="13.5" customHeight="1" x14ac:dyDescent="0.2">
      <c r="A40" s="498" t="s">
        <v>148</v>
      </c>
      <c r="B40" s="499"/>
      <c r="C40" s="500"/>
      <c r="D40" s="500"/>
      <c r="E40" s="500"/>
      <c r="F40" s="500"/>
      <c r="G40" s="500"/>
      <c r="H40" s="500"/>
      <c r="I40" s="500"/>
      <c r="J40" s="500"/>
      <c r="K40" s="500"/>
      <c r="L40" s="500"/>
      <c r="M40" s="467">
        <v>13050293</v>
      </c>
      <c r="N40" s="497"/>
    </row>
    <row r="41" spans="1:14" ht="13.5" customHeight="1" thickBot="1" x14ac:dyDescent="0.25">
      <c r="A41" s="1736" t="s">
        <v>655</v>
      </c>
      <c r="B41" s="1706"/>
      <c r="C41" s="1688">
        <f>(SUM(C34,C37,C38,C39))</f>
        <v>783502</v>
      </c>
      <c r="D41" s="1688">
        <f t="shared" ref="D41:L41" si="2">SUM(D34,D37,D38:D39)</f>
        <v>35633</v>
      </c>
      <c r="E41" s="1688">
        <f t="shared" si="2"/>
        <v>80362</v>
      </c>
      <c r="F41" s="1688">
        <f t="shared" si="2"/>
        <v>163199</v>
      </c>
      <c r="G41" s="1688">
        <f t="shared" si="2"/>
        <v>98953</v>
      </c>
      <c r="H41" s="1688">
        <f t="shared" si="2"/>
        <v>106923</v>
      </c>
      <c r="I41" s="1688">
        <f t="shared" si="2"/>
        <v>664013</v>
      </c>
      <c r="J41" s="1688">
        <f t="shared" si="2"/>
        <v>542</v>
      </c>
      <c r="K41" s="1688">
        <f t="shared" si="2"/>
        <v>77336</v>
      </c>
      <c r="L41" s="1688">
        <f t="shared" si="2"/>
        <v>51052</v>
      </c>
      <c r="M41" s="1688">
        <f>SUM(M40)</f>
        <v>13050293</v>
      </c>
      <c r="N41" s="1688">
        <f>SUM(N37)</f>
        <v>859600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&amp;L&amp;8&amp;F&amp;C&amp;8The accompanying Notes to Financial Statements are an integral part of this statement.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C9" sqref="C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2"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3"/>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4" t="s">
        <v>1175</v>
      </c>
      <c r="B3" s="2135"/>
      <c r="C3" s="1573"/>
      <c r="D3" s="1574"/>
      <c r="E3" s="1574"/>
      <c r="F3" s="1574"/>
      <c r="G3" s="1574"/>
      <c r="H3" s="1574"/>
      <c r="I3" s="1574"/>
      <c r="J3" s="1574"/>
      <c r="K3" s="1575"/>
      <c r="L3" s="506"/>
    </row>
    <row r="4" spans="1:13" ht="15.75" customHeight="1" x14ac:dyDescent="0.2">
      <c r="A4" s="1928" t="s">
        <v>1499</v>
      </c>
      <c r="B4" s="1929">
        <v>1000</v>
      </c>
      <c r="C4" s="1742">
        <f>'Revenues 9-14'!C109</f>
        <v>1769122</v>
      </c>
      <c r="D4" s="1742">
        <f>'Revenues 9-14'!D109</f>
        <v>339039</v>
      </c>
      <c r="E4" s="1742">
        <f>'Revenues 9-14'!E109</f>
        <v>537983</v>
      </c>
      <c r="F4" s="1742">
        <f>'Revenues 9-14'!F109</f>
        <v>125904</v>
      </c>
      <c r="G4" s="1742">
        <f>'Revenues 9-14'!G109</f>
        <v>72804</v>
      </c>
      <c r="H4" s="1742">
        <f>'Revenues 9-14'!H109</f>
        <v>77112</v>
      </c>
      <c r="I4" s="1742">
        <f>'Revenues 9-14'!I109</f>
        <v>34478</v>
      </c>
      <c r="J4" s="1742">
        <f>'Revenues 9-14'!J109</f>
        <v>284484</v>
      </c>
      <c r="K4" s="1742">
        <f>'Revenues 9-14'!K109</f>
        <v>31214</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943028</v>
      </c>
      <c r="D6" s="1743">
        <f>'Revenues 9-14'!D170</f>
        <v>0</v>
      </c>
      <c r="E6" s="1743">
        <f>'Revenues 9-14'!E170</f>
        <v>0</v>
      </c>
      <c r="F6" s="1743">
        <f>'Revenues 9-14'!F170</f>
        <v>270634</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532138</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3244288</v>
      </c>
      <c r="D8" s="1688">
        <f t="shared" ref="D8:K8" si="0">SUM(D4:D7)</f>
        <v>339039</v>
      </c>
      <c r="E8" s="1688">
        <f t="shared" si="0"/>
        <v>537983</v>
      </c>
      <c r="F8" s="1688">
        <f t="shared" si="0"/>
        <v>396538</v>
      </c>
      <c r="G8" s="1688">
        <f t="shared" si="0"/>
        <v>72804</v>
      </c>
      <c r="H8" s="1688">
        <f t="shared" si="0"/>
        <v>77112</v>
      </c>
      <c r="I8" s="1688">
        <f t="shared" si="0"/>
        <v>34478</v>
      </c>
      <c r="J8" s="1688">
        <f t="shared" si="0"/>
        <v>284484</v>
      </c>
      <c r="K8" s="1688">
        <f t="shared" si="0"/>
        <v>31214</v>
      </c>
      <c r="L8" s="347"/>
    </row>
    <row r="9" spans="1:13" ht="15.75" thickTop="1" x14ac:dyDescent="0.2">
      <c r="A9" s="514" t="s">
        <v>1653</v>
      </c>
      <c r="B9" s="515">
        <v>3998</v>
      </c>
      <c r="C9" s="481">
        <v>4225665</v>
      </c>
      <c r="D9" s="516">
        <v>0</v>
      </c>
      <c r="E9" s="481">
        <v>0</v>
      </c>
      <c r="F9" s="481">
        <v>0</v>
      </c>
      <c r="G9" s="517">
        <v>0</v>
      </c>
      <c r="H9" s="481">
        <v>0</v>
      </c>
      <c r="I9" s="509" t="s">
        <v>1169</v>
      </c>
      <c r="J9" s="478">
        <v>0</v>
      </c>
      <c r="K9" s="481">
        <v>0</v>
      </c>
      <c r="L9" s="347"/>
    </row>
    <row r="10" spans="1:13" s="519" customFormat="1" ht="13.5" thickBot="1" x14ac:dyDescent="0.25">
      <c r="A10" s="1736" t="s">
        <v>1173</v>
      </c>
      <c r="B10" s="1709"/>
      <c r="C10" s="1688">
        <f>SUM(C8:C9)</f>
        <v>7469953</v>
      </c>
      <c r="D10" s="1688">
        <f t="shared" ref="D10:K10" si="1">SUM(D8:D9)</f>
        <v>339039</v>
      </c>
      <c r="E10" s="1688">
        <f t="shared" si="1"/>
        <v>537983</v>
      </c>
      <c r="F10" s="1688">
        <f t="shared" si="1"/>
        <v>396538</v>
      </c>
      <c r="G10" s="1688">
        <f t="shared" si="1"/>
        <v>72804</v>
      </c>
      <c r="H10" s="1688">
        <f t="shared" si="1"/>
        <v>77112</v>
      </c>
      <c r="I10" s="1688">
        <f t="shared" si="1"/>
        <v>34478</v>
      </c>
      <c r="J10" s="1688">
        <f t="shared" si="1"/>
        <v>284484</v>
      </c>
      <c r="K10" s="1688">
        <f t="shared" si="1"/>
        <v>31214</v>
      </c>
      <c r="L10" s="518"/>
    </row>
    <row r="11" spans="1:13" s="519" customFormat="1" ht="16.7" customHeight="1" thickTop="1" x14ac:dyDescent="0.2">
      <c r="A11" s="2108" t="s">
        <v>1176</v>
      </c>
      <c r="B11" s="2109"/>
      <c r="C11" s="1570"/>
      <c r="D11" s="1571"/>
      <c r="E11" s="1571"/>
      <c r="F11" s="1571"/>
      <c r="G11" s="1571"/>
      <c r="H11" s="1571"/>
      <c r="I11" s="1571"/>
      <c r="J11" s="1571"/>
      <c r="K11" s="1572"/>
      <c r="L11" s="518"/>
    </row>
    <row r="12" spans="1:13" ht="15.75" customHeight="1" x14ac:dyDescent="0.2">
      <c r="A12" s="1576" t="s">
        <v>456</v>
      </c>
      <c r="B12" s="1578">
        <v>1000</v>
      </c>
      <c r="C12" s="1742">
        <f>'Expenditures 15-22'!K33</f>
        <v>2190262</v>
      </c>
      <c r="D12" s="520" t="s">
        <v>1169</v>
      </c>
      <c r="E12" s="468" t="s">
        <v>1169</v>
      </c>
      <c r="F12" s="468" t="s">
        <v>1169</v>
      </c>
      <c r="G12" s="1742">
        <f>'Expenditures 15-22'!K229</f>
        <v>51807</v>
      </c>
      <c r="H12" s="521"/>
      <c r="I12" s="468" t="s">
        <v>1169</v>
      </c>
      <c r="J12" s="468" t="s">
        <v>1169</v>
      </c>
      <c r="K12" s="521" t="s">
        <v>1169</v>
      </c>
      <c r="L12" s="347"/>
    </row>
    <row r="13" spans="1:13" ht="15.75" customHeight="1" x14ac:dyDescent="0.2">
      <c r="A13" s="1576" t="s">
        <v>457</v>
      </c>
      <c r="B13" s="1578">
        <v>2000</v>
      </c>
      <c r="C13" s="1743">
        <f>'Expenditures 15-22'!K74</f>
        <v>836637</v>
      </c>
      <c r="D13" s="1743">
        <f>'Expenditures 15-22'!K129</f>
        <v>487106</v>
      </c>
      <c r="E13" s="469" t="s">
        <v>1169</v>
      </c>
      <c r="F13" s="1743">
        <f>'Expenditures 15-22'!K184</f>
        <v>529761</v>
      </c>
      <c r="G13" s="1743">
        <f>'Expenditures 15-22'!K279</f>
        <v>72269</v>
      </c>
      <c r="H13" s="1743">
        <f>'Expenditures 15-22'!K303</f>
        <v>723488</v>
      </c>
      <c r="I13" s="468" t="s">
        <v>1169</v>
      </c>
      <c r="J13" s="1743">
        <f>'Expenditures 15-22'!K330</f>
        <v>283942</v>
      </c>
      <c r="K13" s="1747">
        <f>'Expenditures 15-22'!K352</f>
        <v>121933</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242288</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548772</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3269187</v>
      </c>
      <c r="D17" s="1688">
        <f t="shared" si="2"/>
        <v>487106</v>
      </c>
      <c r="E17" s="1688">
        <f t="shared" si="2"/>
        <v>548772</v>
      </c>
      <c r="F17" s="1688">
        <f t="shared" si="2"/>
        <v>529761</v>
      </c>
      <c r="G17" s="1688">
        <f t="shared" si="2"/>
        <v>124076</v>
      </c>
      <c r="H17" s="1688">
        <f t="shared" si="2"/>
        <v>723488</v>
      </c>
      <c r="I17" s="468"/>
      <c r="J17" s="1688">
        <f>SUM(J12:J16)</f>
        <v>283942</v>
      </c>
      <c r="K17" s="1688">
        <f>SUM(K12:K16)</f>
        <v>121933</v>
      </c>
      <c r="L17" s="347"/>
    </row>
    <row r="18" spans="1:12" ht="15" customHeight="1" thickTop="1" x14ac:dyDescent="0.2">
      <c r="A18" s="1744" t="s">
        <v>1654</v>
      </c>
      <c r="B18" s="1745">
        <v>4180</v>
      </c>
      <c r="C18" s="1742">
        <f t="shared" ref="C18:H18" si="3">C9</f>
        <v>4225665</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7494852</v>
      </c>
      <c r="D19" s="1688">
        <f t="shared" si="4"/>
        <v>487106</v>
      </c>
      <c r="E19" s="1688">
        <f t="shared" si="4"/>
        <v>548772</v>
      </c>
      <c r="F19" s="1688">
        <f t="shared" si="4"/>
        <v>529761</v>
      </c>
      <c r="G19" s="1688">
        <f t="shared" si="4"/>
        <v>124076</v>
      </c>
      <c r="H19" s="1688">
        <f t="shared" si="4"/>
        <v>723488</v>
      </c>
      <c r="I19" s="468"/>
      <c r="J19" s="1688">
        <f>SUM(J17:J18)</f>
        <v>283942</v>
      </c>
      <c r="K19" s="1688">
        <f>SUM(K17:K18)</f>
        <v>121933</v>
      </c>
      <c r="L19" s="347"/>
    </row>
    <row r="20" spans="1:12" ht="16.5" thickTop="1" thickBot="1" x14ac:dyDescent="0.25">
      <c r="A20" s="2124" t="s">
        <v>1655</v>
      </c>
      <c r="B20" s="2125"/>
      <c r="C20" s="1746">
        <f>C8-C17</f>
        <v>-24899</v>
      </c>
      <c r="D20" s="1746">
        <f t="shared" ref="D20:K20" si="5">D8-D17</f>
        <v>-148067</v>
      </c>
      <c r="E20" s="1746">
        <f t="shared" si="5"/>
        <v>-10789</v>
      </c>
      <c r="F20" s="1746">
        <f t="shared" si="5"/>
        <v>-133223</v>
      </c>
      <c r="G20" s="1746">
        <f t="shared" si="5"/>
        <v>-51272</v>
      </c>
      <c r="H20" s="1746">
        <f t="shared" si="5"/>
        <v>-646376</v>
      </c>
      <c r="I20" s="1746">
        <f t="shared" si="5"/>
        <v>34478</v>
      </c>
      <c r="J20" s="1746">
        <f t="shared" si="5"/>
        <v>542</v>
      </c>
      <c r="K20" s="1746">
        <f t="shared" si="5"/>
        <v>-90719</v>
      </c>
      <c r="L20" s="347"/>
    </row>
    <row r="21" spans="1:12" ht="16.7" customHeight="1" thickTop="1" x14ac:dyDescent="0.2">
      <c r="A21" s="2136" t="s">
        <v>595</v>
      </c>
      <c r="B21" s="2137"/>
      <c r="C21" s="1570"/>
      <c r="D21" s="1571"/>
      <c r="E21" s="1571"/>
      <c r="F21" s="1571"/>
      <c r="G21" s="1571"/>
      <c r="H21" s="1571"/>
      <c r="I21" s="1571"/>
      <c r="J21" s="1571"/>
      <c r="K21" s="1572"/>
      <c r="L21" s="524"/>
    </row>
    <row r="22" spans="1:12" ht="15.75" customHeight="1" collapsed="1" x14ac:dyDescent="0.2">
      <c r="A22" s="2132" t="s">
        <v>596</v>
      </c>
      <c r="B22" s="2133"/>
      <c r="C22" s="477"/>
      <c r="D22" s="477"/>
      <c r="E22" s="477"/>
      <c r="F22" s="477"/>
      <c r="G22" s="477"/>
      <c r="H22" s="477"/>
      <c r="I22" s="477"/>
      <c r="J22" s="477"/>
      <c r="K22" s="477"/>
      <c r="L22" s="347"/>
    </row>
    <row r="23" spans="1:12" s="485" customFormat="1" ht="15.75" customHeight="1" x14ac:dyDescent="0.2">
      <c r="A23" s="2128" t="s">
        <v>293</v>
      </c>
      <c r="B23" s="2129"/>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v>50000</v>
      </c>
      <c r="H25" s="467">
        <v>700000</v>
      </c>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0" t="s">
        <v>981</v>
      </c>
      <c r="B32" s="2131"/>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38" t="s">
        <v>374</v>
      </c>
      <c r="B44" s="2139"/>
      <c r="C44" s="1703">
        <f>SUM(C24:C43)</f>
        <v>0</v>
      </c>
      <c r="D44" s="1703">
        <f t="shared" ref="D44:K44" si="6">SUM(D24:D43)</f>
        <v>0</v>
      </c>
      <c r="E44" s="1703">
        <f t="shared" si="6"/>
        <v>0</v>
      </c>
      <c r="F44" s="1703">
        <f t="shared" si="6"/>
        <v>0</v>
      </c>
      <c r="G44" s="1703">
        <f t="shared" si="6"/>
        <v>50000</v>
      </c>
      <c r="H44" s="1703">
        <f t="shared" si="6"/>
        <v>700000</v>
      </c>
      <c r="I44" s="1703">
        <f t="shared" si="6"/>
        <v>0</v>
      </c>
      <c r="J44" s="1703">
        <f t="shared" si="6"/>
        <v>0</v>
      </c>
      <c r="K44" s="1703">
        <f t="shared" si="6"/>
        <v>0</v>
      </c>
      <c r="L44" s="524"/>
    </row>
    <row r="45" spans="1:12" ht="15.75" customHeight="1" thickTop="1" x14ac:dyDescent="0.2">
      <c r="A45" s="2132" t="s">
        <v>108</v>
      </c>
      <c r="B45" s="2133"/>
      <c r="C45" s="528"/>
      <c r="D45" s="528"/>
      <c r="E45" s="528"/>
      <c r="F45" s="528"/>
      <c r="G45" s="528"/>
      <c r="H45" s="528"/>
      <c r="I45" s="528"/>
      <c r="J45" s="528"/>
      <c r="K45" s="528"/>
      <c r="L45" s="347"/>
    </row>
    <row r="46" spans="1:12" s="485" customFormat="1" ht="15.75" customHeight="1" x14ac:dyDescent="0.2">
      <c r="A46" s="2140" t="s">
        <v>109</v>
      </c>
      <c r="B46" s="2141"/>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750000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4" t="s">
        <v>440</v>
      </c>
      <c r="B76" s="2115"/>
      <c r="C76" s="1703">
        <f t="shared" ref="C76:K76" si="7">SUM(C47:C75)</f>
        <v>0</v>
      </c>
      <c r="D76" s="1703">
        <f t="shared" si="7"/>
        <v>0</v>
      </c>
      <c r="E76" s="1703">
        <f t="shared" si="7"/>
        <v>0</v>
      </c>
      <c r="F76" s="1703">
        <f t="shared" si="7"/>
        <v>0</v>
      </c>
      <c r="G76" s="1703">
        <f t="shared" si="7"/>
        <v>0</v>
      </c>
      <c r="H76" s="1703">
        <f t="shared" si="7"/>
        <v>0</v>
      </c>
      <c r="I76" s="1703">
        <f t="shared" si="7"/>
        <v>750000</v>
      </c>
      <c r="J76" s="1703">
        <f t="shared" si="7"/>
        <v>0</v>
      </c>
      <c r="K76" s="1703">
        <f t="shared" si="7"/>
        <v>0</v>
      </c>
      <c r="L76" s="524"/>
    </row>
    <row r="77" spans="1:12" ht="14.25" thickTop="1" thickBot="1" x14ac:dyDescent="0.25">
      <c r="A77" s="2116" t="s">
        <v>1177</v>
      </c>
      <c r="B77" s="2117"/>
      <c r="C77" s="1703">
        <f t="shared" ref="C77:K77" si="8">C44-C76</f>
        <v>0</v>
      </c>
      <c r="D77" s="1703">
        <f t="shared" si="8"/>
        <v>0</v>
      </c>
      <c r="E77" s="1703">
        <f t="shared" si="8"/>
        <v>0</v>
      </c>
      <c r="F77" s="1703">
        <f t="shared" si="8"/>
        <v>0</v>
      </c>
      <c r="G77" s="1703">
        <f t="shared" si="8"/>
        <v>50000</v>
      </c>
      <c r="H77" s="1703">
        <f t="shared" si="8"/>
        <v>700000</v>
      </c>
      <c r="I77" s="1703">
        <f t="shared" si="8"/>
        <v>-750000</v>
      </c>
      <c r="J77" s="1703">
        <f t="shared" si="8"/>
        <v>0</v>
      </c>
      <c r="K77" s="1703">
        <f t="shared" si="8"/>
        <v>0</v>
      </c>
      <c r="L77" s="347"/>
    </row>
    <row r="78" spans="1:12" ht="21.75" customHeight="1" thickTop="1" thickBot="1" x14ac:dyDescent="0.25">
      <c r="A78" s="2120" t="s">
        <v>597</v>
      </c>
      <c r="B78" s="2121"/>
      <c r="C78" s="1702">
        <f t="shared" ref="C78:K78" si="9">C20+C77</f>
        <v>-24899</v>
      </c>
      <c r="D78" s="1702">
        <f t="shared" si="9"/>
        <v>-148067</v>
      </c>
      <c r="E78" s="1702">
        <f t="shared" si="9"/>
        <v>-10789</v>
      </c>
      <c r="F78" s="1702">
        <f t="shared" si="9"/>
        <v>-133223</v>
      </c>
      <c r="G78" s="1702">
        <f t="shared" si="9"/>
        <v>-1272</v>
      </c>
      <c r="H78" s="1702">
        <f t="shared" si="9"/>
        <v>53624</v>
      </c>
      <c r="I78" s="1702">
        <f t="shared" si="9"/>
        <v>-715522</v>
      </c>
      <c r="J78" s="1702">
        <f t="shared" si="9"/>
        <v>542</v>
      </c>
      <c r="K78" s="1702">
        <f t="shared" si="9"/>
        <v>-90719</v>
      </c>
      <c r="L78" s="533"/>
    </row>
    <row r="79" spans="1:12" ht="13.5" thickTop="1" x14ac:dyDescent="0.2">
      <c r="A79" s="1494" t="s">
        <v>1949</v>
      </c>
      <c r="B79" s="534"/>
      <c r="C79" s="478">
        <v>808401</v>
      </c>
      <c r="D79" s="535">
        <v>183700</v>
      </c>
      <c r="E79" s="535">
        <v>91151</v>
      </c>
      <c r="F79" s="535">
        <v>296422</v>
      </c>
      <c r="G79" s="535">
        <v>100225</v>
      </c>
      <c r="H79" s="535">
        <v>53299</v>
      </c>
      <c r="I79" s="535">
        <v>1379535</v>
      </c>
      <c r="J79" s="535">
        <v>0</v>
      </c>
      <c r="K79" s="535">
        <v>168055</v>
      </c>
      <c r="L79" s="347"/>
    </row>
    <row r="80" spans="1:12" x14ac:dyDescent="0.2">
      <c r="A80" s="2126" t="s">
        <v>1795</v>
      </c>
      <c r="B80" s="2127"/>
      <c r="C80" s="467">
        <v>0</v>
      </c>
      <c r="D80" s="467">
        <v>0</v>
      </c>
      <c r="E80" s="467">
        <v>0</v>
      </c>
      <c r="F80" s="467">
        <v>0</v>
      </c>
      <c r="G80" s="467">
        <v>0</v>
      </c>
      <c r="H80" s="467">
        <v>0</v>
      </c>
      <c r="I80" s="467">
        <v>0</v>
      </c>
      <c r="J80" s="467">
        <v>0</v>
      </c>
      <c r="K80" s="467">
        <v>0</v>
      </c>
      <c r="L80" s="347"/>
    </row>
    <row r="81" spans="1:12" ht="13.5" thickBot="1" x14ac:dyDescent="0.25">
      <c r="A81" s="2118" t="s">
        <v>1950</v>
      </c>
      <c r="B81" s="2119"/>
      <c r="C81" s="1688">
        <f>(SUM(C78:C80))</f>
        <v>783502</v>
      </c>
      <c r="D81" s="1688">
        <f>SUM(D78:D80)</f>
        <v>35633</v>
      </c>
      <c r="E81" s="1688">
        <f t="shared" ref="E81:K81" si="10">SUM(E78:E80)</f>
        <v>80362</v>
      </c>
      <c r="F81" s="1688">
        <f t="shared" si="10"/>
        <v>163199</v>
      </c>
      <c r="G81" s="1688">
        <f t="shared" si="10"/>
        <v>98953</v>
      </c>
      <c r="H81" s="1688">
        <f t="shared" si="10"/>
        <v>106923</v>
      </c>
      <c r="I81" s="1688">
        <f t="shared" si="10"/>
        <v>664013</v>
      </c>
      <c r="J81" s="1688">
        <f t="shared" si="10"/>
        <v>542</v>
      </c>
      <c r="K81" s="1688">
        <f t="shared" si="10"/>
        <v>77336</v>
      </c>
      <c r="L81" s="347"/>
    </row>
    <row r="82" spans="1:12" ht="0.75" customHeight="1" thickTop="1" thickBot="1" x14ac:dyDescent="0.25">
      <c r="A82" s="536" t="s">
        <v>343</v>
      </c>
      <c r="B82" s="537"/>
      <c r="C82" s="538">
        <f>(C81-C79)</f>
        <v>-24899</v>
      </c>
      <c r="D82" s="538">
        <f t="shared" ref="D82:K82" si="11">(D81-D79)</f>
        <v>-148067</v>
      </c>
      <c r="E82" s="538">
        <f t="shared" si="11"/>
        <v>-10789</v>
      </c>
      <c r="F82" s="538">
        <f t="shared" si="11"/>
        <v>-133223</v>
      </c>
      <c r="G82" s="538">
        <f t="shared" si="11"/>
        <v>-1272</v>
      </c>
      <c r="H82" s="538">
        <f t="shared" si="11"/>
        <v>53624</v>
      </c>
      <c r="I82" s="538">
        <f t="shared" si="11"/>
        <v>-715522</v>
      </c>
      <c r="J82" s="538">
        <f t="shared" si="11"/>
        <v>542</v>
      </c>
      <c r="K82" s="538">
        <f t="shared" si="11"/>
        <v>-90719</v>
      </c>
    </row>
    <row r="83" spans="1:12" ht="14.25" hidden="1" thickTop="1" thickBot="1" x14ac:dyDescent="0.25">
      <c r="A83" s="539" t="s">
        <v>344</v>
      </c>
      <c r="B83" s="464"/>
      <c r="C83" s="540">
        <f>C82/C81</f>
        <v>-3.1779114794856934E-2</v>
      </c>
      <c r="D83" s="540">
        <f t="shared" ref="D83:K83" si="12">D82/D81</f>
        <v>-4.1553335391350714</v>
      </c>
      <c r="E83" s="540">
        <f t="shared" si="12"/>
        <v>-0.1342549961424554</v>
      </c>
      <c r="F83" s="540">
        <f t="shared" si="12"/>
        <v>-0.81632240393629862</v>
      </c>
      <c r="G83" s="540">
        <f t="shared" si="12"/>
        <v>-1.2854587531454327E-2</v>
      </c>
      <c r="H83" s="540">
        <f t="shared" si="12"/>
        <v>0.50151978526603258</v>
      </c>
      <c r="I83" s="540">
        <f t="shared" si="12"/>
        <v>-1.0775722764463949</v>
      </c>
      <c r="J83" s="540">
        <f t="shared" si="12"/>
        <v>1</v>
      </c>
      <c r="K83" s="540">
        <f t="shared" si="12"/>
        <v>-1.1730500672390607</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&amp;L&amp;8&amp;F&amp;C&amp;8The accompanying Notes to Financial Statements are an integral part of this statement.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C16" sqref="C16"/>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2" t="s">
        <v>1802</v>
      </c>
      <c r="B1" s="452"/>
      <c r="C1" s="453" t="s">
        <v>425</v>
      </c>
      <c r="D1" s="453" t="s">
        <v>426</v>
      </c>
      <c r="E1" s="453" t="s">
        <v>427</v>
      </c>
      <c r="F1" s="453" t="s">
        <v>428</v>
      </c>
      <c r="G1" s="453" t="s">
        <v>429</v>
      </c>
      <c r="H1" s="453" t="s">
        <v>430</v>
      </c>
      <c r="I1" s="453" t="s">
        <v>431</v>
      </c>
      <c r="J1" s="453" t="s">
        <v>432</v>
      </c>
      <c r="K1" s="453" t="s">
        <v>756</v>
      </c>
    </row>
    <row r="2" spans="1:12" ht="36" x14ac:dyDescent="0.2">
      <c r="A2" s="2123"/>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1285541</v>
      </c>
      <c r="D5" s="481">
        <v>308652</v>
      </c>
      <c r="E5" s="466">
        <v>537944</v>
      </c>
      <c r="F5" s="548">
        <v>123461</v>
      </c>
      <c r="G5" s="466">
        <v>32741</v>
      </c>
      <c r="H5" s="466">
        <v>0</v>
      </c>
      <c r="I5" s="466">
        <v>30865</v>
      </c>
      <c r="J5" s="467">
        <v>281562</v>
      </c>
      <c r="K5" s="466">
        <v>30865</v>
      </c>
    </row>
    <row r="6" spans="1:12" ht="15" x14ac:dyDescent="0.2">
      <c r="A6" s="463" t="s">
        <v>1662</v>
      </c>
      <c r="B6" s="470">
        <v>1130</v>
      </c>
      <c r="C6" s="466"/>
      <c r="D6" s="466"/>
      <c r="E6" s="475"/>
      <c r="F6" s="475"/>
      <c r="G6" s="468"/>
      <c r="H6" s="468"/>
      <c r="I6" s="468"/>
      <c r="J6" s="468"/>
      <c r="K6" s="468"/>
    </row>
    <row r="7" spans="1:12" x14ac:dyDescent="0.2">
      <c r="A7" s="463" t="s">
        <v>110</v>
      </c>
      <c r="B7" s="549">
        <v>1140</v>
      </c>
      <c r="C7" s="466">
        <v>24693</v>
      </c>
      <c r="D7" s="466"/>
      <c r="E7" s="468"/>
      <c r="F7" s="467"/>
      <c r="G7" s="467"/>
      <c r="H7" s="467"/>
      <c r="I7" s="468"/>
      <c r="J7" s="468"/>
      <c r="K7" s="468"/>
    </row>
    <row r="8" spans="1:12" x14ac:dyDescent="0.2">
      <c r="A8" s="463" t="s">
        <v>413</v>
      </c>
      <c r="B8" s="470">
        <v>1150</v>
      </c>
      <c r="C8" s="475"/>
      <c r="D8" s="475"/>
      <c r="E8" s="477"/>
      <c r="F8" s="477"/>
      <c r="G8" s="481">
        <v>35851</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1310234</v>
      </c>
      <c r="D12" s="1707">
        <f t="shared" si="0"/>
        <v>308652</v>
      </c>
      <c r="E12" s="1707">
        <f t="shared" si="0"/>
        <v>537944</v>
      </c>
      <c r="F12" s="1707">
        <f t="shared" si="0"/>
        <v>123461</v>
      </c>
      <c r="G12" s="1707">
        <f t="shared" si="0"/>
        <v>68592</v>
      </c>
      <c r="H12" s="1707">
        <f t="shared" si="0"/>
        <v>0</v>
      </c>
      <c r="I12" s="1707">
        <f t="shared" si="0"/>
        <v>30865</v>
      </c>
      <c r="J12" s="1707">
        <f t="shared" si="0"/>
        <v>281562</v>
      </c>
      <c r="K12" s="1688">
        <f t="shared" si="0"/>
        <v>30865</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406274</v>
      </c>
      <c r="D16" s="466">
        <v>30000</v>
      </c>
      <c r="E16" s="466"/>
      <c r="F16" s="466"/>
      <c r="G16" s="466">
        <v>2750</v>
      </c>
      <c r="H16" s="466"/>
      <c r="I16" s="466"/>
      <c r="J16" s="467"/>
      <c r="K16" s="466"/>
    </row>
    <row r="17" spans="1:11" ht="12.75" customHeight="1" x14ac:dyDescent="0.2">
      <c r="A17" s="463" t="s">
        <v>807</v>
      </c>
      <c r="B17" s="470">
        <v>1290</v>
      </c>
      <c r="C17" s="551">
        <v>1878</v>
      </c>
      <c r="D17" s="466"/>
      <c r="E17" s="466"/>
      <c r="F17" s="466"/>
      <c r="G17" s="466"/>
      <c r="H17" s="466"/>
      <c r="I17" s="466"/>
      <c r="J17" s="467"/>
      <c r="K17" s="466"/>
    </row>
    <row r="18" spans="1:11" ht="12.75" customHeight="1" thickBot="1" x14ac:dyDescent="0.25">
      <c r="A18" s="1708" t="s">
        <v>537</v>
      </c>
      <c r="B18" s="1709"/>
      <c r="C18" s="1710">
        <f>SUM(C14:C17)</f>
        <v>408152</v>
      </c>
      <c r="D18" s="1710">
        <f t="shared" ref="D18:K18" si="1">SUM(D14:D17)</f>
        <v>30000</v>
      </c>
      <c r="E18" s="1710">
        <f t="shared" si="1"/>
        <v>0</v>
      </c>
      <c r="F18" s="1710">
        <f t="shared" si="1"/>
        <v>0</v>
      </c>
      <c r="G18" s="1710">
        <f t="shared" si="1"/>
        <v>2750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20375</v>
      </c>
      <c r="D65" s="466">
        <v>387</v>
      </c>
      <c r="E65" s="466">
        <v>39</v>
      </c>
      <c r="F65" s="467">
        <v>2443</v>
      </c>
      <c r="G65" s="466">
        <v>1462</v>
      </c>
      <c r="H65" s="466">
        <v>0</v>
      </c>
      <c r="I65" s="466">
        <v>3613</v>
      </c>
      <c r="J65" s="467">
        <v>672</v>
      </c>
      <c r="K65" s="466">
        <v>349</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20375</v>
      </c>
      <c r="D67" s="1688">
        <f t="shared" ref="D67:K67" si="2">SUM(D65:D66)</f>
        <v>387</v>
      </c>
      <c r="E67" s="1688">
        <f t="shared" si="2"/>
        <v>39</v>
      </c>
      <c r="F67" s="1688">
        <f t="shared" si="2"/>
        <v>2443</v>
      </c>
      <c r="G67" s="1688">
        <f t="shared" si="2"/>
        <v>1462</v>
      </c>
      <c r="H67" s="1688">
        <f t="shared" si="2"/>
        <v>0</v>
      </c>
      <c r="I67" s="1688">
        <f t="shared" si="2"/>
        <v>3613</v>
      </c>
      <c r="J67" s="1688">
        <f t="shared" si="2"/>
        <v>672</v>
      </c>
      <c r="K67" s="1688">
        <f t="shared" si="2"/>
        <v>349</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826</v>
      </c>
      <c r="D69" s="468"/>
      <c r="E69" s="468"/>
      <c r="F69" s="468"/>
      <c r="G69" s="468"/>
      <c r="H69" s="468"/>
      <c r="I69" s="468"/>
      <c r="J69" s="468"/>
      <c r="K69" s="468"/>
    </row>
    <row r="70" spans="1:11" ht="12.75" customHeight="1" x14ac:dyDescent="0.2">
      <c r="A70" s="463" t="s">
        <v>997</v>
      </c>
      <c r="B70" s="470">
        <v>1612</v>
      </c>
      <c r="C70" s="551">
        <v>1256</v>
      </c>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2159</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4241</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5757</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5757</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v>2250</v>
      </c>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v>77112</v>
      </c>
      <c r="I103" s="468"/>
      <c r="J103" s="510"/>
      <c r="K103" s="510"/>
    </row>
    <row r="104" spans="1:12" ht="12.75" customHeight="1" x14ac:dyDescent="0.2">
      <c r="A104" s="463" t="s">
        <v>830</v>
      </c>
      <c r="B104" s="470">
        <v>1991</v>
      </c>
      <c r="C104" s="489">
        <v>18738</v>
      </c>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f>1622+3</f>
        <v>1625</v>
      </c>
      <c r="D107" s="466"/>
      <c r="E107" s="466"/>
      <c r="F107" s="466"/>
      <c r="G107" s="466"/>
      <c r="H107" s="466"/>
      <c r="I107" s="466"/>
      <c r="J107" s="467"/>
      <c r="K107" s="466"/>
    </row>
    <row r="108" spans="1:12" ht="12.75" customHeight="1" thickBot="1" x14ac:dyDescent="0.25">
      <c r="A108" s="1708" t="s">
        <v>487</v>
      </c>
      <c r="B108" s="1712"/>
      <c r="C108" s="1707">
        <f>SUM(C95:C107)</f>
        <v>20363</v>
      </c>
      <c r="D108" s="1707">
        <f t="shared" ref="D108:K108" si="3">SUM(D95:D107)</f>
        <v>0</v>
      </c>
      <c r="E108" s="1707">
        <f t="shared" si="3"/>
        <v>0</v>
      </c>
      <c r="F108" s="1707">
        <f t="shared" si="3"/>
        <v>0</v>
      </c>
      <c r="G108" s="1707">
        <f t="shared" si="3"/>
        <v>0</v>
      </c>
      <c r="H108" s="1707">
        <f t="shared" si="3"/>
        <v>77112</v>
      </c>
      <c r="I108" s="1707">
        <f t="shared" si="3"/>
        <v>0</v>
      </c>
      <c r="J108" s="1707">
        <f t="shared" si="3"/>
        <v>2250</v>
      </c>
      <c r="K108" s="1688">
        <f t="shared" si="3"/>
        <v>0</v>
      </c>
    </row>
    <row r="109" spans="1:12" ht="14.25" thickTop="1" thickBot="1" x14ac:dyDescent="0.25">
      <c r="A109" s="1713" t="s">
        <v>248</v>
      </c>
      <c r="B109" s="1714" t="s">
        <v>570</v>
      </c>
      <c r="C109" s="1715">
        <f t="shared" ref="C109:K109" si="4">SUM(C12,C18,C40,C63,C67,C75,C82,C93,C108,)</f>
        <v>1769122</v>
      </c>
      <c r="D109" s="1715">
        <f t="shared" si="4"/>
        <v>339039</v>
      </c>
      <c r="E109" s="1715">
        <f t="shared" si="4"/>
        <v>537983</v>
      </c>
      <c r="F109" s="1715">
        <f t="shared" si="4"/>
        <v>125904</v>
      </c>
      <c r="G109" s="1715">
        <f t="shared" si="4"/>
        <v>72804</v>
      </c>
      <c r="H109" s="1715">
        <f t="shared" si="4"/>
        <v>77112</v>
      </c>
      <c r="I109" s="1715">
        <f t="shared" si="4"/>
        <v>34478</v>
      </c>
      <c r="J109" s="1715">
        <f t="shared" si="4"/>
        <v>284484</v>
      </c>
      <c r="K109" s="1702">
        <f t="shared" si="4"/>
        <v>31214</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872523</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1936</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872523</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5774</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5774</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4149</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3889</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155421</v>
      </c>
      <c r="G152" s="467"/>
      <c r="H152" s="468"/>
      <c r="I152" s="468"/>
      <c r="J152" s="468"/>
      <c r="K152" s="468"/>
    </row>
    <row r="153" spans="1:11" ht="12.75" customHeight="1" x14ac:dyDescent="0.2">
      <c r="A153" s="463" t="s">
        <v>1057</v>
      </c>
      <c r="B153" s="562">
        <v>3510</v>
      </c>
      <c r="C153" s="551"/>
      <c r="D153" s="466"/>
      <c r="E153" s="561"/>
      <c r="F153" s="466">
        <v>115213</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270634</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f>28145+28548</f>
        <v>56693</v>
      </c>
      <c r="D168" s="580"/>
      <c r="E168" s="580"/>
      <c r="F168" s="580"/>
      <c r="G168" s="581"/>
      <c r="H168" s="582"/>
      <c r="I168" s="581"/>
      <c r="J168" s="581"/>
      <c r="K168" s="582"/>
    </row>
    <row r="169" spans="1:11" ht="12.75" customHeight="1" thickTop="1" thickBot="1" x14ac:dyDescent="0.25">
      <c r="A169" s="2142" t="s">
        <v>398</v>
      </c>
      <c r="B169" s="2143"/>
      <c r="C169" s="1722">
        <f t="shared" ref="C169:K169" si="6">SUM(C132,C141,C145,C146:C150,C155,C156:C167,C168)</f>
        <v>70505</v>
      </c>
      <c r="D169" s="1722">
        <f t="shared" si="6"/>
        <v>0</v>
      </c>
      <c r="E169" s="1722">
        <f t="shared" si="6"/>
        <v>0</v>
      </c>
      <c r="F169" s="1722">
        <f t="shared" si="6"/>
        <v>270634</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943028</v>
      </c>
      <c r="D170" s="1715">
        <f t="shared" si="7"/>
        <v>0</v>
      </c>
      <c r="E170" s="1715">
        <f t="shared" si="7"/>
        <v>0</v>
      </c>
      <c r="F170" s="1715">
        <f t="shared" si="7"/>
        <v>270634</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4" t="s">
        <v>1492</v>
      </c>
      <c r="B172" s="2145"/>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48" t="s">
        <v>1665</v>
      </c>
      <c r="B175" s="2149"/>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2" t="s">
        <v>1664</v>
      </c>
      <c r="B176" s="2153"/>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0" t="s">
        <v>785</v>
      </c>
      <c r="B181" s="2151"/>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6" t="s">
        <v>1803</v>
      </c>
      <c r="B182" s="2147"/>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139316</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60260</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199576</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225063</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225063</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11729</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11729</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22467</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1937</v>
      </c>
      <c r="B261" s="470">
        <v>4981</v>
      </c>
      <c r="C261" s="575"/>
      <c r="D261" s="576"/>
      <c r="E261" s="468"/>
      <c r="F261" s="576"/>
      <c r="G261" s="576"/>
      <c r="H261" s="468"/>
      <c r="I261" s="468"/>
      <c r="J261" s="468"/>
      <c r="K261" s="468"/>
    </row>
    <row r="262" spans="1:11" ht="12.75" customHeight="1" thickTop="1" thickBot="1" x14ac:dyDescent="0.25">
      <c r="A262" s="1931"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9231</v>
      </c>
      <c r="D263" s="576"/>
      <c r="E263" s="468"/>
      <c r="F263" s="576"/>
      <c r="G263" s="576"/>
      <c r="H263" s="468"/>
      <c r="I263" s="468"/>
      <c r="J263" s="468"/>
      <c r="K263" s="468"/>
    </row>
    <row r="264" spans="1:11" ht="12.75" customHeight="1" thickTop="1" thickBot="1" x14ac:dyDescent="0.25">
      <c r="A264" s="463" t="s">
        <v>377</v>
      </c>
      <c r="B264" s="470">
        <v>4992</v>
      </c>
      <c r="C264" s="575">
        <v>43190</v>
      </c>
      <c r="D264" s="576"/>
      <c r="E264" s="468"/>
      <c r="F264" s="576"/>
      <c r="G264" s="576"/>
      <c r="H264" s="468"/>
      <c r="I264" s="468"/>
      <c r="J264" s="468"/>
      <c r="K264" s="468"/>
    </row>
    <row r="265" spans="1:11" s="593" customFormat="1" ht="12.75" customHeight="1" thickTop="1" thickBot="1" x14ac:dyDescent="0.25">
      <c r="A265" s="563" t="s">
        <v>75</v>
      </c>
      <c r="B265" s="557">
        <v>4999</v>
      </c>
      <c r="C265" s="575">
        <v>20882</v>
      </c>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532138</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532138</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3244288</v>
      </c>
      <c r="D268" s="1715">
        <f t="shared" si="12"/>
        <v>339039</v>
      </c>
      <c r="E268" s="1715">
        <f t="shared" si="12"/>
        <v>537983</v>
      </c>
      <c r="F268" s="1715">
        <f t="shared" si="12"/>
        <v>396538</v>
      </c>
      <c r="G268" s="1715">
        <f t="shared" si="12"/>
        <v>72804</v>
      </c>
      <c r="H268" s="1715">
        <f t="shared" si="12"/>
        <v>77112</v>
      </c>
      <c r="I268" s="1715">
        <f t="shared" si="12"/>
        <v>34478</v>
      </c>
      <c r="J268" s="1715">
        <f t="shared" si="12"/>
        <v>284484</v>
      </c>
      <c r="K268" s="1702">
        <f t="shared" si="12"/>
        <v>31214</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&amp;L&amp;8&amp;F&amp;C&amp;8The accompanying Notes to Financial Statements are an integral part of this statement.</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topLeftCell="F1" colorId="8" zoomScale="110" zoomScaleNormal="110" workbookViewId="0">
      <pane ySplit="2" topLeftCell="A341" activePane="bottomLeft" state="frozen"/>
      <selection pane="bottomLeft" activeCell="L114" sqref="L114"/>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2"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4"/>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0" t="s">
        <v>297</v>
      </c>
      <c r="B3" s="2161"/>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f>474325+701136+16807</f>
        <v>1192268</v>
      </c>
      <c r="D5" s="466">
        <f>35057+54564+2506</f>
        <v>92127</v>
      </c>
      <c r="E5" s="466">
        <f>21303+30822+8606</f>
        <v>60731</v>
      </c>
      <c r="F5" s="466">
        <f>25355+49888+25238-4575</f>
        <v>95906</v>
      </c>
      <c r="G5" s="466"/>
      <c r="H5" s="466"/>
      <c r="I5" s="467"/>
      <c r="J5" s="467"/>
      <c r="K5" s="1671">
        <f>SUM(C5:J5)</f>
        <v>1441032</v>
      </c>
      <c r="L5" s="466">
        <v>1405315</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v>240086</v>
      </c>
      <c r="D8" s="466">
        <v>12098</v>
      </c>
      <c r="E8" s="466">
        <v>83456</v>
      </c>
      <c r="F8" s="466"/>
      <c r="G8" s="466"/>
      <c r="H8" s="466"/>
      <c r="I8" s="467"/>
      <c r="J8" s="467"/>
      <c r="K8" s="1671">
        <f t="shared" si="0"/>
        <v>335640</v>
      </c>
      <c r="L8" s="466">
        <v>288435</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v>114468</v>
      </c>
      <c r="D10" s="466">
        <v>11288</v>
      </c>
      <c r="E10" s="466">
        <v>31272</v>
      </c>
      <c r="F10" s="466">
        <v>65571</v>
      </c>
      <c r="G10" s="466">
        <v>7728</v>
      </c>
      <c r="H10" s="466"/>
      <c r="I10" s="467"/>
      <c r="J10" s="467"/>
      <c r="K10" s="1671">
        <f t="shared" si="0"/>
        <v>230327</v>
      </c>
      <c r="L10" s="466">
        <v>232318</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v>43309</v>
      </c>
      <c r="D13" s="466">
        <v>1985</v>
      </c>
      <c r="E13" s="466">
        <v>27</v>
      </c>
      <c r="F13" s="466">
        <v>7476</v>
      </c>
      <c r="G13" s="466"/>
      <c r="H13" s="466"/>
      <c r="I13" s="467"/>
      <c r="J13" s="467"/>
      <c r="K13" s="1671">
        <f t="shared" si="0"/>
        <v>52797</v>
      </c>
      <c r="L13" s="466">
        <v>42625</v>
      </c>
    </row>
    <row r="14" spans="1:14" x14ac:dyDescent="0.2">
      <c r="A14" s="1504" t="s">
        <v>963</v>
      </c>
      <c r="B14" s="614">
        <v>1500</v>
      </c>
      <c r="C14" s="466">
        <v>9220</v>
      </c>
      <c r="D14" s="466">
        <v>209</v>
      </c>
      <c r="E14" s="466">
        <v>70017</v>
      </c>
      <c r="F14" s="466">
        <v>13958</v>
      </c>
      <c r="G14" s="466"/>
      <c r="H14" s="466"/>
      <c r="I14" s="467"/>
      <c r="J14" s="467"/>
      <c r="K14" s="1671">
        <f t="shared" si="0"/>
        <v>93404</v>
      </c>
      <c r="L14" s="466">
        <v>82288</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v>36123</v>
      </c>
      <c r="F17" s="467">
        <v>939</v>
      </c>
      <c r="G17" s="467"/>
      <c r="H17" s="467"/>
      <c r="I17" s="467"/>
      <c r="J17" s="467"/>
      <c r="K17" s="1671">
        <f t="shared" si="0"/>
        <v>37062</v>
      </c>
      <c r="L17" s="466">
        <v>39700</v>
      </c>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v>2900</v>
      </c>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1599351</v>
      </c>
      <c r="D33" s="1670">
        <f t="shared" ref="D33:L33" si="1">SUM(D5:D32)</f>
        <v>117707</v>
      </c>
      <c r="E33" s="1670">
        <f t="shared" si="1"/>
        <v>281626</v>
      </c>
      <c r="F33" s="1670">
        <f t="shared" si="1"/>
        <v>183850</v>
      </c>
      <c r="G33" s="1670">
        <f t="shared" si="1"/>
        <v>7728</v>
      </c>
      <c r="H33" s="1670">
        <f t="shared" si="1"/>
        <v>0</v>
      </c>
      <c r="I33" s="1670">
        <f t="shared" si="1"/>
        <v>0</v>
      </c>
      <c r="J33" s="1670">
        <f t="shared" si="1"/>
        <v>0</v>
      </c>
      <c r="K33" s="1670">
        <f t="shared" si="1"/>
        <v>2190262</v>
      </c>
      <c r="L33" s="1670">
        <f t="shared" si="1"/>
        <v>2093581</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row>
    <row r="37" spans="1:14" x14ac:dyDescent="0.2">
      <c r="A37" s="1504" t="s">
        <v>1090</v>
      </c>
      <c r="B37" s="614">
        <v>2120</v>
      </c>
      <c r="C37" s="466"/>
      <c r="D37" s="466"/>
      <c r="E37" s="466"/>
      <c r="F37" s="466"/>
      <c r="G37" s="466"/>
      <c r="H37" s="466"/>
      <c r="I37" s="467"/>
      <c r="J37" s="467"/>
      <c r="K37" s="1671">
        <f t="shared" si="2"/>
        <v>0</v>
      </c>
      <c r="L37" s="466">
        <v>34463</v>
      </c>
    </row>
    <row r="38" spans="1:14" x14ac:dyDescent="0.2">
      <c r="A38" s="1504" t="s">
        <v>198</v>
      </c>
      <c r="B38" s="614">
        <v>2130</v>
      </c>
      <c r="C38" s="466">
        <v>34949</v>
      </c>
      <c r="D38" s="466">
        <v>558</v>
      </c>
      <c r="E38" s="466"/>
      <c r="F38" s="466">
        <v>844</v>
      </c>
      <c r="G38" s="466"/>
      <c r="H38" s="466"/>
      <c r="I38" s="467"/>
      <c r="J38" s="467"/>
      <c r="K38" s="1671">
        <f t="shared" si="2"/>
        <v>36351</v>
      </c>
      <c r="L38" s="466">
        <v>32700</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v>40269</v>
      </c>
      <c r="D40" s="466">
        <v>3390</v>
      </c>
      <c r="E40" s="466"/>
      <c r="F40" s="466"/>
      <c r="G40" s="466"/>
      <c r="H40" s="466"/>
      <c r="I40" s="467"/>
      <c r="J40" s="467"/>
      <c r="K40" s="1671">
        <f t="shared" si="2"/>
        <v>43659</v>
      </c>
      <c r="L40" s="466">
        <v>37489</v>
      </c>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75218</v>
      </c>
      <c r="D42" s="1670">
        <f t="shared" ref="D42:L42" si="3">SUM(D36:D41)</f>
        <v>3948</v>
      </c>
      <c r="E42" s="1670">
        <f t="shared" si="3"/>
        <v>0</v>
      </c>
      <c r="F42" s="1670">
        <f t="shared" si="3"/>
        <v>844</v>
      </c>
      <c r="G42" s="1670">
        <f t="shared" si="3"/>
        <v>0</v>
      </c>
      <c r="H42" s="1670">
        <f t="shared" si="3"/>
        <v>0</v>
      </c>
      <c r="I42" s="1670">
        <f t="shared" si="3"/>
        <v>0</v>
      </c>
      <c r="J42" s="1670">
        <f t="shared" si="3"/>
        <v>0</v>
      </c>
      <c r="K42" s="1670">
        <f t="shared" si="3"/>
        <v>80010</v>
      </c>
      <c r="L42" s="1670">
        <f t="shared" si="3"/>
        <v>104652</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f>45662-16807</f>
        <v>28855</v>
      </c>
      <c r="D44" s="481">
        <f>4104-2506</f>
        <v>1598</v>
      </c>
      <c r="E44" s="481">
        <f>18350-8606</f>
        <v>9744</v>
      </c>
      <c r="F44" s="481">
        <f>36008-25238</f>
        <v>10770</v>
      </c>
      <c r="G44" s="481"/>
      <c r="H44" s="481"/>
      <c r="I44" s="467"/>
      <c r="J44" s="467"/>
      <c r="K44" s="1672">
        <f>SUM(C44:J44)</f>
        <v>50967</v>
      </c>
      <c r="L44" s="481">
        <v>20000</v>
      </c>
    </row>
    <row r="45" spans="1:14" x14ac:dyDescent="0.2">
      <c r="A45" s="1504" t="s">
        <v>815</v>
      </c>
      <c r="B45" s="614">
        <v>2220</v>
      </c>
      <c r="C45" s="466"/>
      <c r="D45" s="466"/>
      <c r="E45" s="466"/>
      <c r="F45" s="466">
        <v>390</v>
      </c>
      <c r="G45" s="466"/>
      <c r="H45" s="466"/>
      <c r="I45" s="467"/>
      <c r="J45" s="467"/>
      <c r="K45" s="1672">
        <f>SUM(C45:J45)</f>
        <v>390</v>
      </c>
      <c r="L45" s="466">
        <v>38850</v>
      </c>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28855</v>
      </c>
      <c r="D47" s="1670">
        <f t="shared" ref="D47:K47" si="4">SUM(D44:D46)</f>
        <v>1598</v>
      </c>
      <c r="E47" s="1670">
        <f t="shared" si="4"/>
        <v>9744</v>
      </c>
      <c r="F47" s="1670">
        <f t="shared" si="4"/>
        <v>11160</v>
      </c>
      <c r="G47" s="1670">
        <f t="shared" si="4"/>
        <v>0</v>
      </c>
      <c r="H47" s="1670">
        <f t="shared" si="4"/>
        <v>0</v>
      </c>
      <c r="I47" s="1670">
        <f t="shared" si="4"/>
        <v>0</v>
      </c>
      <c r="J47" s="1670">
        <f t="shared" si="4"/>
        <v>0</v>
      </c>
      <c r="K47" s="1670">
        <f t="shared" si="4"/>
        <v>51357</v>
      </c>
      <c r="L47" s="1670">
        <f>SUM(L44:L46)</f>
        <v>58850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v>212</v>
      </c>
      <c r="E49" s="481">
        <v>100936</v>
      </c>
      <c r="F49" s="481">
        <v>1689</v>
      </c>
      <c r="G49" s="481"/>
      <c r="H49" s="481">
        <v>3338</v>
      </c>
      <c r="I49" s="467"/>
      <c r="J49" s="467"/>
      <c r="K49" s="1672">
        <f>SUM(C49:J49)</f>
        <v>106175</v>
      </c>
      <c r="L49" s="481">
        <v>37645</v>
      </c>
    </row>
    <row r="50" spans="1:14" x14ac:dyDescent="0.2">
      <c r="A50" s="1504" t="s">
        <v>818</v>
      </c>
      <c r="B50" s="614">
        <v>2320</v>
      </c>
      <c r="C50" s="466">
        <v>148341</v>
      </c>
      <c r="D50" s="466">
        <v>10962</v>
      </c>
      <c r="E50" s="466">
        <v>15556</v>
      </c>
      <c r="F50" s="466">
        <v>2227</v>
      </c>
      <c r="G50" s="466"/>
      <c r="H50" s="466">
        <v>886</v>
      </c>
      <c r="I50" s="467"/>
      <c r="J50" s="467"/>
      <c r="K50" s="1672">
        <f>SUM(C50:J50)</f>
        <v>177972</v>
      </c>
      <c r="L50" s="466">
        <v>168568</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148341</v>
      </c>
      <c r="D53" s="1670">
        <f t="shared" ref="D53:L53" si="5">SUM(D49:D52)</f>
        <v>11174</v>
      </c>
      <c r="E53" s="1670">
        <f t="shared" si="5"/>
        <v>116492</v>
      </c>
      <c r="F53" s="1670">
        <f t="shared" si="5"/>
        <v>3916</v>
      </c>
      <c r="G53" s="1670">
        <f t="shared" si="5"/>
        <v>0</v>
      </c>
      <c r="H53" s="1670">
        <f t="shared" si="5"/>
        <v>4224</v>
      </c>
      <c r="I53" s="1670">
        <f t="shared" si="5"/>
        <v>0</v>
      </c>
      <c r="J53" s="1670">
        <f t="shared" si="5"/>
        <v>0</v>
      </c>
      <c r="K53" s="1670">
        <f t="shared" si="5"/>
        <v>284147</v>
      </c>
      <c r="L53" s="1670">
        <f t="shared" si="5"/>
        <v>206213</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220800</v>
      </c>
      <c r="D55" s="481">
        <v>13254</v>
      </c>
      <c r="E55" s="481">
        <v>318</v>
      </c>
      <c r="F55" s="481">
        <v>2713</v>
      </c>
      <c r="G55" s="481"/>
      <c r="H55" s="481">
        <v>1160</v>
      </c>
      <c r="I55" s="467"/>
      <c r="J55" s="467"/>
      <c r="K55" s="1672">
        <f>SUM(C55:J55)</f>
        <v>238245</v>
      </c>
      <c r="L55" s="481">
        <v>210160</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220800</v>
      </c>
      <c r="D57" s="1674">
        <f t="shared" ref="D57:K57" si="6">SUM(D55:D56)</f>
        <v>13254</v>
      </c>
      <c r="E57" s="1674">
        <f t="shared" si="6"/>
        <v>318</v>
      </c>
      <c r="F57" s="1674">
        <f t="shared" si="6"/>
        <v>2713</v>
      </c>
      <c r="G57" s="1674">
        <f t="shared" si="6"/>
        <v>0</v>
      </c>
      <c r="H57" s="1674">
        <f t="shared" si="6"/>
        <v>1160</v>
      </c>
      <c r="I57" s="1674">
        <f t="shared" si="6"/>
        <v>0</v>
      </c>
      <c r="J57" s="1674">
        <f t="shared" si="6"/>
        <v>0</v>
      </c>
      <c r="K57" s="1674">
        <f t="shared" si="6"/>
        <v>238245</v>
      </c>
      <c r="L57" s="1670">
        <f>SUM(L55:L56)</f>
        <v>210160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35886</v>
      </c>
      <c r="D60" s="466"/>
      <c r="E60" s="466"/>
      <c r="F60" s="466"/>
      <c r="G60" s="466"/>
      <c r="H60" s="466"/>
      <c r="I60" s="467"/>
      <c r="J60" s="467"/>
      <c r="K60" s="1672">
        <f t="shared" si="7"/>
        <v>35886</v>
      </c>
      <c r="L60" s="466">
        <v>28100</v>
      </c>
      <c r="M60" s="609"/>
      <c r="N60" s="609"/>
    </row>
    <row r="61" spans="1:14" s="343" customFormat="1" x14ac:dyDescent="0.2">
      <c r="A61" s="1504" t="s">
        <v>197</v>
      </c>
      <c r="B61" s="614">
        <v>2540</v>
      </c>
      <c r="C61" s="466"/>
      <c r="D61" s="466"/>
      <c r="E61" s="466"/>
      <c r="F61" s="466"/>
      <c r="G61" s="466"/>
      <c r="H61" s="466"/>
      <c r="I61" s="467"/>
      <c r="J61" s="467"/>
      <c r="K61" s="1672">
        <f t="shared" si="7"/>
        <v>0</v>
      </c>
      <c r="L61" s="466"/>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59070</v>
      </c>
      <c r="D63" s="466">
        <v>6358</v>
      </c>
      <c r="E63" s="466">
        <v>1814</v>
      </c>
      <c r="F63" s="466">
        <v>79750</v>
      </c>
      <c r="G63" s="466"/>
      <c r="H63" s="466"/>
      <c r="I63" s="467"/>
      <c r="J63" s="467"/>
      <c r="K63" s="1672">
        <f t="shared" si="7"/>
        <v>146992</v>
      </c>
      <c r="L63" s="466">
        <v>212825</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94956</v>
      </c>
      <c r="D65" s="1670">
        <f t="shared" ref="D65:L65" si="8">SUM(D59:D64)</f>
        <v>6358</v>
      </c>
      <c r="E65" s="1670">
        <f t="shared" si="8"/>
        <v>1814</v>
      </c>
      <c r="F65" s="1670">
        <f t="shared" si="8"/>
        <v>79750</v>
      </c>
      <c r="G65" s="1670">
        <f t="shared" si="8"/>
        <v>0</v>
      </c>
      <c r="H65" s="1670">
        <f t="shared" si="8"/>
        <v>0</v>
      </c>
      <c r="I65" s="1670">
        <f t="shared" si="8"/>
        <v>0</v>
      </c>
      <c r="J65" s="1670">
        <f t="shared" si="8"/>
        <v>0</v>
      </c>
      <c r="K65" s="1670">
        <f t="shared" si="8"/>
        <v>182878</v>
      </c>
      <c r="L65" s="1670">
        <f t="shared" si="8"/>
        <v>240925</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568170</v>
      </c>
      <c r="D74" s="1677">
        <f t="shared" ref="D74:K74" si="10">SUM(D42,D47,D53,D57,D65,D72,D73)</f>
        <v>36332</v>
      </c>
      <c r="E74" s="1677">
        <f t="shared" si="10"/>
        <v>128368</v>
      </c>
      <c r="F74" s="1677">
        <f t="shared" si="10"/>
        <v>98383</v>
      </c>
      <c r="G74" s="1677">
        <f t="shared" si="10"/>
        <v>0</v>
      </c>
      <c r="H74" s="1677">
        <f t="shared" si="10"/>
        <v>5384</v>
      </c>
      <c r="I74" s="1677">
        <f t="shared" si="10"/>
        <v>0</v>
      </c>
      <c r="J74" s="1677">
        <f t="shared" si="10"/>
        <v>0</v>
      </c>
      <c r="K74" s="1677">
        <f t="shared" si="10"/>
        <v>836637</v>
      </c>
      <c r="L74" s="1677">
        <f>SUM(L42,L47,L53,L57,L65,L72,L73)</f>
        <v>820800</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v>234142</v>
      </c>
      <c r="F79" s="616"/>
      <c r="G79" s="616"/>
      <c r="H79" s="466"/>
      <c r="I79" s="477"/>
      <c r="J79" s="477"/>
      <c r="K79" s="1671">
        <f t="shared" si="11"/>
        <v>234142</v>
      </c>
      <c r="L79" s="466">
        <v>228000</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v>8146</v>
      </c>
      <c r="F81" s="616"/>
      <c r="G81" s="616"/>
      <c r="H81" s="466"/>
      <c r="I81" s="477"/>
      <c r="J81" s="477"/>
      <c r="K81" s="1671">
        <f t="shared" si="11"/>
        <v>8146</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242288</v>
      </c>
      <c r="F84" s="616"/>
      <c r="G84" s="616"/>
      <c r="H84" s="1670">
        <f>SUM(H78:H83)</f>
        <v>0</v>
      </c>
      <c r="I84" s="477"/>
      <c r="J84" s="477"/>
      <c r="K84" s="1670">
        <f>SUM(K78:K83)</f>
        <v>242288</v>
      </c>
      <c r="L84" s="1670">
        <f>SUM(L78:L83)</f>
        <v>228000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242288</v>
      </c>
      <c r="F102" s="616"/>
      <c r="G102" s="616"/>
      <c r="H102" s="1677">
        <f>SUM(H84,H92,H100,H101)</f>
        <v>0</v>
      </c>
      <c r="I102" s="477"/>
      <c r="J102" s="477"/>
      <c r="K102" s="1677">
        <f>SUM(K84,K92,K100,K101)</f>
        <v>242288</v>
      </c>
      <c r="L102" s="1677">
        <f>SUM(L84,L92,L100,L101)</f>
        <v>228000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2167521</v>
      </c>
      <c r="D114" s="1670">
        <f t="shared" ref="D114:K114" si="13">SUM(D33,D74,D75,D102,D112,D113)</f>
        <v>154039</v>
      </c>
      <c r="E114" s="1670">
        <f t="shared" si="13"/>
        <v>652282</v>
      </c>
      <c r="F114" s="1670">
        <f t="shared" si="13"/>
        <v>282233</v>
      </c>
      <c r="G114" s="1670">
        <f t="shared" si="13"/>
        <v>7728</v>
      </c>
      <c r="H114" s="1670">
        <f>SUM(H33,H74,H75,H102,H112,H113)</f>
        <v>5384</v>
      </c>
      <c r="I114" s="1670">
        <f t="shared" si="13"/>
        <v>0</v>
      </c>
      <c r="J114" s="1670">
        <f t="shared" si="13"/>
        <v>0</v>
      </c>
      <c r="K114" s="1670">
        <f t="shared" si="13"/>
        <v>3269187</v>
      </c>
      <c r="L114" s="1670">
        <f>SUM(L33,L74,L75,L102,L112,L113)</f>
        <v>3142381</v>
      </c>
    </row>
    <row r="115" spans="1:14" ht="13.5" thickTop="1" x14ac:dyDescent="0.2">
      <c r="A115" s="2179" t="s">
        <v>996</v>
      </c>
      <c r="B115" s="2180"/>
      <c r="C115" s="618"/>
      <c r="D115" s="618"/>
      <c r="E115" s="618"/>
      <c r="F115" s="618"/>
      <c r="G115" s="618"/>
      <c r="H115" s="618"/>
      <c r="I115" s="618"/>
      <c r="J115" s="618"/>
      <c r="K115" s="1684">
        <f>'Revenues 9-14'!C268-'Expenditures 15-22'!K114</f>
        <v>-24899</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7" t="s">
        <v>296</v>
      </c>
      <c r="B117" s="2158"/>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2060</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v>95438</v>
      </c>
      <c r="H123" s="466"/>
      <c r="I123" s="467"/>
      <c r="J123" s="467"/>
      <c r="K123" s="1670">
        <f>SUM(C123:J123)</f>
        <v>95438</v>
      </c>
      <c r="L123" s="466"/>
    </row>
    <row r="124" spans="1:14" ht="14.25" thickTop="1" thickBot="1" x14ac:dyDescent="0.25">
      <c r="A124" s="1504" t="s">
        <v>197</v>
      </c>
      <c r="B124" s="614">
        <v>2540</v>
      </c>
      <c r="C124" s="466">
        <f>162348+2979</f>
        <v>165327</v>
      </c>
      <c r="D124" s="466">
        <v>7427</v>
      </c>
      <c r="E124" s="466">
        <f>50147+1351+17124</f>
        <v>68622</v>
      </c>
      <c r="F124" s="466">
        <f>31490+117602</f>
        <v>149092</v>
      </c>
      <c r="G124" s="466">
        <v>1200</v>
      </c>
      <c r="H124" s="466"/>
      <c r="I124" s="467"/>
      <c r="J124" s="467"/>
      <c r="K124" s="1670">
        <f>SUM(C124:J124)</f>
        <v>391668</v>
      </c>
      <c r="L124" s="466">
        <v>396851</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165327</v>
      </c>
      <c r="D127" s="1670">
        <f t="shared" ref="D127:L127" si="14">SUM(D122:D126)</f>
        <v>7427</v>
      </c>
      <c r="E127" s="1670">
        <f t="shared" si="14"/>
        <v>68622</v>
      </c>
      <c r="F127" s="1670">
        <f t="shared" si="14"/>
        <v>149092</v>
      </c>
      <c r="G127" s="1670">
        <f t="shared" si="14"/>
        <v>96638</v>
      </c>
      <c r="H127" s="1670">
        <f t="shared" si="14"/>
        <v>0</v>
      </c>
      <c r="I127" s="1670">
        <f t="shared" si="14"/>
        <v>0</v>
      </c>
      <c r="J127" s="1670">
        <f t="shared" si="14"/>
        <v>0</v>
      </c>
      <c r="K127" s="1670">
        <f t="shared" si="14"/>
        <v>487106</v>
      </c>
      <c r="L127" s="1670">
        <f t="shared" si="14"/>
        <v>396851</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165327</v>
      </c>
      <c r="D129" s="1677">
        <f t="shared" ref="D129:L129" si="15">SUM(D120,D127,D128)</f>
        <v>7427</v>
      </c>
      <c r="E129" s="1677">
        <f t="shared" si="15"/>
        <v>68622</v>
      </c>
      <c r="F129" s="1677">
        <f t="shared" si="15"/>
        <v>149092</v>
      </c>
      <c r="G129" s="1677">
        <f t="shared" si="15"/>
        <v>96638</v>
      </c>
      <c r="H129" s="1677">
        <f t="shared" si="15"/>
        <v>0</v>
      </c>
      <c r="I129" s="1677">
        <f t="shared" si="15"/>
        <v>0</v>
      </c>
      <c r="J129" s="1677">
        <f t="shared" si="15"/>
        <v>0</v>
      </c>
      <c r="K129" s="1677">
        <f t="shared" si="15"/>
        <v>487106</v>
      </c>
      <c r="L129" s="1677">
        <f t="shared" si="15"/>
        <v>396851</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1845</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69" t="s">
        <v>620</v>
      </c>
      <c r="B151" s="2151"/>
      <c r="C151" s="1670">
        <f>SUM(C129,C130,C139,C149,C150)</f>
        <v>165327</v>
      </c>
      <c r="D151" s="1670">
        <f t="shared" ref="D151:K151" si="16">SUM(D129,D130,D139,D149,D150)</f>
        <v>7427</v>
      </c>
      <c r="E151" s="1670">
        <f t="shared" si="16"/>
        <v>68622</v>
      </c>
      <c r="F151" s="1670">
        <f t="shared" si="16"/>
        <v>149092</v>
      </c>
      <c r="G151" s="1670">
        <f t="shared" si="16"/>
        <v>96638</v>
      </c>
      <c r="H151" s="1670">
        <f t="shared" si="16"/>
        <v>0</v>
      </c>
      <c r="I151" s="1670">
        <f t="shared" si="16"/>
        <v>0</v>
      </c>
      <c r="J151" s="1670">
        <f t="shared" si="16"/>
        <v>0</v>
      </c>
      <c r="K151" s="1670">
        <f t="shared" si="16"/>
        <v>487106</v>
      </c>
      <c r="L151" s="1670">
        <f>SUM(L129,L130,L139,L149,L150)</f>
        <v>396851</v>
      </c>
    </row>
    <row r="152" spans="1:14" ht="12.75" customHeight="1" thickTop="1" x14ac:dyDescent="0.2">
      <c r="A152" s="2172" t="s">
        <v>1178</v>
      </c>
      <c r="B152" s="2173"/>
      <c r="C152" s="618"/>
      <c r="D152" s="618"/>
      <c r="E152" s="618"/>
      <c r="F152" s="618"/>
      <c r="G152" s="618"/>
      <c r="H152" s="618"/>
      <c r="I152" s="618"/>
      <c r="J152" s="616"/>
      <c r="K152" s="1684">
        <f>'Revenues 9-14'!D268-'Expenditures 15-22'!K151</f>
        <v>-148067</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7" t="s">
        <v>621</v>
      </c>
      <c r="B154" s="2159"/>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1846</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1845</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1847</v>
      </c>
      <c r="C158" s="616"/>
      <c r="D158" s="616"/>
      <c r="E158" s="616"/>
      <c r="F158" s="616"/>
      <c r="G158" s="616"/>
      <c r="H158" s="467"/>
      <c r="I158" s="616"/>
      <c r="J158" s="616"/>
      <c r="K158" s="1671">
        <f>H158</f>
        <v>0</v>
      </c>
      <c r="L158" s="467"/>
      <c r="M158" s="619"/>
      <c r="N158" s="619"/>
    </row>
    <row r="159" spans="1:14" s="620" customFormat="1" ht="12" x14ac:dyDescent="0.2">
      <c r="A159" s="1826" t="s">
        <v>1848</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1849</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49472</v>
      </c>
      <c r="I169" s="616"/>
      <c r="J169" s="616"/>
      <c r="K169" s="1671">
        <f>SUM(C169:H169)</f>
        <v>49472</v>
      </c>
      <c r="L169" s="656">
        <v>22511</v>
      </c>
    </row>
    <row r="170" spans="1:14" ht="33.75" customHeight="1" x14ac:dyDescent="0.2">
      <c r="A170" s="669" t="s">
        <v>1670</v>
      </c>
      <c r="B170" s="671" t="s">
        <v>31</v>
      </c>
      <c r="C170" s="616"/>
      <c r="D170" s="616"/>
      <c r="E170" s="616"/>
      <c r="F170" s="616"/>
      <c r="G170" s="616"/>
      <c r="H170" s="569">
        <v>499300</v>
      </c>
      <c r="I170" s="616"/>
      <c r="J170" s="616"/>
      <c r="K170" s="1671">
        <f>SUM(C170:J170)</f>
        <v>499300</v>
      </c>
      <c r="L170" s="569">
        <v>526600</v>
      </c>
    </row>
    <row r="171" spans="1:14" ht="15.75" customHeight="1" x14ac:dyDescent="0.2">
      <c r="A171" s="621" t="s">
        <v>766</v>
      </c>
      <c r="B171" s="672" t="s">
        <v>84</v>
      </c>
      <c r="C171" s="616"/>
      <c r="D171" s="616"/>
      <c r="E171" s="466"/>
      <c r="F171" s="616"/>
      <c r="G171" s="616"/>
      <c r="H171" s="569"/>
      <c r="I171" s="477"/>
      <c r="J171" s="616"/>
      <c r="K171" s="1671">
        <f>SUM(C171:J171)</f>
        <v>0</v>
      </c>
      <c r="L171" s="569">
        <v>750</v>
      </c>
    </row>
    <row r="172" spans="1:14" ht="12.75" customHeight="1" thickBot="1" x14ac:dyDescent="0.25">
      <c r="A172" s="1668" t="s">
        <v>638</v>
      </c>
      <c r="B172" s="1669" t="s">
        <v>492</v>
      </c>
      <c r="C172" s="616"/>
      <c r="D172" s="616"/>
      <c r="E172" s="1677">
        <f>SUM(E168,E169,E170,E171)</f>
        <v>0</v>
      </c>
      <c r="F172" s="616"/>
      <c r="G172" s="616"/>
      <c r="H172" s="1677">
        <f>SUM(H168,H169,H170,H171)</f>
        <v>548772</v>
      </c>
      <c r="I172" s="638"/>
      <c r="J172" s="616"/>
      <c r="K172" s="1677">
        <f>SUM(K168,K169,K170,K171)</f>
        <v>548772</v>
      </c>
      <c r="L172" s="1677">
        <f>SUM(L168,L169,L170,L171)</f>
        <v>549861</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548772</v>
      </c>
      <c r="I174" s="638"/>
      <c r="J174" s="616"/>
      <c r="K174" s="1677">
        <f>SUM(K160,K172,K173)</f>
        <v>548772</v>
      </c>
      <c r="L174" s="1677">
        <f>SUM(L160,L172,L173)</f>
        <v>549861</v>
      </c>
    </row>
    <row r="175" spans="1:14" ht="13.5" thickTop="1" x14ac:dyDescent="0.2">
      <c r="A175" s="2179" t="s">
        <v>996</v>
      </c>
      <c r="B175" s="2180"/>
      <c r="C175" s="616"/>
      <c r="D175" s="616"/>
      <c r="E175" s="616"/>
      <c r="F175" s="616"/>
      <c r="G175" s="616"/>
      <c r="H175" s="618"/>
      <c r="I175" s="616"/>
      <c r="J175" s="616"/>
      <c r="K175" s="1684">
        <f>'Revenues 9-14'!E268-'Expenditures 15-22'!K174</f>
        <v>-10789</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2060</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25046</v>
      </c>
      <c r="D182" s="466"/>
      <c r="E182" s="466">
        <f>503219</f>
        <v>503219</v>
      </c>
      <c r="F182" s="466">
        <f>444+1052</f>
        <v>1496</v>
      </c>
      <c r="G182" s="466"/>
      <c r="H182" s="466"/>
      <c r="I182" s="467"/>
      <c r="J182" s="467"/>
      <c r="K182" s="1671">
        <f>SUM(C182:J182)</f>
        <v>529761</v>
      </c>
      <c r="L182" s="466">
        <v>415125</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25046</v>
      </c>
      <c r="D184" s="1677">
        <f t="shared" ref="D184:J184" si="17">SUM(D180,D182,D183)</f>
        <v>0</v>
      </c>
      <c r="E184" s="1677">
        <f t="shared" si="17"/>
        <v>503219</v>
      </c>
      <c r="F184" s="1677">
        <f t="shared" si="17"/>
        <v>1496</v>
      </c>
      <c r="G184" s="1677">
        <f t="shared" si="17"/>
        <v>0</v>
      </c>
      <c r="H184" s="1677">
        <f t="shared" si="17"/>
        <v>0</v>
      </c>
      <c r="I184" s="1677">
        <f t="shared" si="17"/>
        <v>0</v>
      </c>
      <c r="J184" s="1677">
        <f t="shared" si="17"/>
        <v>0</v>
      </c>
      <c r="K184" s="1677">
        <f>SUM(K180,K182,K183)</f>
        <v>529761</v>
      </c>
      <c r="L184" s="1677">
        <f>SUM(L180, L182:L183)</f>
        <v>415125</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25046</v>
      </c>
      <c r="D210" s="1670">
        <f>SUM(D184,D185)</f>
        <v>0</v>
      </c>
      <c r="E210" s="1670">
        <f>SUM(E184,E185,E196)</f>
        <v>503219</v>
      </c>
      <c r="F210" s="1670">
        <f>SUM(F184,F185)</f>
        <v>1496</v>
      </c>
      <c r="G210" s="1670">
        <f>SUM(G184,G185)</f>
        <v>0</v>
      </c>
      <c r="H210" s="1670">
        <f>SUM(H184,H185,H196,H208,H209)</f>
        <v>0</v>
      </c>
      <c r="I210" s="1670">
        <f>SUM(I184,I185)</f>
        <v>0</v>
      </c>
      <c r="J210" s="1670">
        <f>SUM(J184,J185)</f>
        <v>0</v>
      </c>
      <c r="K210" s="1671">
        <f>SUM(K184,K185,K196,K208,K209)</f>
        <v>529761</v>
      </c>
      <c r="L210" s="1670">
        <f>SUM(L184,L185,L196,L208,L209)</f>
        <v>415125</v>
      </c>
    </row>
    <row r="211" spans="1:14" ht="13.5" thickTop="1" x14ac:dyDescent="0.2">
      <c r="A211" s="2179" t="s">
        <v>996</v>
      </c>
      <c r="B211" s="2180"/>
      <c r="C211" s="618"/>
      <c r="D211" s="618"/>
      <c r="E211" s="618"/>
      <c r="F211" s="618"/>
      <c r="G211" s="618"/>
      <c r="H211" s="618"/>
      <c r="I211" s="616"/>
      <c r="J211" s="616"/>
      <c r="K211" s="1684">
        <f>'Revenues 9-14'!F268-'Expenditures 15-22'!K210</f>
        <v>-133223</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4" t="s">
        <v>965</v>
      </c>
      <c r="B213" s="2175"/>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f>9613+11548</f>
        <v>21161</v>
      </c>
      <c r="E215" s="616"/>
      <c r="F215" s="616"/>
      <c r="G215" s="616"/>
      <c r="H215" s="616"/>
      <c r="I215" s="616"/>
      <c r="J215" s="616"/>
      <c r="K215" s="1671">
        <f>D215</f>
        <v>21161</v>
      </c>
      <c r="L215" s="466">
        <v>34000</v>
      </c>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v>24367</v>
      </c>
      <c r="E217" s="616"/>
      <c r="F217" s="616"/>
      <c r="G217" s="616"/>
      <c r="H217" s="616"/>
      <c r="I217" s="616"/>
      <c r="J217" s="616"/>
      <c r="K217" s="1671">
        <f t="shared" si="19"/>
        <v>24367</v>
      </c>
      <c r="L217" s="466">
        <v>21409</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c r="E219" s="616"/>
      <c r="F219" s="616"/>
      <c r="G219" s="616"/>
      <c r="H219" s="616"/>
      <c r="I219" s="616"/>
      <c r="J219" s="616"/>
      <c r="K219" s="1671">
        <f t="shared" si="19"/>
        <v>0</v>
      </c>
      <c r="L219" s="466"/>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v>628</v>
      </c>
      <c r="E222" s="616"/>
      <c r="F222" s="616"/>
      <c r="G222" s="616"/>
      <c r="H222" s="616"/>
      <c r="I222" s="616"/>
      <c r="J222" s="616"/>
      <c r="K222" s="1671">
        <f t="shared" si="19"/>
        <v>628</v>
      </c>
      <c r="L222" s="466">
        <v>450</v>
      </c>
    </row>
    <row r="223" spans="1:14" x14ac:dyDescent="0.2">
      <c r="A223" s="1504" t="s">
        <v>963</v>
      </c>
      <c r="B223" s="614">
        <v>1500</v>
      </c>
      <c r="C223" s="616"/>
      <c r="D223" s="466">
        <v>5651</v>
      </c>
      <c r="E223" s="616"/>
      <c r="F223" s="616"/>
      <c r="G223" s="616"/>
      <c r="H223" s="616"/>
      <c r="I223" s="616"/>
      <c r="J223" s="616"/>
      <c r="K223" s="1671">
        <f t="shared" si="19"/>
        <v>5651</v>
      </c>
      <c r="L223" s="466">
        <v>2870</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51807</v>
      </c>
      <c r="E229" s="616"/>
      <c r="F229" s="616"/>
      <c r="G229" s="616"/>
      <c r="H229" s="616"/>
      <c r="I229" s="616"/>
      <c r="J229" s="616"/>
      <c r="K229" s="1670">
        <f>SUM(K215:K228)</f>
        <v>51807</v>
      </c>
      <c r="L229" s="1670">
        <f>SUM(L215:L228)</f>
        <v>58729</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c r="E233" s="616"/>
      <c r="F233" s="616"/>
      <c r="G233" s="616"/>
      <c r="H233" s="616"/>
      <c r="I233" s="616"/>
      <c r="J233" s="616"/>
      <c r="K233" s="1671">
        <f t="shared" si="20"/>
        <v>0</v>
      </c>
      <c r="L233" s="466">
        <v>438</v>
      </c>
    </row>
    <row r="234" spans="1:12" x14ac:dyDescent="0.2">
      <c r="A234" s="1504" t="s">
        <v>198</v>
      </c>
      <c r="B234" s="614">
        <v>2130</v>
      </c>
      <c r="C234" s="616"/>
      <c r="D234" s="466">
        <v>6165</v>
      </c>
      <c r="E234" s="616"/>
      <c r="F234" s="616"/>
      <c r="G234" s="616"/>
      <c r="H234" s="616"/>
      <c r="I234" s="616"/>
      <c r="J234" s="616"/>
      <c r="K234" s="1671">
        <f t="shared" si="20"/>
        <v>6165</v>
      </c>
      <c r="L234" s="466">
        <v>7000</v>
      </c>
    </row>
    <row r="235" spans="1:12" x14ac:dyDescent="0.2">
      <c r="A235" s="1504" t="s">
        <v>199</v>
      </c>
      <c r="B235" s="614">
        <v>2140</v>
      </c>
      <c r="C235" s="616"/>
      <c r="D235" s="466"/>
      <c r="E235" s="616"/>
      <c r="F235" s="616"/>
      <c r="G235" s="616"/>
      <c r="H235" s="616"/>
      <c r="I235" s="616"/>
      <c r="J235" s="616"/>
      <c r="K235" s="1671">
        <f t="shared" si="20"/>
        <v>0</v>
      </c>
      <c r="L235" s="466">
        <v>25</v>
      </c>
    </row>
    <row r="236" spans="1:12" x14ac:dyDescent="0.2">
      <c r="A236" s="1504" t="s">
        <v>200</v>
      </c>
      <c r="B236" s="614">
        <v>2150</v>
      </c>
      <c r="C236" s="616"/>
      <c r="D236" s="466">
        <v>535</v>
      </c>
      <c r="E236" s="616"/>
      <c r="F236" s="616"/>
      <c r="G236" s="616"/>
      <c r="H236" s="616"/>
      <c r="I236" s="616"/>
      <c r="J236" s="616"/>
      <c r="K236" s="1671">
        <f t="shared" si="20"/>
        <v>535</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6700</v>
      </c>
      <c r="E238" s="616"/>
      <c r="F238" s="616"/>
      <c r="G238" s="616"/>
      <c r="H238" s="616"/>
      <c r="I238" s="616"/>
      <c r="J238" s="616"/>
      <c r="K238" s="1670">
        <f>SUM(K232:K237)</f>
        <v>6700</v>
      </c>
      <c r="L238" s="1670">
        <f>SUM(L232:L237)</f>
        <v>7463</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c r="E241" s="616"/>
      <c r="F241" s="616"/>
      <c r="G241" s="616"/>
      <c r="H241" s="616"/>
      <c r="I241" s="616"/>
      <c r="J241" s="616"/>
      <c r="K241" s="1672">
        <f>D241</f>
        <v>0</v>
      </c>
      <c r="L241" s="466"/>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0</v>
      </c>
      <c r="E243" s="616"/>
      <c r="F243" s="616"/>
      <c r="G243" s="616"/>
      <c r="H243" s="616"/>
      <c r="I243" s="616"/>
      <c r="J243" s="616"/>
      <c r="K243" s="1670">
        <f>SUM(K240:K242)</f>
        <v>0</v>
      </c>
      <c r="L243" s="1670">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1331</v>
      </c>
      <c r="E245" s="616"/>
      <c r="F245" s="616"/>
      <c r="G245" s="616"/>
      <c r="H245" s="616"/>
      <c r="I245" s="616"/>
      <c r="J245" s="616"/>
      <c r="K245" s="1672">
        <f>D245</f>
        <v>1331</v>
      </c>
      <c r="L245" s="481"/>
    </row>
    <row r="246" spans="1:12" x14ac:dyDescent="0.2">
      <c r="A246" s="1504" t="s">
        <v>818</v>
      </c>
      <c r="B246" s="614">
        <v>2320</v>
      </c>
      <c r="C246" s="616"/>
      <c r="D246" s="466">
        <v>13489</v>
      </c>
      <c r="E246" s="616"/>
      <c r="F246" s="616"/>
      <c r="G246" s="616"/>
      <c r="H246" s="616"/>
      <c r="I246" s="616"/>
      <c r="J246" s="616"/>
      <c r="K246" s="1672">
        <f t="shared" ref="K246:K256" si="21">D246</f>
        <v>13489</v>
      </c>
      <c r="L246" s="466">
        <v>9309</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14820</v>
      </c>
      <c r="E257" s="616"/>
      <c r="F257" s="616"/>
      <c r="G257" s="616"/>
      <c r="H257" s="616"/>
      <c r="I257" s="616"/>
      <c r="J257" s="616"/>
      <c r="K257" s="1670">
        <f>SUM(K245:K256)</f>
        <v>14820</v>
      </c>
      <c r="L257" s="1670">
        <f>SUM(L245:L256)</f>
        <v>9309</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11379</v>
      </c>
      <c r="E259" s="616"/>
      <c r="F259" s="616"/>
      <c r="G259" s="616"/>
      <c r="H259" s="616"/>
      <c r="I259" s="616"/>
      <c r="J259" s="616"/>
      <c r="K259" s="1672">
        <f>D259</f>
        <v>11379</v>
      </c>
      <c r="L259" s="481">
        <v>7431</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11379</v>
      </c>
      <c r="E261" s="616"/>
      <c r="F261" s="616"/>
      <c r="G261" s="616"/>
      <c r="H261" s="616"/>
      <c r="I261" s="616"/>
      <c r="J261" s="616"/>
      <c r="K261" s="1670">
        <f>SUM(K259:K260)</f>
        <v>11379</v>
      </c>
      <c r="L261" s="1670">
        <f>SUM(L259:L260)</f>
        <v>7431</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c r="E264" s="616"/>
      <c r="F264" s="616"/>
      <c r="G264" s="616"/>
      <c r="H264" s="616"/>
      <c r="I264" s="616"/>
      <c r="J264" s="616"/>
      <c r="K264" s="1672">
        <f t="shared" ref="K264:K269" si="22">D264</f>
        <v>0</v>
      </c>
      <c r="L264" s="466"/>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27402</v>
      </c>
      <c r="E266" s="616"/>
      <c r="F266" s="616"/>
      <c r="G266" s="616"/>
      <c r="H266" s="616"/>
      <c r="I266" s="616"/>
      <c r="J266" s="616"/>
      <c r="K266" s="1672">
        <f t="shared" si="22"/>
        <v>27402</v>
      </c>
      <c r="L266" s="466">
        <v>18723</v>
      </c>
    </row>
    <row r="267" spans="1:14" x14ac:dyDescent="0.2">
      <c r="A267" s="1504" t="s">
        <v>953</v>
      </c>
      <c r="B267" s="614">
        <v>2550</v>
      </c>
      <c r="C267" s="616"/>
      <c r="D267" s="466">
        <v>2699</v>
      </c>
      <c r="E267" s="616"/>
      <c r="F267" s="616"/>
      <c r="G267" s="616"/>
      <c r="H267" s="616"/>
      <c r="I267" s="616"/>
      <c r="J267" s="616"/>
      <c r="K267" s="1672">
        <f t="shared" si="22"/>
        <v>2699</v>
      </c>
      <c r="L267" s="466">
        <v>2295</v>
      </c>
    </row>
    <row r="268" spans="1:14" x14ac:dyDescent="0.2">
      <c r="A268" s="1504" t="s">
        <v>100</v>
      </c>
      <c r="B268" s="614">
        <v>2560</v>
      </c>
      <c r="C268" s="616"/>
      <c r="D268" s="466">
        <v>9269</v>
      </c>
      <c r="E268" s="616"/>
      <c r="F268" s="616"/>
      <c r="G268" s="616"/>
      <c r="H268" s="616"/>
      <c r="I268" s="616"/>
      <c r="J268" s="616"/>
      <c r="K268" s="1672">
        <f t="shared" si="22"/>
        <v>9269</v>
      </c>
      <c r="L268" s="466">
        <v>20000</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39370</v>
      </c>
      <c r="E270" s="616"/>
      <c r="F270" s="616"/>
      <c r="G270" s="616"/>
      <c r="H270" s="616"/>
      <c r="I270" s="616"/>
      <c r="J270" s="616"/>
      <c r="K270" s="1670">
        <f>SUM(K263:K269)</f>
        <v>39370</v>
      </c>
      <c r="L270" s="1670">
        <f>SUM(L263:L269)</f>
        <v>41018</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72269</v>
      </c>
      <c r="E279" s="616"/>
      <c r="F279" s="616"/>
      <c r="G279" s="616"/>
      <c r="H279" s="616"/>
      <c r="I279" s="616"/>
      <c r="J279" s="616"/>
      <c r="K279" s="1677">
        <f>SUM(K238,K243,K257,K261,K270,K277,K278)</f>
        <v>72269</v>
      </c>
      <c r="L279" s="1677">
        <f>SUM(L238,L243,L257,L261,L270,L277,L278)</f>
        <v>65221</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1845</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0" t="s">
        <v>505</v>
      </c>
      <c r="B295" s="2171"/>
      <c r="C295" s="616"/>
      <c r="D295" s="1670">
        <f>SUM(D229,D279,D280,D285)</f>
        <v>124076</v>
      </c>
      <c r="E295" s="616"/>
      <c r="F295" s="616"/>
      <c r="G295" s="616"/>
      <c r="H295" s="1670">
        <f>H293</f>
        <v>0</v>
      </c>
      <c r="I295" s="616"/>
      <c r="J295" s="616"/>
      <c r="K295" s="1670">
        <f>SUM(K229,K279,K280,K285,K293,K294)</f>
        <v>124076</v>
      </c>
      <c r="L295" s="1670">
        <f>SUM(L229,L279,L280,L285,L293,L294)</f>
        <v>123950</v>
      </c>
    </row>
    <row r="296" spans="1:14" ht="13.5" thickTop="1" x14ac:dyDescent="0.2">
      <c r="A296" s="2179" t="s">
        <v>996</v>
      </c>
      <c r="B296" s="2180"/>
      <c r="C296" s="616"/>
      <c r="D296" s="618"/>
      <c r="E296" s="616"/>
      <c r="F296" s="616"/>
      <c r="G296" s="616"/>
      <c r="H296" s="687"/>
      <c r="I296" s="616"/>
      <c r="J296" s="616"/>
      <c r="K296" s="1684">
        <f>'Revenues 9-14'!G268-'Expenditures 15-22'!K295</f>
        <v>-51272</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2" t="s">
        <v>143</v>
      </c>
      <c r="B298" s="2156"/>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v>7746</v>
      </c>
      <c r="F301" s="466">
        <v>7007</v>
      </c>
      <c r="G301" s="466">
        <v>708735</v>
      </c>
      <c r="H301" s="466"/>
      <c r="I301" s="467"/>
      <c r="J301" s="467"/>
      <c r="K301" s="1671">
        <f>SUM(C301:J301)</f>
        <v>723488</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7746</v>
      </c>
      <c r="F303" s="1677">
        <f t="shared" si="23"/>
        <v>7007</v>
      </c>
      <c r="G303" s="1677">
        <f t="shared" si="23"/>
        <v>708735</v>
      </c>
      <c r="H303" s="1677">
        <f t="shared" si="23"/>
        <v>0</v>
      </c>
      <c r="I303" s="1677">
        <f t="shared" si="23"/>
        <v>0</v>
      </c>
      <c r="J303" s="1677">
        <f t="shared" si="23"/>
        <v>0</v>
      </c>
      <c r="K303" s="1677">
        <f t="shared" si="23"/>
        <v>723488</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1850</v>
      </c>
      <c r="B306" s="690" t="s">
        <v>1845</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67" t="s">
        <v>277</v>
      </c>
      <c r="B312" s="2168"/>
      <c r="C312" s="1670">
        <f>SUM(C303)</f>
        <v>0</v>
      </c>
      <c r="D312" s="1670">
        <f>SUM(D303)</f>
        <v>0</v>
      </c>
      <c r="E312" s="1670">
        <f>SUM(E303,E310)</f>
        <v>7746</v>
      </c>
      <c r="F312" s="1670">
        <f>SUM(F303)</f>
        <v>7007</v>
      </c>
      <c r="G312" s="1670">
        <f>SUM(G303)</f>
        <v>708735</v>
      </c>
      <c r="H312" s="1670">
        <f>SUM(H303,H310)</f>
        <v>0</v>
      </c>
      <c r="I312" s="1670">
        <f>SUM(I303)</f>
        <v>0</v>
      </c>
      <c r="J312" s="1670">
        <f>SUM(J303)</f>
        <v>0</v>
      </c>
      <c r="K312" s="1670">
        <f>SUM(K303,K310,K311)</f>
        <v>723488</v>
      </c>
      <c r="L312" s="1670">
        <f>SUM(L303,L310,L311)</f>
        <v>0</v>
      </c>
      <c r="M312" s="665"/>
      <c r="N312" s="665"/>
    </row>
    <row r="313" spans="1:14" ht="13.5" thickTop="1" x14ac:dyDescent="0.2">
      <c r="A313" s="2163" t="s">
        <v>996</v>
      </c>
      <c r="B313" s="2164"/>
      <c r="C313" s="626"/>
      <c r="D313" s="626"/>
      <c r="E313" s="626"/>
      <c r="F313" s="626"/>
      <c r="G313" s="626"/>
      <c r="H313" s="626"/>
      <c r="I313" s="626"/>
      <c r="J313" s="626"/>
      <c r="K313" s="1685">
        <f>'Revenues 9-14'!H268-'Expenditures 15-22'!K312</f>
        <v>-646376</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6" t="s">
        <v>149</v>
      </c>
      <c r="B315" s="2177"/>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78" t="s">
        <v>898</v>
      </c>
      <c r="B317" s="2177"/>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v>14462</v>
      </c>
      <c r="F320" s="467"/>
      <c r="G320" s="467"/>
      <c r="H320" s="467"/>
      <c r="I320" s="467"/>
      <c r="J320" s="467"/>
      <c r="K320" s="1671">
        <f t="shared" ref="K320:K327" si="24">SUM(C320:J320)</f>
        <v>14462</v>
      </c>
      <c r="L320" s="467">
        <v>40000</v>
      </c>
      <c r="M320" s="665"/>
      <c r="N320" s="665"/>
    </row>
    <row r="321" spans="1:14" s="674" customFormat="1" x14ac:dyDescent="0.2">
      <c r="A321" s="1519" t="s">
        <v>300</v>
      </c>
      <c r="B321" s="697" t="s">
        <v>283</v>
      </c>
      <c r="C321" s="467"/>
      <c r="D321" s="467"/>
      <c r="E321" s="467">
        <v>100</v>
      </c>
      <c r="F321" s="467"/>
      <c r="G321" s="467"/>
      <c r="H321" s="467"/>
      <c r="I321" s="467"/>
      <c r="J321" s="467"/>
      <c r="K321" s="1671">
        <f t="shared" si="24"/>
        <v>100</v>
      </c>
      <c r="L321" s="467"/>
      <c r="M321" s="665"/>
      <c r="N321" s="665"/>
    </row>
    <row r="322" spans="1:14" s="674" customFormat="1" x14ac:dyDescent="0.2">
      <c r="A322" s="1519" t="s">
        <v>238</v>
      </c>
      <c r="B322" s="697" t="s">
        <v>284</v>
      </c>
      <c r="C322" s="467"/>
      <c r="D322" s="467"/>
      <c r="E322" s="467">
        <v>43772</v>
      </c>
      <c r="F322" s="467"/>
      <c r="G322" s="467"/>
      <c r="H322" s="467"/>
      <c r="I322" s="467"/>
      <c r="J322" s="467"/>
      <c r="K322" s="1671">
        <f t="shared" si="24"/>
        <v>43772</v>
      </c>
      <c r="L322" s="467">
        <v>57500</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v>108580</v>
      </c>
      <c r="I324" s="467"/>
      <c r="J324" s="467"/>
      <c r="K324" s="1671">
        <f t="shared" si="24"/>
        <v>108580</v>
      </c>
      <c r="L324" s="467">
        <v>108595</v>
      </c>
      <c r="M324" s="665"/>
      <c r="N324" s="665"/>
    </row>
    <row r="325" spans="1:14" s="674" customFormat="1" ht="22.5" x14ac:dyDescent="0.2">
      <c r="A325" s="1519" t="s">
        <v>1029</v>
      </c>
      <c r="B325" s="698" t="s">
        <v>287</v>
      </c>
      <c r="C325" s="467">
        <v>17400</v>
      </c>
      <c r="D325" s="467"/>
      <c r="E325" s="467"/>
      <c r="F325" s="467"/>
      <c r="G325" s="467"/>
      <c r="H325" s="467"/>
      <c r="I325" s="467"/>
      <c r="J325" s="467"/>
      <c r="K325" s="1671">
        <f t="shared" si="24"/>
        <v>17400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v>99628</v>
      </c>
      <c r="F327" s="467"/>
      <c r="G327" s="467"/>
      <c r="H327" s="467"/>
      <c r="I327" s="467"/>
      <c r="J327" s="467"/>
      <c r="K327" s="1671">
        <f t="shared" si="24"/>
        <v>99628</v>
      </c>
      <c r="L327" s="467">
        <v>55000</v>
      </c>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17400</v>
      </c>
      <c r="D330" s="1670">
        <f t="shared" ref="D330:J330" si="25">SUM(D319:D329)</f>
        <v>0</v>
      </c>
      <c r="E330" s="1670">
        <f t="shared" si="25"/>
        <v>157962</v>
      </c>
      <c r="F330" s="1670">
        <f t="shared" si="25"/>
        <v>0</v>
      </c>
      <c r="G330" s="1670">
        <f t="shared" si="25"/>
        <v>0</v>
      </c>
      <c r="H330" s="1670">
        <f t="shared" si="25"/>
        <v>108580</v>
      </c>
      <c r="I330" s="1670">
        <f t="shared" si="25"/>
        <v>0</v>
      </c>
      <c r="J330" s="1670">
        <f t="shared" si="25"/>
        <v>0</v>
      </c>
      <c r="K330" s="1670">
        <f>SUM(K319:K329)</f>
        <v>283942</v>
      </c>
      <c r="L330" s="1670">
        <f>SUM(L319:L329)</f>
        <v>261095</v>
      </c>
      <c r="M330" s="665"/>
      <c r="N330" s="665"/>
    </row>
    <row r="331" spans="1:14" s="674" customFormat="1" ht="12.75" customHeight="1" thickTop="1" x14ac:dyDescent="0.2">
      <c r="A331" s="1831" t="s">
        <v>1851</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1845</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1847</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1852</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17400</v>
      </c>
      <c r="D342" s="1670">
        <f>SUM(D330)</f>
        <v>0</v>
      </c>
      <c r="E342" s="1670">
        <f>SUM(E330)</f>
        <v>157962</v>
      </c>
      <c r="F342" s="1670">
        <f>SUM(F330)</f>
        <v>0</v>
      </c>
      <c r="G342" s="1670">
        <f>SUM(G330)</f>
        <v>0</v>
      </c>
      <c r="H342" s="1670">
        <f>SUM(H330,H334,H340)</f>
        <v>108580</v>
      </c>
      <c r="I342" s="1670">
        <f>SUM(I330)</f>
        <v>0</v>
      </c>
      <c r="J342" s="1670">
        <f>SUM(J330)</f>
        <v>0</v>
      </c>
      <c r="K342" s="1670">
        <f>SUM(K330,K334,K340)</f>
        <v>283942</v>
      </c>
      <c r="L342" s="1677">
        <f>SUM(L330,L340,L341)</f>
        <v>261095</v>
      </c>
    </row>
    <row r="343" spans="1:14" ht="12.75" customHeight="1" thickTop="1" x14ac:dyDescent="0.2">
      <c r="A343" s="2165" t="s">
        <v>996</v>
      </c>
      <c r="B343" s="2166"/>
      <c r="C343" s="616"/>
      <c r="D343" s="616"/>
      <c r="E343" s="616"/>
      <c r="F343" s="616"/>
      <c r="G343" s="616"/>
      <c r="H343" s="616"/>
      <c r="I343" s="616"/>
      <c r="J343" s="616"/>
      <c r="K343" s="1684">
        <f>'Revenues 9-14'!J268-'Expenditures 15-22'!K342</f>
        <v>542</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5" t="s">
        <v>966</v>
      </c>
      <c r="B345" s="2156"/>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v>110344</v>
      </c>
      <c r="H348" s="466"/>
      <c r="I348" s="467"/>
      <c r="J348" s="467"/>
      <c r="K348" s="1671">
        <f>SUM(C348:J348)</f>
        <v>110344</v>
      </c>
      <c r="L348" s="466"/>
    </row>
    <row r="349" spans="1:14" x14ac:dyDescent="0.2">
      <c r="A349" s="1504" t="s">
        <v>197</v>
      </c>
      <c r="B349" s="614">
        <v>2540</v>
      </c>
      <c r="C349" s="466"/>
      <c r="D349" s="466"/>
      <c r="E349" s="466">
        <v>2115</v>
      </c>
      <c r="F349" s="466">
        <v>9474</v>
      </c>
      <c r="G349" s="466"/>
      <c r="H349" s="466"/>
      <c r="I349" s="467"/>
      <c r="J349" s="467"/>
      <c r="K349" s="1671">
        <f>SUM(C349:J349)</f>
        <v>11589</v>
      </c>
      <c r="L349" s="466">
        <v>2000</v>
      </c>
    </row>
    <row r="350" spans="1:14" ht="12.75" customHeight="1" thickBot="1" x14ac:dyDescent="0.25">
      <c r="A350" s="1668" t="s">
        <v>719</v>
      </c>
      <c r="B350" s="1669" t="s">
        <v>35</v>
      </c>
      <c r="C350" s="1670">
        <f>SUM(C348:C349)</f>
        <v>0</v>
      </c>
      <c r="D350" s="1670">
        <f t="shared" ref="D350:L350" si="26">SUM(D348:D349)</f>
        <v>0</v>
      </c>
      <c r="E350" s="1670">
        <f t="shared" si="26"/>
        <v>2115</v>
      </c>
      <c r="F350" s="1670">
        <f t="shared" si="26"/>
        <v>9474</v>
      </c>
      <c r="G350" s="1670">
        <f t="shared" si="26"/>
        <v>110344</v>
      </c>
      <c r="H350" s="1670">
        <f t="shared" si="26"/>
        <v>0</v>
      </c>
      <c r="I350" s="1670">
        <f t="shared" si="26"/>
        <v>0</v>
      </c>
      <c r="J350" s="1670">
        <f t="shared" si="26"/>
        <v>0</v>
      </c>
      <c r="K350" s="1670">
        <f t="shared" si="26"/>
        <v>121933</v>
      </c>
      <c r="L350" s="1670">
        <f t="shared" si="26"/>
        <v>2000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2115</v>
      </c>
      <c r="F352" s="1670">
        <f t="shared" si="27"/>
        <v>9474</v>
      </c>
      <c r="G352" s="1670">
        <f t="shared" si="27"/>
        <v>110344</v>
      </c>
      <c r="H352" s="1670">
        <f t="shared" si="27"/>
        <v>0</v>
      </c>
      <c r="I352" s="1670">
        <f t="shared" si="27"/>
        <v>0</v>
      </c>
      <c r="J352" s="1670">
        <f t="shared" si="27"/>
        <v>0</v>
      </c>
      <c r="K352" s="1670">
        <f t="shared" si="27"/>
        <v>121933</v>
      </c>
      <c r="L352" s="1670">
        <f t="shared" si="27"/>
        <v>2000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1853</v>
      </c>
      <c r="B354" s="683" t="s">
        <v>1845</v>
      </c>
      <c r="C354" s="616"/>
      <c r="D354" s="616"/>
      <c r="E354" s="616"/>
      <c r="F354" s="616"/>
      <c r="G354" s="616"/>
      <c r="H354" s="474"/>
      <c r="I354" s="701"/>
      <c r="J354" s="616"/>
      <c r="K354" s="1699">
        <f>H354</f>
        <v>0</v>
      </c>
      <c r="L354" s="471"/>
    </row>
    <row r="355" spans="1:14" ht="12.75" customHeight="1" x14ac:dyDescent="0.2">
      <c r="A355" s="1513" t="s">
        <v>1854</v>
      </c>
      <c r="B355" s="690" t="s">
        <v>1847</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2115</v>
      </c>
      <c r="F367" s="1670">
        <f t="shared" si="28"/>
        <v>9474</v>
      </c>
      <c r="G367" s="1670">
        <f t="shared" si="28"/>
        <v>110344</v>
      </c>
      <c r="H367" s="1670">
        <f t="shared" si="28"/>
        <v>0</v>
      </c>
      <c r="I367" s="1670">
        <f t="shared" si="28"/>
        <v>0</v>
      </c>
      <c r="J367" s="1670">
        <f t="shared" si="28"/>
        <v>0</v>
      </c>
      <c r="K367" s="1670">
        <f t="shared" si="28"/>
        <v>121933</v>
      </c>
      <c r="L367" s="1670">
        <f t="shared" si="28"/>
        <v>2000</v>
      </c>
    </row>
    <row r="368" spans="1:14" ht="13.5" thickTop="1" x14ac:dyDescent="0.2">
      <c r="A368" s="2179" t="s">
        <v>996</v>
      </c>
      <c r="B368" s="2180"/>
      <c r="C368" s="654"/>
      <c r="D368" s="654"/>
      <c r="E368" s="626"/>
      <c r="F368" s="626"/>
      <c r="G368" s="626"/>
      <c r="H368" s="626"/>
      <c r="I368" s="626"/>
      <c r="J368" s="623"/>
      <c r="K368" s="1671">
        <f>'Revenues 9-14'!K268-'Expenditures 15-22'!K367</f>
        <v>-90719</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&amp;L&amp;8&amp;F&amp;C&amp;8The accompanying Notes to Financial Statements are an integral part of this statement.</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dcmitype/"/>
    <ds:schemaRef ds:uri="http://schemas.microsoft.com/office/2006/documentManagement/types"/>
    <ds:schemaRef ds:uri="http://schemas.microsoft.com/office/2006/metadata/properties"/>
    <ds:schemaRef ds:uri="http://www.w3.org/XML/1998/namespace"/>
    <ds:schemaRef ds:uri="http://schemas.microsoft.com/office/infopath/2007/PartnerControls"/>
    <ds:schemaRef ds:uri="http://schemas.microsoft.com/sharepoint/v3"/>
    <ds:schemaRef ds:uri="http://purl.org/dc/terms/"/>
    <ds:schemaRef ds:uri="http://purl.org/dc/elements/1.1/"/>
    <ds:schemaRef ds:uri="http://schemas.openxmlformats.org/package/2006/metadata/core-properties"/>
    <ds:schemaRef ds:uri="4d435f69-8686-490b-bd6d-b153bf22ab50"/>
    <ds:schemaRef ds:uri="d21dc803-237d-4c68-8692-8d731fd29118"/>
    <ds:schemaRef ds:uri="6ce3111e-7420-4802-b50a-75d4e9a0b980"/>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2019-12-11T01:16:43Z</cp:lastPrinted>
  <dcterms:created xsi:type="dcterms:W3CDTF">2003-10-29T19:06:34Z</dcterms:created>
  <dcterms:modified xsi:type="dcterms:W3CDTF">2019-12-30T21:39:12Z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