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6C2DD01-D288-43EE-BF77-68ED14A9227B}"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1.1" sheetId="183" r:id="rId28"/>
    <sheet name=" SEFA 1.2" sheetId="185" r:id="rId29"/>
    <sheet name=" SEFA 1.3" sheetId="184" r:id="rId30"/>
    <sheet name=" SEFA 1.4" sheetId="179" r:id="rId31"/>
    <sheet name=" SEFA 1.5" sheetId="186" r:id="rId32"/>
    <sheet name="SEFA NOTES" sheetId="173" r:id="rId33"/>
    <sheet name="SF&amp;QC Sec-1" sheetId="174" r:id="rId34"/>
    <sheet name="SF&amp;QC Sec-1.1" sheetId="187" r:id="rId35"/>
    <sheet name="SF&amp;QC Sec-1.2" sheetId="188" r:id="rId36"/>
    <sheet name="SF&amp;QC Sec-1.3" sheetId="175" r:id="rId37"/>
    <sheet name="SF&amp;QC Sec-1.4" sheetId="190" r:id="rId38"/>
    <sheet name="SF&amp;QC Sec-2.1" sheetId="176" r:id="rId39"/>
    <sheet name="SF&amp;QC Sec-2.2" sheetId="189" r:id="rId40"/>
    <sheet name="SSPAF" sheetId="177" r:id="rId41"/>
  </sheets>
  <definedNames>
    <definedName name="_xlnm.Print_Area" localSheetId="27">' SEFA 1.1'!$B$1:$M$46</definedName>
    <definedName name="_xlnm.Print_Area" localSheetId="28">' SEFA 1.2'!$B$1:$M$46</definedName>
    <definedName name="_xlnm.Print_Area" localSheetId="29">' SEFA 1.3'!$B$1:$M$46</definedName>
    <definedName name="_xlnm.Print_Area" localSheetId="30">' SEFA 1.4'!$B$1:$M$46</definedName>
    <definedName name="_xlnm.Print_Area" localSheetId="31">' SEFA 1.5'!$B$1:$M$46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8">'SF&amp;QC Sec-2.1'!$A$1:$K$48</definedName>
    <definedName name="_xlnm.Print_Area" localSheetId="39">'SF&amp;QC Sec-2.2'!$A$1:$K$48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38">#REF!</definedName>
    <definedName name="SCHADDRS" localSheetId="39">#REF!</definedName>
    <definedName name="SCHADDRS" localSheetId="25">#REF!</definedName>
    <definedName name="SCHADDRS" localSheetId="24">#REF!</definedName>
    <definedName name="SCHADDRS" localSheetId="40">#REF!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38">#REF!</definedName>
    <definedName name="SCHCTY" localSheetId="39">#REF!</definedName>
    <definedName name="SCHCTY" localSheetId="25">#REF!</definedName>
    <definedName name="SCHCTY" localSheetId="24">#REF!</definedName>
    <definedName name="SCHCTY" localSheetId="40">#REF!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38">#REF!</definedName>
    <definedName name="SCHNMBR" localSheetId="39">#REF!</definedName>
    <definedName name="SCHNMBR" localSheetId="25">#REF!</definedName>
    <definedName name="SCHNMBR" localSheetId="24">#REF!</definedName>
    <definedName name="SCHNMBR" localSheetId="40">#REF!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38">#REF!</definedName>
    <definedName name="SCHNME" localSheetId="39">#REF!</definedName>
    <definedName name="SCHNME" localSheetId="25">#REF!</definedName>
    <definedName name="SCHNME" localSheetId="24">#REF!</definedName>
    <definedName name="SCHNME" localSheetId="40">#REF!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38">#REF!</definedName>
    <definedName name="SUPT" localSheetId="39">#REF!</definedName>
    <definedName name="SUPT" localSheetId="25">#REF!</definedName>
    <definedName name="SUPT" localSheetId="24">#REF!</definedName>
    <definedName name="SUPT" localSheetId="40">#REF!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90" l="1"/>
  <c r="B4" i="189"/>
  <c r="B4" i="188"/>
  <c r="B4" i="187"/>
  <c r="E27" i="185"/>
  <c r="F24" i="183"/>
  <c r="E24" i="183"/>
  <c r="I18" i="186"/>
  <c r="H18" i="186"/>
  <c r="L15" i="186"/>
  <c r="L14" i="186"/>
  <c r="M16" i="186"/>
  <c r="M18" i="186" s="1"/>
  <c r="L16" i="186"/>
  <c r="L18" i="186" s="1"/>
  <c r="K16" i="186"/>
  <c r="K18" i="186" s="1"/>
  <c r="K20" i="186" s="1"/>
  <c r="J16" i="186"/>
  <c r="J18" i="186" s="1"/>
  <c r="I16" i="186"/>
  <c r="H16" i="186"/>
  <c r="G16" i="186"/>
  <c r="G18" i="186" s="1"/>
  <c r="F16" i="186"/>
  <c r="F18" i="186" s="1"/>
  <c r="E16" i="186"/>
  <c r="E18" i="186" s="1"/>
  <c r="B4" i="186"/>
  <c r="F27" i="179"/>
  <c r="M25" i="179"/>
  <c r="M27" i="179" s="1"/>
  <c r="K25" i="179"/>
  <c r="J25" i="179"/>
  <c r="J27" i="179" s="1"/>
  <c r="I25" i="179"/>
  <c r="I27" i="179" s="1"/>
  <c r="H25" i="179"/>
  <c r="H27" i="179" s="1"/>
  <c r="G25" i="179"/>
  <c r="G27" i="179" s="1"/>
  <c r="F25" i="179"/>
  <c r="E25" i="179"/>
  <c r="E27" i="179" s="1"/>
  <c r="M20" i="179"/>
  <c r="K20" i="179"/>
  <c r="K27" i="179" s="1"/>
  <c r="J20" i="179"/>
  <c r="I20" i="179"/>
  <c r="H20" i="179"/>
  <c r="G20" i="179"/>
  <c r="F20" i="179"/>
  <c r="E20" i="179"/>
  <c r="M15" i="179"/>
  <c r="K15" i="179"/>
  <c r="J15" i="179"/>
  <c r="I15" i="179"/>
  <c r="H15" i="179"/>
  <c r="G15" i="179"/>
  <c r="F15" i="179"/>
  <c r="E15" i="179"/>
  <c r="M24" i="184"/>
  <c r="K24" i="184"/>
  <c r="J24" i="184"/>
  <c r="I24" i="184"/>
  <c r="H24" i="184"/>
  <c r="G24" i="184"/>
  <c r="F24" i="184"/>
  <c r="E24" i="184"/>
  <c r="M19" i="184"/>
  <c r="K19" i="184"/>
  <c r="J19" i="184"/>
  <c r="I19" i="184"/>
  <c r="H19" i="184"/>
  <c r="G19" i="184"/>
  <c r="F19" i="184"/>
  <c r="E19" i="184"/>
  <c r="M14" i="184"/>
  <c r="K14" i="184"/>
  <c r="J14" i="184"/>
  <c r="I14" i="184"/>
  <c r="H14" i="184"/>
  <c r="G14" i="184"/>
  <c r="F14" i="184"/>
  <c r="E14" i="184"/>
  <c r="M27" i="185"/>
  <c r="K27" i="185"/>
  <c r="J27" i="185"/>
  <c r="I27" i="185"/>
  <c r="H27" i="185"/>
  <c r="G27" i="185"/>
  <c r="F27" i="185"/>
  <c r="M19" i="185"/>
  <c r="M21" i="185" s="1"/>
  <c r="K19" i="185"/>
  <c r="J19" i="185"/>
  <c r="I19" i="185"/>
  <c r="H19" i="185"/>
  <c r="G19" i="185"/>
  <c r="G21" i="185" s="1"/>
  <c r="F19" i="185"/>
  <c r="E19" i="185"/>
  <c r="M14" i="185"/>
  <c r="K14" i="185"/>
  <c r="K21" i="185" s="1"/>
  <c r="J14" i="185"/>
  <c r="J21" i="185" s="1"/>
  <c r="I14" i="185"/>
  <c r="H14" i="185"/>
  <c r="G14" i="185"/>
  <c r="F14" i="185"/>
  <c r="E14" i="185"/>
  <c r="M26" i="183"/>
  <c r="K26" i="183"/>
  <c r="J26" i="183"/>
  <c r="G26" i="183"/>
  <c r="M24" i="183"/>
  <c r="K24" i="183"/>
  <c r="J24" i="183"/>
  <c r="I24" i="183"/>
  <c r="H24" i="183"/>
  <c r="G24" i="183"/>
  <c r="M15" i="183"/>
  <c r="K15" i="183"/>
  <c r="J15" i="183"/>
  <c r="I15" i="183"/>
  <c r="I26" i="183" s="1"/>
  <c r="H15" i="183"/>
  <c r="H26" i="183" s="1"/>
  <c r="G15" i="183"/>
  <c r="F15" i="183"/>
  <c r="F26" i="183" s="1"/>
  <c r="E15" i="183"/>
  <c r="L26" i="185"/>
  <c r="L25" i="185"/>
  <c r="L18" i="185"/>
  <c r="L17" i="185"/>
  <c r="L19" i="185" s="1"/>
  <c r="L13" i="185"/>
  <c r="L14" i="185" s="1"/>
  <c r="B4" i="185"/>
  <c r="L23" i="184"/>
  <c r="L22" i="184"/>
  <c r="L18" i="184"/>
  <c r="L17" i="184"/>
  <c r="L13" i="184"/>
  <c r="L14" i="184" s="1"/>
  <c r="B4" i="184"/>
  <c r="L23" i="183"/>
  <c r="L22" i="183"/>
  <c r="L21" i="183"/>
  <c r="L20" i="183"/>
  <c r="L19" i="183"/>
  <c r="L24" i="183" s="1"/>
  <c r="L18" i="183"/>
  <c r="L14" i="183"/>
  <c r="L13" i="183"/>
  <c r="L15" i="183" s="1"/>
  <c r="B4" i="183"/>
  <c r="F33" i="127"/>
  <c r="F35" i="127" s="1"/>
  <c r="F19" i="127"/>
  <c r="F14" i="127"/>
  <c r="J20" i="186" l="1"/>
  <c r="F21" i="185"/>
  <c r="F20" i="186" s="1"/>
  <c r="M20" i="186"/>
  <c r="L21" i="185"/>
  <c r="H21" i="185"/>
  <c r="H20" i="186" s="1"/>
  <c r="G20" i="186"/>
  <c r="L26" i="183"/>
  <c r="I21" i="185"/>
  <c r="I20" i="186" s="1"/>
  <c r="L24" i="184"/>
  <c r="L27" i="185"/>
  <c r="L19" i="184"/>
  <c r="E26" i="183"/>
  <c r="E21" i="185" s="1"/>
  <c r="E20" i="186"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4" i="179" l="1"/>
  <c r="L23" i="179"/>
  <c r="L25" i="179" s="1"/>
  <c r="L19" i="179"/>
  <c r="L18" i="179"/>
  <c r="L14" i="179"/>
  <c r="L13" i="179"/>
  <c r="L20" i="179" l="1"/>
  <c r="L15" i="179"/>
  <c r="L27" i="179" s="1"/>
  <c r="L20" i="186" s="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90"/>
  <c r="B1" i="187"/>
  <c r="B1" i="184"/>
  <c r="B1" i="186"/>
  <c r="B1" i="189"/>
  <c r="B1" i="183"/>
  <c r="B1" i="188"/>
  <c r="B2" i="179"/>
  <c r="B2" i="190"/>
  <c r="B2" i="183"/>
  <c r="B2" i="187"/>
  <c r="B2" i="185"/>
  <c r="B2" i="184"/>
  <c r="B2" i="186"/>
  <c r="B2" i="189"/>
  <c r="B2" i="188"/>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7" i="127"/>
  <c r="B68" i="127"/>
  <c r="E26" i="108"/>
  <c r="G26" i="108"/>
  <c r="D27" i="108"/>
  <c r="E27" i="108"/>
  <c r="G27" i="108"/>
  <c r="F31" i="108"/>
  <c r="F36" i="108"/>
  <c r="F37" i="108"/>
  <c r="G28" i="108"/>
  <c r="E29" i="108"/>
  <c r="G29" i="108"/>
  <c r="D31"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L22" i="37"/>
  <c r="D24" i="37"/>
  <c r="B4270" i="106" s="1"/>
  <c r="D4270" i="106" s="1"/>
  <c r="D9" i="7"/>
  <c r="B1767" i="106" s="1"/>
  <c r="D1767" i="106" s="1"/>
  <c r="D17" i="7"/>
  <c r="B4104" i="106" s="1"/>
  <c r="D4104" i="106" s="1"/>
  <c r="F46" i="34" l="1"/>
  <c r="H342" i="29"/>
  <c r="F42" i="34"/>
  <c r="I129" i="29"/>
  <c r="B7037" i="106" s="1"/>
  <c r="D7037" i="106" s="1"/>
  <c r="B6289" i="106"/>
  <c r="D6289" i="106" s="1"/>
  <c r="F50" i="34"/>
  <c r="J352" i="29"/>
  <c r="J367" i="29" s="1"/>
  <c r="B7245" i="106" s="1"/>
  <c r="D7245" i="106" s="1"/>
  <c r="G39" i="108"/>
  <c r="C342" i="29"/>
  <c r="B7216" i="106" s="1"/>
  <c r="D7216" i="106" s="1"/>
  <c r="L15" i="11"/>
  <c r="B3459" i="106" s="1"/>
  <c r="D3459" i="106" s="1"/>
  <c r="D69" i="36"/>
  <c r="J77" i="4"/>
  <c r="B6262" i="106" s="1"/>
  <c r="D6262" i="106" s="1"/>
  <c r="F19" i="7"/>
  <c r="B1807" i="106" s="1"/>
  <c r="D1807" i="106" s="1"/>
  <c r="F70" i="34"/>
  <c r="F62" i="34"/>
  <c r="G38" i="108"/>
  <c r="F26" i="108"/>
  <c r="B6995" i="106"/>
  <c r="D6995" i="106" s="1"/>
  <c r="J22" i="37"/>
  <c r="F34" i="34"/>
  <c r="E38" i="108"/>
  <c r="G30" i="108"/>
  <c r="F28" i="108"/>
  <c r="F41" i="108" s="1"/>
  <c r="G43" i="108" s="1"/>
  <c r="D68" i="36"/>
  <c r="H365" i="29"/>
  <c r="B7242" i="106" s="1"/>
  <c r="D7242" i="106" s="1"/>
  <c r="F77" i="4"/>
  <c r="B3255" i="106" s="1"/>
  <c r="D3255" i="106" s="1"/>
  <c r="I24" i="12"/>
  <c r="L5" i="11"/>
  <c r="B2056" i="106" s="1"/>
  <c r="D2056" i="106" s="1"/>
  <c r="E30" i="108"/>
  <c r="E28" i="108"/>
  <c r="D26" i="108"/>
  <c r="D41" i="108" s="1"/>
  <c r="E43" i="108" s="1"/>
  <c r="D54" i="36"/>
  <c r="H76" i="4"/>
  <c r="B3298" i="106" s="1"/>
  <c r="D3298" i="106" s="1"/>
  <c r="J41" i="3"/>
  <c r="D51" i="36" s="1"/>
  <c r="K184" i="29"/>
  <c r="F13" i="4" s="1"/>
  <c r="B2596" i="106" s="1"/>
  <c r="D2596" i="106" s="1"/>
  <c r="G210" i="29"/>
  <c r="G15" i="145"/>
  <c r="K41" i="3"/>
  <c r="C129" i="29"/>
  <c r="C151" i="29" s="1"/>
  <c r="B1226" i="106" s="1"/>
  <c r="D1226" i="106" s="1"/>
  <c r="L367" i="29"/>
  <c r="D6103" i="106"/>
  <c r="B3647" i="106"/>
  <c r="D3647" i="106" s="1"/>
  <c r="C352" i="29"/>
  <c r="B3621" i="106" s="1"/>
  <c r="D3621" i="106" s="1"/>
  <c r="K76" i="4"/>
  <c r="B3586" i="106" s="1"/>
  <c r="D3586" i="106" s="1"/>
  <c r="L13" i="11"/>
  <c r="B2060" i="106" s="1"/>
  <c r="D2060" i="106" s="1"/>
  <c r="B1308" i="106"/>
  <c r="D1308" i="106" s="1"/>
  <c r="E174" i="29"/>
  <c r="B1309" i="106" s="1"/>
  <c r="D1309" i="106" s="1"/>
  <c r="K28" i="118"/>
  <c r="O27" i="118" s="1"/>
  <c r="O29" i="118" s="1"/>
  <c r="L342" i="29"/>
  <c r="B3649" i="106"/>
  <c r="D3649" i="106" s="1"/>
  <c r="G367" i="29"/>
  <c r="D5" i="4"/>
  <c r="B3406" i="106" s="1"/>
  <c r="D3406" i="106" s="1"/>
  <c r="L312" i="29"/>
  <c r="I342" i="29"/>
  <c r="B7222" i="106" s="1"/>
  <c r="D7222" i="106" s="1"/>
  <c r="K350" i="29"/>
  <c r="F21" i="8"/>
  <c r="K24" i="12"/>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5" i="106" l="1"/>
  <c r="D7252" i="106"/>
  <c r="D7256" i="106"/>
  <c r="D7251" i="106"/>
  <c r="F174" i="34"/>
  <c r="B5770" i="106"/>
  <c r="D5770" i="106" s="1"/>
  <c r="B7235" i="106"/>
  <c r="D7235" i="106" s="1"/>
  <c r="D44" i="36"/>
  <c r="H77" i="4"/>
  <c r="B3299" i="106" s="1"/>
  <c r="D3299" i="106" s="1"/>
  <c r="B1381" i="106"/>
  <c r="D1381" i="106" s="1"/>
  <c r="C114" i="29"/>
  <c r="B757" i="106" s="1"/>
  <c r="D757" i="106" s="1"/>
  <c r="B5527" i="106"/>
  <c r="D5527" i="106" s="1"/>
  <c r="B6216" i="106"/>
  <c r="D6216" i="106" s="1"/>
  <c r="B1996" i="106"/>
  <c r="D1996" i="106" s="1"/>
  <c r="I26" i="12"/>
  <c r="B7741" i="106" s="1"/>
  <c r="D7741" i="106" s="1"/>
  <c r="K365" i="29"/>
  <c r="D7253" i="106"/>
  <c r="D7254" i="106"/>
  <c r="J16" i="4"/>
  <c r="B6226" i="106" s="1"/>
  <c r="D6226" i="106" s="1"/>
  <c r="D7250" i="106"/>
  <c r="L16" i="11"/>
  <c r="B2061" i="106" s="1"/>
  <c r="D2061" i="106" s="1"/>
  <c r="L114" i="29"/>
  <c r="B5778" i="106"/>
  <c r="D5778" i="106" s="1"/>
  <c r="G6" i="4"/>
  <c r="B2604" i="106" s="1"/>
  <c r="D2604" i="106" s="1"/>
  <c r="K342" i="29"/>
  <c r="F13" i="34" s="1"/>
  <c r="B1365" i="106"/>
  <c r="D1365" i="106" s="1"/>
  <c r="F65"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3" i="106"/>
  <c r="D6223" i="106" s="1"/>
  <c r="J20" i="4"/>
  <c r="B6227" i="106"/>
  <c r="D6227"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<sst xmlns="http://schemas.openxmlformats.org/spreadsheetml/2006/main" count="5586" uniqueCount="2259">
  <si>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</si>
  <si>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</si>
  <si>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</si>
  <si>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</si>
  <si>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</si>
  <si>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</si>
  <si>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</si>
  <si>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</si>
  <si>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</si>
  <si>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</si>
  <si>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</si>
  <si>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</si>
  <si>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</si>
  <si>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</si>
  <si>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</si>
  <si>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</si>
  <si>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</si>
  <si>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</si>
  <si>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</si>
  <si>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</si>
  <si>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</si>
  <si>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</si>
  <si>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</si>
  <si>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</si>
  <si>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</si>
  <si>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</si>
  <si>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</si>
  <si>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</si>
  <si>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</si>
  <si>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</si>
  <si>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</si>
  <si>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</si>
  <si>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</si>
  <si>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</si>
  <si>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</si>
  <si>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</si>
  <si>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</si>
  <si>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</si>
  <si>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</si>
  <si>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</si>
  <si>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</si>
  <si>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</si>
  <si>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</si>
  <si>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</si>
  <si>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</si>
  <si>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</si>
  <si>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</si>
  <si>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</si>
  <si>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</si>
  <si>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</si>
  <si>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</si>
  <si>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</si>
  <si>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</si>
  <si>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</si>
  <si>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</si>
  <si>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</si>
  <si>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</si>
  <si>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</si>
  <si>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</si>
  <si>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</si>
  <si>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</si>
  <si>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</si>
  <si>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</si>
  <si>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</si>
  <si>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</si>
  <si>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</si>
  <si>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</si>
  <si>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</si>
  <si>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</si>
  <si>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</si>
  <si>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</si>
  <si>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</si>
  <si>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</si>
  <si>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</si>
  <si>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</si>
  <si>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</si>
  <si>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</si>
  <si>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</si>
  <si>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</si>
  <si>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</si>
  <si>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</si>
  <si>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</si>
  <si>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</si>
  <si>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</si>
  <si>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</si>
  <si>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</si>
  <si>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</si>
  <si>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</si>
  <si>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</si>
  <si>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</si>
  <si>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</si>
  <si>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</si>
  <si>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</si>
  <si>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</si>
  <si>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</si>
  <si>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</si>
  <si>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</si>
  <si>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</si>
  <si>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</si>
  <si>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</si>
  <si>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</si>
  <si>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</si>
  <si>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</si>
  <si>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</si>
  <si>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</si>
  <si>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</si>
  <si>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</si>
  <si>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</si>
  <si>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</si>
  <si>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</si>
  <si>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</si>
  <si>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</si>
  <si>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</si>
  <si>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</si>
  <si>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</si>
  <si>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</si>
  <si>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</si>
  <si>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</si>
  <si>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</si>
  <si>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</si>
  <si>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</si>
  <si>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</si>
  <si>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</si>
  <si>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</si>
  <si>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</si>
  <si>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</si>
  <si>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</si>
  <si>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</si>
  <si>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</si>
  <si>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</si>
  <si>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</si>
  <si>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</si>
  <si>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</si>
  <si>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</si>
  <si>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</si>
  <si>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</si>
  <si>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</si>
  <si>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</si>
  <si>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</si>
  <si>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</si>
  <si>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</si>
  <si>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</si>
  <si>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</si>
  <si>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</si>
  <si>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</si>
  <si>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</si>
  <si>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</si>
  <si>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</si>
  <si>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</si>
  <si>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</si>
  <si>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</si>
  <si>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</si>
  <si>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</si>
  <si>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</si>
  <si>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</si>
  <si>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</si>
  <si>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</si>
  <si>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</si>
  <si>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</si>
  <si>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</si>
  <si>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</si>
  <si>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</si>
  <si>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</si>
  <si>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</si>
  <si>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</si>
  <si>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</si>
  <si>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</si>
  <si>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</si>
  <si>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</si>
  <si>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</si>
  <si>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</si>
  <si>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</si>
  <si>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</si>
  <si>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</si>
  <si>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</si>
  <si>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</si>
  <si>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</si>
  <si>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</si>
  <si>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</si>
  <si>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</si>
  <si>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</si>
  <si>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</si>
  <si>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</si>
  <si>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</si>
  <si>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</si>
  <si>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</si>
  <si>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</si>
  <si>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</si>
  <si>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</si>
  <si>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</si>
  <si>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</si>
  <si>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</si>
  <si>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</si>
  <si>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</si>
  <si>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</si>
  <si>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</si>
  <si>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</si>
  <si>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</si>
  <si>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</si>
  <si>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</si>
  <si>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</si>
  <si>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</si>
  <si>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</si>
  <si>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</si>
  <si>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</si>
  <si>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</si>
  <si>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</si>
  <si>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</si>
  <si>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</si>
  <si>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</si>
  <si>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</si>
  <si>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</si>
  <si>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</si>
  <si>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</si>
  <si>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</si>
  <si>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</si>
  <si>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</si>
  <si>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</si>
  <si>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</si>
  <si>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</si>
  <si>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</si>
  <si>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</si>
  <si>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</si>
  <si>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</si>
  <si>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</si>
  <si>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</si>
  <si>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</si>
  <si>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</si>
  <si>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</si>
  <si>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</si>
  <si>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</si>
  <si>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</si>
  <si>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</si>
  <si>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</si>
  <si>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</si>
  <si>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</si>
  <si>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</si>
  <si>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</si>
  <si>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</si>
  <si>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</si>
  <si>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</si>
  <si>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</si>
  <si>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</si>
  <si>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</si>
  <si>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</si>
  <si>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</si>
  <si>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</si>
  <si>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</si>
  <si>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</si>
  <si>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</si>
  <si>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</si>
  <si>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</si>
  <si>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</si>
  <si>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</si>
  <si>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</si>
  <si>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</si>
  <si>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</si>
  <si>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</si>
  <si>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</si>
  <si>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</si>
  <si>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</si>
  <si>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</si>
  <si>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</si>
  <si>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</si>
  <si>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</si>
  <si>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</si>
  <si>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</si>
  <si>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</si>
  <si>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</si>
  <si>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</si>
  <si>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</si>
  <si>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</si>
  <si>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</si>
  <si>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</si>
  <si>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</si>
  <si>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</si>
  <si>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</si>
  <si>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</si>
  <si>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</si>
  <si>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</si>
  <si>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</si>
  <si>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</si>
  <si>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</si>
  <si>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</si>
  <si>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</si>
  <si>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</si>
  <si>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</si>
  <si>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</si>
  <si>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</si>
  <si>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</si>
  <si>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</si>
  <si>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</si>
  <si>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</si>
  <si>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</si>
  <si>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</si>
  <si>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</si>
  <si>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</si>
  <si>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</si>
  <si>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</si>
  <si>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</si>
  <si>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</si>
  <si>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</si>
  <si>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</si>
  <si>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</si>
  <si>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</si>
  <si>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</si>
  <si>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</si>
  <si>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</si>
  <si>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</si>
  <si>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</si>
  <si>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</si>
  <si>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</si>
  <si>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</si>
  <si>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</si>
  <si>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</si>
  <si>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</si>
  <si>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</si>
  <si>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</si>
  <si>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</si>
  <si>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</si>
  <si>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</si>
  <si>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</si>
  <si>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</si>
  <si>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</si>
  <si>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</si>
  <si>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</si>
  <si>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</si>
  <si>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</si>
  <si>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</si>
  <si>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</si>
  <si>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</si>
  <si>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</si>
  <si>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</si>
  <si>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</si>
  <si>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</si>
  <si>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</si>
  <si>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</si>
  <si>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</si>
  <si>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</si>
  <si>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</si>
  <si>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</si>
  <si>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</si>
  <si>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</si>
  <si>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</si>
  <si>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</si>
  <si>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</si>
  <si>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</si>
  <si>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</si>
  <si>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</si>
  <si>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</si>
  <si>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</si>
  <si>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</si>
  <si>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</si>
  <si>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</si>
  <si>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</si>
  <si>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</si>
  <si>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</si>
  <si>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</si>
  <si>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</si>
  <si>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</si>
  <si>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</si>
  <si>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</si>
  <si>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</si>
  <si>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</si>
  <si>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</si>
  <si>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</si>
  <si>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</si>
  <si>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</si>
  <si>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</si>
  <si>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</si>
  <si>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</si>
  <si>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</si>
  <si>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</si>
  <si>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</si>
  <si>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</si>
  <si>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</si>
  <si>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</si>
  <si>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</si>
  <si>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</si>
  <si>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</si>
  <si>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</si>
  <si>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</si>
  <si>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</si>
  <si>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</si>
  <si>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</si>
  <si>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</si>
  <si>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</si>
  <si>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</si>
  <si>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</si>
  <si>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</si>
  <si>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</si>
  <si>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</si>
  <si>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</si>
  <si>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</si>
  <si>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</si>
  <si>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</si>
  <si>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</si>
  <si>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</si>
  <si>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</si>
  <si>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</si>
  <si>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</si>
  <si>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</si>
  <si>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</si>
  <si>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</si>
  <si>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</si>
  <si>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</si>
  <si>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</si>
  <si>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</si>
  <si>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</si>
  <si>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</si>
  <si>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</si>
  <si>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</si>
  <si>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</si>
  <si>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</si>
  <si>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</si>
  <si>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</si>
  <si>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</si>
  <si>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</si>
  <si>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</si>
  <si>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</si>
  <si>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</si>
  <si>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</si>
  <si>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</si>
  <si>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</si>
  <si>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</si>
  <si>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</si>
  <si>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</si>
  <si>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</si>
  <si>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</si>
  <si>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</si>
  <si>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</si>
  <si>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</si>
  <si>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</si>
  <si>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</si>
  <si>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</si>
  <si>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</si>
  <si>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</si>
  <si>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</si>
  <si>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</si>
  <si>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</si>
  <si>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</si>
  <si>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</si>
  <si>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</si>
  <si>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</si>
  <si>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</si>
  <si>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</si>
  <si>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</si>
  <si>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</si>
  <si>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</si>
  <si>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</si>
  <si>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</si>
  <si>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</si>
  <si>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</si>
  <si>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</si>
  <si>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</si>
  <si>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</si>
  <si>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</si>
  <si>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</si>
  <si>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</si>
  <si>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</si>
  <si>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</si>
  <si>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</si>
  <si>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</si>
  <si>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</si>
  <si>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</si>
  <si>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</si>
  <si>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</si>
  <si>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</si>
  <si>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</si>
  <si>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</si>
  <si>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</si>
  <si>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</si>
  <si>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</si>
  <si>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</si>
  <si>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</si>
  <si>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</si>
  <si>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</si>
  <si>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</si>
  <si>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</si>
  <si>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</si>
  <si>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</si>
  <si>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</si>
  <si>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</si>
  <si>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</si>
  <si>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</si>
  <si>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</si>
  <si>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</si>
  <si>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</si>
  <si>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</si>
  <si>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</si>
  <si>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</si>
  <si>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</si>
  <si>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</si>
  <si>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</si>
  <si>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</si>
  <si>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</si>
  <si>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</si>
  <si>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</si>
  <si>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</si>
  <si>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</si>
  <si>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</si>
  <si>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</si>
  <si>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</si>
  <si>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</si>
  <si>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</si>
  <si>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</si>
  <si>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</si>
  <si>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</si>
  <si>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</si>
  <si>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</si>
  <si>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</si>
  <si>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</si>
  <si>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</si>
  <si>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</si>
  <si>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</si>
  <si>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</si>
  <si>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</si>
  <si>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</si>
  <si>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</si>
  <si>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</si>
  <si>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</si>
  <si>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</si>
  <si>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</si>
  <si>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</si>
  <si>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</si>
  <si>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</si>
  <si>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</si>
  <si>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</si>
  <si>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</si>
  <si>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</si>
  <si>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</si>
  <si>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</si>
  <si>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</si>
  <si>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</si>
  <si>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</si>
  <si>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</si>
  <si>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</si>
  <si>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</si>
  <si>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</si>
  <si>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</si>
  <si>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</si>
  <si>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</si>
  <si>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</si>
  <si>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</si>
  <si>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</si>
  <si>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</si>
  <si>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</si>
  <si>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</si>
  <si>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</si>
  <si>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</si>
  <si>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</si>
  <si>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</si>
  <si>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</si>
  <si>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</si>
  <si>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</si>
  <si>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</si>
  <si>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</si>
  <si>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</si>
  <si>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</si>
  <si>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</si>
  <si>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</si>
  <si>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</si>
  <si>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</si>
  <si>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</si>
  <si>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</si>
  <si>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</si>
  <si>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</si>
  <si>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</si>
  <si>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</si>
  <si>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</si>
  <si>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</si>
  <si>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</si>
  <si>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</si>
  <si>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</si>
  <si>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</si>
  <si>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</si>
  <si>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</si>
  <si>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</si>
  <si>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</si>
  <si>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</si>
  <si>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</si>
  <si>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</si>
  <si>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</si>
  <si>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</si>
  <si>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</si>
  <si>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</si>
  <si>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</si>
  <si>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</si>
  <si>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</si>
  <si>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</si>
  <si>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</si>
  <si>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</si>
  <si>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</si>
  <si>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</si>
  <si>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</si>
  <si>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</si>
  <si>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</si>
  <si>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</si>
  <si>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</si>
  <si>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</si>
  <si>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</si>
  <si>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</si>
  <si>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</si>
  <si>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</si>
  <si>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</si>
  <si>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</si>
  <si>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</si>
  <si>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</si>
  <si>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</si>
  <si>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</si>
  <si>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</si>
  <si>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</si>
  <si>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</si>
  <si>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</si>
  <si>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</si>
  <si>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</si>
  <si>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</si>
  <si>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</si>
  <si>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</si>
  <si>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</si>
  <si>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</si>
  <si>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</si>
  <si>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</si>
  <si>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</si>
  <si>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</si>
  <si>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</si>
  <si>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</si>
  <si>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</si>
  <si>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</si>
  <si>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</si>
  <si>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</si>
  <si>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</si>
  <si>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</si>
  <si>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</si>
  <si>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</si>
  <si>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</si>
  <si>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</si>
  <si>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</si>
  <si>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</si>
  <si>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</si>
  <si>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</si>
  <si>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</si>
  <si>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</si>
  <si>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</si>
  <si>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</si>
  <si>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</si>
  <si>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</si>
  <si>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</si>
  <si>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</si>
  <si>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</si>
  <si>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</si>
  <si>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</si>
  <si>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</si>
  <si>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</si>
  <si>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</si>
  <si>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</si>
  <si>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</si>
  <si>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</si>
  <si>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</si>
  <si>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</si>
  <si>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</si>
  <si>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</si>
  <si>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</si>
  <si>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</si>
  <si>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</si>
  <si>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</si>
  <si>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</si>
  <si>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</si>
  <si>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</si>
  <si>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</si>
  <si>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</si>
  <si>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</si>
  <si>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</si>
  <si>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</si>
  <si>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</si>
  <si>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</si>
  <si>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</si>
  <si>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</si>
  <si>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</si>
  <si>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</si>
  <si>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</si>
  <si>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</si>
  <si>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</si>
  <si>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</si>
  <si>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</si>
  <si>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</si>
  <si>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</si>
  <si>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</si>
  <si>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</si>
  <si>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</si>
  <si>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</si>
  <si>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</si>
  <si>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</si>
  <si>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</si>
  <si>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</si>
  <si>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</si>
  <si>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</si>
  <si>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</si>
  <si>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</si>
  <si>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</si>
  <si>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</si>
  <si>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</si>
  <si>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</si>
  <si>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</si>
  <si>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</si>
  <si>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</si>
  <si>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</si>
  <si>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</si>
  <si>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</si>
  <si>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</si>
  <si>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</si>
  <si>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</si>
  <si>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</si>
  <si>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</si>
  <si>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</si>
  <si>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</si>
  <si>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</si>
  <si>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</si>
  <si>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</si>
  <si>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</si>
  <si>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</si>
  <si>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</si>
  <si>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</si>
  <si>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</si>
  <si>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</si>
  <si>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</si>
  <si>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</si>
  <si>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</si>
  <si>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</si>
  <si>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</si>
  <si>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</si>
  <si>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</si>
  <si>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</si>
  <si>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</si>
  <si>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</si>
  <si>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</si>
  <si>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</si>
  <si>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</si>
  <si>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</si>
  <si>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</si>
  <si>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</si>
  <si>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</si>
  <si>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</si>
  <si>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</si>
  <si>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</si>
  <si>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</si>
  <si>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</si>
  <si>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</si>
  <si>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</si>
  <si>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</si>
  <si>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</si>
  <si>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</si>
  <si>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</si>
  <si>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</si>
  <si>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</si>
  <si>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</si>
  <si>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</si>
  <si>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</si>
  <si>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</si>
  <si>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</si>
  <si>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</si>
  <si>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</si>
  <si>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</si>
  <si>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</si>
  <si>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</si>
  <si>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</si>
  <si>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</si>
  <si>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</si>
  <si>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</si>
  <si>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</si>
  <si>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</si>
  <si>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</si>
  <si>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</si>
  <si>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</si>
  <si>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</si>
  <si>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</si>
  <si>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</si>
  <si>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</si>
  <si>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</si>
  <si>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</si>
  <si>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</si>
  <si>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</si>
  <si>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</si>
  <si>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</si>
  <si>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</si>
  <si>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</si>
  <si>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</si>
  <si>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</si>
  <si>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</si>
  <si>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</si>
  <si>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</si>
  <si>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</si>
  <si>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</si>
  <si>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</si>
  <si>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</si>
  <si>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</si>
  <si>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</si>
  <si>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</si>
  <si>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</si>
  <si>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</si>
  <si>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</si>
  <si>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</si>
  <si>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</si>
  <si>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</si>
  <si>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</si>
  <si>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</si>
  <si>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</si>
  <si>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</si>
  <si>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</si>
  <si>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</si>
  <si>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</si>
  <si>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</si>
  <si>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</si>
  <si>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</si>
  <si>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</si>
  <si>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</si>
  <si>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</si>
  <si>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</si>
  <si>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</si>
  <si>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</si>
  <si>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</si>
  <si>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</si>
  <si>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</si>
  <si>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</si>
  <si>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</si>
  <si>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</si>
  <si>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</si>
  <si>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</si>
  <si>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</si>
  <si>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</si>
  <si>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</si>
  <si>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</si>
  <si>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</si>
  <si>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</si>
  <si>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</si>
  <si>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</si>
  <si>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</si>
  <si>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</si>
  <si>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</si>
  <si>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</si>
  <si>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</si>
  <si>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</si>
  <si>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</si>
  <si>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</si>
  <si>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</si>
  <si>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</si>
  <si>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</si>
  <si>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</si>
  <si>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</si>
  <si>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</si>
  <si>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</si>
  <si>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</si>
  <si>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</si>
  <si>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</si>
  <si>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</si>
  <si>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</si>
  <si>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</si>
  <si>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</si>
  <si>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</si>
  <si>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</si>
  <si>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</si>
  <si>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</si>
  <si>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</si>
  <si>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</si>
  <si>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</si>
  <si>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</si>
  <si>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</si>
  <si>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</si>
  <si>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</si>
  <si>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</si>
  <si>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</si>
  <si>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</si>
  <si>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</si>
  <si>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</si>
  <si>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</si>
  <si>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</si>
  <si>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</si>
  <si>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</si>
  <si>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</si>
  <si>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</si>
  <si>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</si>
  <si>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</si>
  <si>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</si>
  <si>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</si>
  <si>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</si>
  <si>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</si>
  <si>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</si>
  <si>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</si>
  <si>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</si>
  <si>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</si>
  <si>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</si>
  <si>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</si>
  <si>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</si>
  <si>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</si>
  <si>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</si>
  <si>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</si>
  <si>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</si>
  <si>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</si>
  <si>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</si>
  <si>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</si>
  <si>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</si>
  <si>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</si>
  <si>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</si>
  <si>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</si>
  <si>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</si>
  <si>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</si>
  <si>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</si>
  <si>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</si>
  <si>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</si>
  <si>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</si>
  <si>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</si>
  <si>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</si>
  <si>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</si>
  <si>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</si>
  <si>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</si>
  <si>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</si>
  <si>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</si>
  <si>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</si>
  <si>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</si>
  <si>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</si>
  <si>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</si>
  <si>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</si>
  <si>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</si>
  <si>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</si>
  <si>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</si>
  <si>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</si>
  <si>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</si>
  <si>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</si>
  <si>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</si>
  <si>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</si>
  <si>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</si>
  <si>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</si>
  <si>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</si>
  <si>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</si>
  <si>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</si>
  <si>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</si>
  <si>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</si>
  <si>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</si>
  <si>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</si>
  <si>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</si>
  <si>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</si>
  <si>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</si>
  <si>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</si>
  <si>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</si>
  <si>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</si>
  <si>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</si>
  <si>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</si>
  <si>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</si>
  <si>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</si>
  <si>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</si>
  <si>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</si>
  <si>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</si>
  <si>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</si>
  <si>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</si>
  <si>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</si>
  <si>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</si>
  <si>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</si>
  <si>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</si>
  <si>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</si>
  <si>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</si>
  <si>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</si>
  <si>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</si>
  <si>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</si>
  <si>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</si>
  <si>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</si>
  <si>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</si>
  <si>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</si>
  <si>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</si>
  <si>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</si>
  <si>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</si>
  <si>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</si>
  <si>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</si>
  <si>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</si>
  <si>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</si>
  <si>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</si>
  <si>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</si>
  <si>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</si>
  <si>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</si>
  <si>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</si>
  <si>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</si>
  <si>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</si>
  <si>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</si>
  <si>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</si>
  <si>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</si>
  <si>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</si>
  <si>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</si>
  <si>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</si>
  <si>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</si>
  <si>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</si>
  <si>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</si>
  <si>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</si>
  <si>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</si>
  <si>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</si>
  <si>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</si>
  <si>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</si>
  <si>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</si>
  <si>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</si>
  <si>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</si>
  <si>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</si>
  <si>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</si>
  <si>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</si>
  <si>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</si>
  <si>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</si>
  <si>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</si>
  <si>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</si>
  <si>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</si>
  <si>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</si>
  <si>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</si>
  <si>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</si>
  <si>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</si>
  <si>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</si>
  <si>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</si>
  <si>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</si>
  <si>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</si>
  <si>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</si>
  <si>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</si>
  <si>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</si>
  <si>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</si>
  <si>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</si>
  <si>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</si>
  <si>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</si>
  <si>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</si>
  <si>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</si>
  <si>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</si>
  <si>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</si>
  <si>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</si>
  <si>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</si>
  <si>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</si>
  <si>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</si>
  <si>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</si>
  <si>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</si>
  <si>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</si>
  <si>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</si>
  <si>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</si>
  <si>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</si>
  <si>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</si>
  <si>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</si>
  <si>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</si>
  <si>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</si>
  <si>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</si>
  <si>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</si>
  <si>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</si>
  <si>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</si>
  <si>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</si>
  <si>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</si>
  <si>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</si>
  <si>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</si>
  <si>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</si>
  <si>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</si>
  <si>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</si>
  <si>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</si>
  <si>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</si>
  <si>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</si>
  <si>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</si>
  <si>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</si>
  <si>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</si>
  <si>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</si>
  <si>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</si>
  <si>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</si>
  <si>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</si>
  <si>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</si>
  <si>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</si>
  <si>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</si>
  <si>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</si>
  <si>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</si>
  <si>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</si>
  <si>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</si>
  <si>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</si>
  <si>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</si>
  <si>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</si>
  <si>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</si>
  <si>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</si>
  <si>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</si>
  <si>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</si>
  <si>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</si>
  <si>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</si>
  <si>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</si>
  <si>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</si>
  <si>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</si>
  <si>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</si>
  <si>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</si>
  <si>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</si>
  <si>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</si>
  <si>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</si>
  <si>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</si>
  <si>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</si>
  <si>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</si>
  <si>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</si>
  <si>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</si>
  <si>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</si>
  <si>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</si>
  <si>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</si>
  <si>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</si>
  <si>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</si>
  <si>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</si>
  <si>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</si>
  <si>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</si>
  <si>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</si>
  <si>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</si>
  <si>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</si>
  <si>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</si>
  <si>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</si>
  <si>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</si>
  <si>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</si>
  <si>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</si>
  <si>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</si>
  <si>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</si>
  <si>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</si>
  <si>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</si>
  <si>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</si>
  <si>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</si>
  <si>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</si>
  <si>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</si>
  <si>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</si>
  <si>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</si>
  <si>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</si>
  <si>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</si>
  <si>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</si>
  <si>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</si>
  <si>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</si>
  <si>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</si>
  <si>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</si>
  <si>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</si>
  <si>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</si>
  <si>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</si>
  <si>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</si>
  <si>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</si>
  <si>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</si>
  <si>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</si>
  <si>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</si>
  <si>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</si>
  <si>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</si>
  <si>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</si>
  <si>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</si>
  <si>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</si>
  <si>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</si>
  <si>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</si>
  <si>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</si>
  <si>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</si>
  <si>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</si>
  <si>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</si>
  <si>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</si>
  <si>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</si>
  <si>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</si>
  <si>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</si>
  <si>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</si>
  <si>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</si>
  <si>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</si>
  <si>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</si>
  <si>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</si>
  <si>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</si>
  <si>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</si>
  <si>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</si>
  <si>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</si>
  <si>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</si>
  <si>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</si>
  <si>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</si>
  <si>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</si>
  <si>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</si>
  <si>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</si>
  <si>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</si>
  <si>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</si>
  <si>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</si>
  <si>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</si>
  <si>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</si>
  <si>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</si>
  <si>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</si>
  <si>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</si>
  <si>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</si>
  <si>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</si>
  <si>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</si>
  <si>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</si>
  <si>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</si>
  <si>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</si>
  <si>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</si>
  <si>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</si>
  <si>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</si>
  <si>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</si>
  <si>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</si>
  <si>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</si>
  <si>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</si>
  <si>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</si>
  <si>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</si>
  <si>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</si>
  <si>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</si>
  <si>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</si>
  <si>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</si>
  <si>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</si>
  <si>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</si>
  <si>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</si>
  <si>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</si>
  <si>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</si>
  <si>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</si>
  <si>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</si>
  <si>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</si>
  <si>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</si>
  <si>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</si>
  <si>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</si>
  <si>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</si>
  <si>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</si>
  <si>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</si>
  <si>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</si>
  <si>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</si>
  <si>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</si>
  <si>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</si>
  <si>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</si>
  <si>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</si>
  <si>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</si>
  <si>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</si>
  <si>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</si>
  <si>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</si>
  <si>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</si>
  <si>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</si>
  <si>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</si>
  <si>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</si>
  <si>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</si>
  <si>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</si>
  <si>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</si>
  <si>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</si>
  <si>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</si>
  <si>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</si>
  <si>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</si>
  <si>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</si>
  <si>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</si>
  <si>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</si>
  <si>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</si>
  <si>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</si>
  <si>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</si>
  <si>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</si>
  <si>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</si>
  <si>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</si>
  <si>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</si>
  <si>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</si>
  <si>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</si>
  <si>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</si>
  <si>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</si>
  <si>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</si>
  <si>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</si>
  <si>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</si>
  <si>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</si>
  <si>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</si>
  <si>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</si>
  <si>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</si>
  <si>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</si>
  <si>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</si>
  <si>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</si>
  <si>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</si>
  <si>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</si>
  <si>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</si>
  <si>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</si>
  <si>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</si>
  <si>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</si>
  <si>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</si>
  <si>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</si>
  <si>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</si>
  <si>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</si>
  <si>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</si>
  <si>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</si>
  <si>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</si>
  <si>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</si>
  <si>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</si>
  <si>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</si>
  <si>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</si>
  <si>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</si>
  <si>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</si>
  <si>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</si>
  <si>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</si>
  <si>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</si>
  <si>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</si>
  <si>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</si>
  <si>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</si>
  <si>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</si>
  <si>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</si>
  <si>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</si>
  <si>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</si>
  <si>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</si>
  <si>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</si>
  <si>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</si>
  <si>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</si>
  <si>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</si>
  <si>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</si>
  <si>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</si>
  <si>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</si>
  <si>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</si>
  <si>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</si>
  <si>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</si>
  <si>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</si>
  <si>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</si>
  <si>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</si>
  <si>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</si>
  <si>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</si>
  <si>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</si>
  <si>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</si>
  <si>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</si>
  <si>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</si>
  <si>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</si>
  <si>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</si>
  <si>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</si>
  <si>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</si>
  <si>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</si>
  <si>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</si>
  <si>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</si>
  <si>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</si>
  <si>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</si>
  <si>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</si>
  <si>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</si>
  <si>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</si>
  <si>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</si>
  <si>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</si>
  <si>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</si>
  <si>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</si>
  <si>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</si>
  <si>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</si>
  <si>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</si>
  <si>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</si>
  <si>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</si>
  <si>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</si>
  <si>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</si>
  <si>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</si>
  <si>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</si>
  <si>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</si>
  <si>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</si>
  <si>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</si>
  <si>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</si>
  <si>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</si>
  <si>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</si>
  <si>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</si>
  <si>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</si>
  <si>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</si>
  <si>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</si>
  <si>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</si>
  <si>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</si>
  <si>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</si>
  <si>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</si>
  <si>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</si>
  <si>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</si>
  <si>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</si>
  <si>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</si>
  <si>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</si>
  <si>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</si>
  <si>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</si>
  <si>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</si>
  <si>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</si>
  <si>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</si>
  <si>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</si>
  <si>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</si>
  <si>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</si>
  <si>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</si>
  <si>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</si>
  <si>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</si>
  <si>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</si>
  <si>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</si>
  <si>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</si>
  <si>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</si>
  <si>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</si>
  <si>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</si>
  <si>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</si>
  <si>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</si>
  <si>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</si>
  <si>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</si>
  <si>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</si>
  <si>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</si>
  <si>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</si>
  <si>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</si>
  <si>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</si>
  <si>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</si>
  <si>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</si>
  <si>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</si>
  <si>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</si>
  <si>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</si>
  <si>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</si>
  <si>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</si>
  <si>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</si>
  <si>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</si>
  <si>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</si>
  <si>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</si>
  <si>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</si>
  <si>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</si>
  <si>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</si>
  <si>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</si>
  <si>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</si>
  <si>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</si>
  <si>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</si>
  <si>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</si>
  <si>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</si>
  <si>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</si>
  <si>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</si>
  <si>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</si>
  <si>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</si>
  <si>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</si>
  <si>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</si>
  <si>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</si>
  <si>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</si>
  <si>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</si>
  <si>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</si>
  <si>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</si>
  <si>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</si>
  <si>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</si>
  <si>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</si>
  <si>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</si>
  <si>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</si>
  <si>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</si>
  <si>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</si>
  <si>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</si>
  <si>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</si>
  <si>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</si>
  <si>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</si>
  <si>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</si>
  <si>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</si>
  <si>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</si>
  <si>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</si>
  <si>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</si>
  <si>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</si>
  <si>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</si>
  <si>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</si>
  <si>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</si>
  <si>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</si>
  <si>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</si>
  <si>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</si>
  <si>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</si>
  <si>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</si>
  <si>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</si>
  <si>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</si>
  <si>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</si>
  <si>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</si>
  <si>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</si>
  <si>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</si>
  <si>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</si>
  <si>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</si>
  <si>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</si>
  <si>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</si>
  <si>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</si>
  <si>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</si>
  <si>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</si>
  <si>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</si>
  <si>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</si>
  <si>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</si>
  <si>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</si>
  <si>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</si>
  <si>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</si>
  <si>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</si>
  <si>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</si>
  <si>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</si>
  <si>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</si>
  <si>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</si>
  <si>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</si>
  <si>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</si>
  <si>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</si>
  <si>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</si>
  <si>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</si>
  <si>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</si>
  <si>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</si>
  <si>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</si>
  <si>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</si>
  <si>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</si>
  <si>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</si>
  <si>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</si>
  <si>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</si>
  <si>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</si>
  <si>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</si>
  <si>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</si>
  <si>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</si>
  <si>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</si>
  <si>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</si>
  <si>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</si>
  <si>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</si>
  <si>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</si>
  <si>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</si>
  <si>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</si>
  <si>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</si>
  <si>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</si>
  <si>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</si>
  <si>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</si>
  <si>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</si>
  <si>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</si>
  <si>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</si>
  <si>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</si>
  <si>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</si>
  <si>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</si>
  <si>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</si>
  <si>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</si>
  <si>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</si>
  <si>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</si>
  <si>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</si>
  <si>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</si>
  <si>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</si>
  <si>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</si>
  <si>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</si>
  <si>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</si>
  <si>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</si>
  <si>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</si>
  <si>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</si>
  <si>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</si>
  <si>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</si>
  <si>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</si>
  <si>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</si>
  <si>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</si>
  <si>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</si>
  <si>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</si>
  <si>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</si>
  <si>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</si>
  <si>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</si>
  <si>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</si>
  <si>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</si>
  <si>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</si>
  <si>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</si>
  <si>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</si>
  <si>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</si>
  <si>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</si>
  <si>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</si>
  <si>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</si>
  <si>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</si>
  <si>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</si>
  <si>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</si>
  <si>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</si>
  <si>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</si>
  <si>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</si>
  <si>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</si>
  <si>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</si>
  <si>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</si>
  <si>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</si>
  <si>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</si>
  <si>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</si>
  <si>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</si>
  <si>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</si>
  <si>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</si>
  <si>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</si>
  <si>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</si>
  <si>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</si>
  <si>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</si>
  <si>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</si>
  <si>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</si>
  <si>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</si>
  <si>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</si>
  <si>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</si>
  <si>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</si>
  <si>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</si>
  <si>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</si>
  <si>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</si>
  <si>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</si>
  <si>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</si>
  <si>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</si>
  <si>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</si>
  <si>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</si>
  <si>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</si>
  <si>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</si>
  <si>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</si>
  <si>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</si>
  <si>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</si>
  <si>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</si>
  <si>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</si>
  <si>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</si>
  <si>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</si>
  <si>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</si>
  <si>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</si>
  <si>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</si>
  <si>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</si>
  <si>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</si>
  <si>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</si>
  <si>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</si>
  <si>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</si>
  <si>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</si>
  <si>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</si>
  <si>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</si>
  <si>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</si>
  <si>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</si>
  <si>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</si>
  <si>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</si>
  <si>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</si>
  <si>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</si>
  <si>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</si>
  <si>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</si>
  <si>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</si>
  <si>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</si>
  <si>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</si>
  <si>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</si>
  <si>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</si>
  <si>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</si>
  <si>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</si>
  <si>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</si>
  <si>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</si>
  <si>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</si>
  <si>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</si>
  <si>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</si>
  <si>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</si>
  <si>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</si>
  <si>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</si>
  <si>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</si>
  <si>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</si>
  <si>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</si>
  <si>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</si>
  <si>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</si>
  <si>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</si>
  <si>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</si>
  <si>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</si>
  <si>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</si>
  <si>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</si>
  <si>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</si>
  <si>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</si>
  <si>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</si>
  <si>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</si>
  <si>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</si>
  <si>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</si>
  <si>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</si>
  <si>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</si>
  <si>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</si>
  <si>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</si>
  <si>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</si>
  <si>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</si>
  <si>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</si>
  <si>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</si>
  <si>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</si>
  <si>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</si>
  <si>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</si>
  <si>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</si>
  <si>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</si>
  <si>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</si>
  <si>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</si>
  <si>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</si>
  <si>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</si>
  <si>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</si>
  <si>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</si>
  <si>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</si>
  <si>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</si>
  <si>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</si>
  <si>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</si>
  <si>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</si>
  <si>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</si>
  <si>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</si>
  <si>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</si>
  <si>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</si>
  <si>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</si>
  <si>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</si>
  <si>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</si>
  <si>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</si>
  <si>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</si>
  <si>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</si>
  <si>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</si>
  <si>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</si>
  <si>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</si>
  <si>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</si>
  <si>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</si>
  <si>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</si>
  <si>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</si>
  <si>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</si>
  <si>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</si>
  <si>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</si>
  <si>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</si>
  <si>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</si>
  <si>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</si>
  <si>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</si>
  <si>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</si>
  <si>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</si>
  <si>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</si>
  <si>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</si>
  <si>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</si>
  <si>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</si>
  <si>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</si>
  <si>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</si>
  <si>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</si>
  <si>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</si>
  <si>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</si>
  <si>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</si>
  <si>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</si>
  <si>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</si>
  <si>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</si>
  <si>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</si>
  <si>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</si>
  <si>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</si>
  <si>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</si>
  <si>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</si>
  <si>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</si>
  <si>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</si>
  <si>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</si>
  <si>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</si>
  <si>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</si>
  <si>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</si>
  <si>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</si>
  <si>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</si>
  <si>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</si>
  <si>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</si>
  <si>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</si>
  <si>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</si>
  <si>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</si>
  <si>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</si>
  <si>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</si>
  <si>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</si>
  <si>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</si>
  <si>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</si>
  <si>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</si>
  <si>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</si>
  <si>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</si>
  <si>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</si>
  <si>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</si>
  <si>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</si>
  <si>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</si>
  <si>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</si>
  <si>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</si>
  <si>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</si>
  <si>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</si>
  <si>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</si>
  <si>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</si>
  <si>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</si>
  <si>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</si>
  <si>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</si>
  <si>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</si>
  <si>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</si>
  <si>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</si>
  <si>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</si>
  <si>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</si>
  <si>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</si>
  <si>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</si>
  <si>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</si>
  <si>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</si>
  <si>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</si>
  <si>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</si>
  <si>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</si>
  <si>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</si>
  <si>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</si>
  <si>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</si>
  <si>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</si>
  <si>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</si>
  <si>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</si>
  <si>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</si>
  <si>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</si>
  <si>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</si>
  <si>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</si>
  <si>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</si>
  <si>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</si>
  <si>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</si>
  <si>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</si>
  <si>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</si>
  <si>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</si>
  <si>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</si>
  <si>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</si>
  <si>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</si>
  <si>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</si>
  <si>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</si>
  <si>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</si>
  <si>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</si>
  <si>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</si>
  <si>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</si>
  <si>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</si>
  <si>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</si>
  <si>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</si>
  <si>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</si>
  <si>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</si>
  <si>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</si>
  <si>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</si>
  <si>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</si>
  <si>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</si>
  <si>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</si>
  <si>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</si>
  <si>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</si>
  <si>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</si>
  <si>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</si>
  <si>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</si>
  <si>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</si>
  <si>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</si>
  <si>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</si>
  <si>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</si>
  <si>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</si>
  <si>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</si>
  <si>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</si>
  <si>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</si>
  <si>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</si>
  <si>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</si>
  <si>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</si>
  <si>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</si>
  <si>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</si>
  <si>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</si>
  <si>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</si>
  <si>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</si>
  <si>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</si>
  <si>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</si>
  <si>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</si>
  <si>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</si>
  <si>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</si>
  <si>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</si>
  <si>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</si>
  <si>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</si>
  <si>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</si>
  <si>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</si>
  <si>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</si>
  <si>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</si>
  <si>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</si>
  <si>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</si>
  <si>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</si>
  <si>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</si>
  <si>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</si>
  <si>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</si>
  <si>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</si>
  <si>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</si>
  <si>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</si>
  <si>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</si>
  <si>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</si>
  <si>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</si>
  <si>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</si>
  <si>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</si>
  <si>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</si>
  <si>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</si>
  <si>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</si>
  <si>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</si>
  <si>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</si>
  <si>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</si>
  <si>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</si>
  <si>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</si>
  <si>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</si>
  <si>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</si>
  <si>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</si>
  <si>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</si>
  <si>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</si>
  <si>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</si>
  <si>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</si>
  <si>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</si>
  <si>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</si>
  <si>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</si>
  <si>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</si>
  <si>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</si>
  <si>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</si>
  <si>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</si>
  <si>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</si>
  <si>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</si>
  <si>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</si>
  <si>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</si>
  <si>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</si>
  <si>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</si>
  <si>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</si>
  <si>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</si>
  <si>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</si>
  <si>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</si>
  <si>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</si>
  <si>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</si>
  <si>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</si>
  <si>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</si>
  <si>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</si>
  <si>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</si>
  <si>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</si>
  <si>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</si>
  <si>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</si>
  <si>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</si>
  <si>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</si>
  <si>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</si>
  <si>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</si>
  <si>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</si>
  <si>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</si>
  <si>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</si>
  <si>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</si>
  <si>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</si>
  <si>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</si>
  <si>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</si>
  <si>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</si>
  <si>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</si>
  <si>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</si>
  <si>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</si>
  <si>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</si>
  <si>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</si>
  <si>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</si>
  <si>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</si>
  <si>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</si>
  <si>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</si>
  <si>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</si>
  <si>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</si>
  <si>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</si>
  <si>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</si>
  <si>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</si>
  <si>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</si>
  <si>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</si>
  <si>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</si>
  <si>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</si>
  <si>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</si>
  <si>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</si>
  <si>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</si>
  <si>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</si>
  <si>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</si>
  <si>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</si>
  <si>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</si>
  <si>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</si>
  <si>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</si>
  <si>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</si>
  <si>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</si>
  <si>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</si>
  <si>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</si>
  <si>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</si>
  <si>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</si>
  <si>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</si>
  <si>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</si>
  <si>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</si>
  <si>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</si>
  <si>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</si>
  <si>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</si>
  <si>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</si>
  <si>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</si>
  <si>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</si>
  <si>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</si>
  <si>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</si>
  <si>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</si>
  <si>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</si>
  <si>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</si>
  <si>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</si>
  <si>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</si>
  <si>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</si>
  <si>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</si>
  <si>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</si>
  <si>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</si>
  <si>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</si>
  <si>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</si>
  <si>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</si>
  <si>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</si>
  <si>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</si>
  <si>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</si>
  <si>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</si>
  <si>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</si>
  <si>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</si>
  <si>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</si>
  <si>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</si>
  <si>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</si>
  <si>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</si>
  <si>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</si>
  <si>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</si>
  <si>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</si>
  <si>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</si>
  <si>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</si>
  <si>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</si>
  <si>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</si>
  <si>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</si>
  <si>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</si>
  <si>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</si>
  <si>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</si>
  <si>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</si>
  <si>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</si>
  <si>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</si>
  <si>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</si>
  <si>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</si>
  <si>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</si>
  <si>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</si>
  <si>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</si>
  <si>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</si>
  <si>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</si>
  <si>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</si>
  <si>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</si>
  <si>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</si>
  <si>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</si>
  <si>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</si>
  <si>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</si>
  <si>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</si>
  <si>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</si>
  <si>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</si>
  <si>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</si>
  <si>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</si>
  <si>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</si>
  <si>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</si>
  <si>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</si>
  <si>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</si>
  <si>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</si>
  <si>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</si>
  <si>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</si>
  <si>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</si>
  <si>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</si>
  <si>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</si>
  <si>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</si>
  <si>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</si>
  <si>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</si>
  <si>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</si>
  <si>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</si>
  <si>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</si>
  <si>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</si>
  <si>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</si>
  <si>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</si>
  <si>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</si>
  <si>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</si>
  <si>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</si>
  <si>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</si>
  <si>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</si>
  <si>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</si>
  <si>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</si>
  <si>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</si>
  <si>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</si>
  <si>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</si>
  <si>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</si>
  <si>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</si>
  <si>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</si>
  <si>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</si>
  <si>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</si>
  <si>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</si>
  <si>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</si>
  <si>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</si>
  <si>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</si>
  <si>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</si>
  <si>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</si>
  <si>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</si>
  <si>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</si>
  <si>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</si>
  <si>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</si>
  <si>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</si>
  <si>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</si>
  <si>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</si>
  <si>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</si>
  <si>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</si>
  <si>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</si>
  <si>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</si>
  <si>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</si>
  <si>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</si>
  <si>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</si>
  <si>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</si>
  <si>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</si>
  <si>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</si>
  <si>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</si>
  <si>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</si>
  <si>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</si>
  <si>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</si>
  <si>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</si>
  <si>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</si>
  <si>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</si>
  <si>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</si>
  <si>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</si>
  <si>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</si>
  <si>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</si>
  <si>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</si>
  <si>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</si>
  <si>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</si>
  <si>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</si>
  <si>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</si>
  <si>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</si>
  <si>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</si>
  <si>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</si>
  <si>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</si>
  <si>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</si>
  <si>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</si>
  <si>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</si>
  <si>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</si>
  <si>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</si>
  <si>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</si>
  <si>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</si>
  <si>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</si>
  <si>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</si>
  <si>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</si>
  <si>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</si>
  <si>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</si>
  <si>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</si>
  <si>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</si>
  <si>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</si>
  <si>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</si>
  <si>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</si>
  <si>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</si>
  <si>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</si>
  <si>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</si>
  <si>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</si>
  <si>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</si>
  <si>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</si>
  <si>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</si>
  <si>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</si>
  <si>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</si>
  <si>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</si>
  <si>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</si>
  <si>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</si>
  <si>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</si>
  <si>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</si>
  <si>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</si>
  <si>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</si>
  <si>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Pulaski</t>
  </si>
  <si>
    <t>208 Valley Road</t>
  </si>
  <si>
    <t>Mounds</t>
  </si>
  <si>
    <t>X</t>
  </si>
  <si>
    <t>Mr. Jonathan Green</t>
  </si>
  <si>
    <t>618-342-6776</t>
  </si>
  <si>
    <t>618-342-6401</t>
  </si>
  <si>
    <t>Beussink, Hey, Roe &amp; Stroder, LLC</t>
  </si>
  <si>
    <t>Jeffrey C. Stroder, CPA</t>
  </si>
  <si>
    <t>16 South Silver Springs Road</t>
  </si>
  <si>
    <t>Cape Girardeau</t>
  </si>
  <si>
    <t>MO</t>
  </si>
  <si>
    <t>573-334-7971</t>
  </si>
  <si>
    <t>573-334-8875</t>
  </si>
  <si>
    <t>066-003889</t>
  </si>
  <si>
    <t>jstroder@bhrcpas.com</t>
  </si>
  <si>
    <t>The financial statements are presented in a format that complies with regulatory provisions prescribed by the Illinois State Board of Education, whose practices differ from accounting principles generally accepted in the United States of America. In addition, the notes to the financial statemetns do not include the note disclosures required by GASB Statement No. 75 for one of the School's two defined contribution OPEB plans.</t>
  </si>
  <si>
    <t>Series 2005 Qualified Zone Academy Bonds</t>
  </si>
  <si>
    <t>Series 2014 General Obligation School Bonds</t>
  </si>
  <si>
    <t>ISBE Temporary Relocation Loan</t>
  </si>
  <si>
    <t>2019 General Obligation School Bonds</t>
  </si>
  <si>
    <t>Qualified Zone Academy Bonds</t>
  </si>
  <si>
    <t>General Obligation School Bonds</t>
  </si>
  <si>
    <t>20-2540-400</t>
  </si>
  <si>
    <t>AEP Energy</t>
  </si>
  <si>
    <t>O&amp;M-Support Services Services - Supplies</t>
  </si>
  <si>
    <t>ED-Instruction-Purchased Services</t>
  </si>
  <si>
    <t>10-1000-300</t>
  </si>
  <si>
    <t>Beginning Concepts, LLC</t>
  </si>
  <si>
    <t>ED-Food Service-Supplies</t>
  </si>
  <si>
    <t>10-2560-400</t>
  </si>
  <si>
    <t>Prairie Farms Dairy, Inc.</t>
  </si>
  <si>
    <t>10-1000-400</t>
  </si>
  <si>
    <t>Quality Network Solutions</t>
  </si>
  <si>
    <t>TR-Pupil Transportation-Purchased Services</t>
  </si>
  <si>
    <t>40-2550-300</t>
  </si>
  <si>
    <t>Robinson Transport, Inc.</t>
  </si>
  <si>
    <t>shared service - JAMP Special Education Services</t>
  </si>
  <si>
    <t>shared service - Five Conty Regional Vocational System</t>
  </si>
  <si>
    <t>Account Number</t>
  </si>
  <si>
    <t>Object Code</t>
  </si>
  <si>
    <t>Prepaid Services</t>
  </si>
  <si>
    <t>Other Food Service</t>
  </si>
  <si>
    <t>Local Grants</t>
  </si>
  <si>
    <t>Miscellaneous Refunds</t>
  </si>
  <si>
    <t>Miscellaneous Other Revenues</t>
  </si>
  <si>
    <t>Healthy Kids Grant</t>
  </si>
  <si>
    <t>Arts and Foreign Language Grant</t>
  </si>
  <si>
    <t>Library Program Grant</t>
  </si>
  <si>
    <t>NSLP Equipment Assistance Grant</t>
  </si>
  <si>
    <t>Title I School Improvement Grant</t>
  </si>
  <si>
    <t>Site Coordinator</t>
  </si>
  <si>
    <t>Site Coordinator Benefits</t>
  </si>
  <si>
    <t>Homeless Materials/Supplies</t>
  </si>
  <si>
    <t>Site Coordinator Purchased Services</t>
  </si>
  <si>
    <t>Bond Issuance Costs</t>
  </si>
  <si>
    <t>Bond Fees</t>
  </si>
  <si>
    <t>U.S. DEPARTMENT OF AGRICULTURE</t>
  </si>
  <si>
    <t>Passed Through Illinois State Board of Education</t>
  </si>
  <si>
    <t xml:space="preserve">  School Breakfast Program (M)</t>
  </si>
  <si>
    <t>18-4220</t>
  </si>
  <si>
    <t>19-4220</t>
  </si>
  <si>
    <t xml:space="preserve">  Commodities (Non-Cash) (M)</t>
  </si>
  <si>
    <t xml:space="preserve">  Dept. of Defense Fresh Fruits &amp; Vegtables (Non-Cash) (M)</t>
  </si>
  <si>
    <t>N/A - 18</t>
  </si>
  <si>
    <t>N/A - 19</t>
  </si>
  <si>
    <t xml:space="preserve">  National School Lunch Program (M)</t>
  </si>
  <si>
    <t>18-4210</t>
  </si>
  <si>
    <t>19-4210</t>
  </si>
  <si>
    <t xml:space="preserve">      Total for CFDA Numbers 10.555</t>
  </si>
  <si>
    <t xml:space="preserve">      Total for CFDA Numbers 10.553</t>
  </si>
  <si>
    <t>Total Child Nutrition Cluster (CFDA Numbers 10.553 and 10.555)</t>
  </si>
  <si>
    <t xml:space="preserve">  NSLP Equipment Assistance Grant</t>
  </si>
  <si>
    <t>19-4260</t>
  </si>
  <si>
    <t xml:space="preserve">      Total for CFDA Number 10.579</t>
  </si>
  <si>
    <t xml:space="preserve">  Fresh Fruits &amp; Vegetables (Cash)</t>
  </si>
  <si>
    <t>18-4240</t>
  </si>
  <si>
    <t>19-4240</t>
  </si>
  <si>
    <t xml:space="preserve">      Total for CFDA Number 10.582</t>
  </si>
  <si>
    <t>TOTAL U.S. DEPARTMENT OF AGRICULTURE</t>
  </si>
  <si>
    <t>U.S. DEPARTMENT OF EDUCATION</t>
  </si>
  <si>
    <t xml:space="preserve">      Total for CFDA Number 84.010</t>
  </si>
  <si>
    <t>18-4300</t>
  </si>
  <si>
    <t>19-4300</t>
  </si>
  <si>
    <t xml:space="preserve">  Special Education - IDEA</t>
  </si>
  <si>
    <t>18-4625</t>
  </si>
  <si>
    <t xml:space="preserve">      Total for CFDA Number 84.027</t>
  </si>
  <si>
    <t xml:space="preserve">  Title IV: 21st Century Learning</t>
  </si>
  <si>
    <t xml:space="preserve">      Total for CFDA Number 84.287</t>
  </si>
  <si>
    <t>18-4421</t>
  </si>
  <si>
    <t>19-4421</t>
  </si>
  <si>
    <t xml:space="preserve">  Title IV - Rural Education Initiative</t>
  </si>
  <si>
    <t>18-4107</t>
  </si>
  <si>
    <t>19-4107</t>
  </si>
  <si>
    <t xml:space="preserve">      Total for CFDA Number 84.358</t>
  </si>
  <si>
    <t xml:space="preserve">  Improving Teacher Quality State Grants</t>
  </si>
  <si>
    <t xml:space="preserve">      Total for CFDA Number 84.367</t>
  </si>
  <si>
    <t>18-4932</t>
  </si>
  <si>
    <t>19-4932</t>
  </si>
  <si>
    <t xml:space="preserve">  School Improvement Grant (Section 1003g)</t>
  </si>
  <si>
    <t xml:space="preserve">  Title I: Grants to Local Education Agencies (M)</t>
  </si>
  <si>
    <t>18-4339</t>
  </si>
  <si>
    <t>19-4339</t>
  </si>
  <si>
    <t xml:space="preserve">      Total for CFDA Number 84.377</t>
  </si>
  <si>
    <t xml:space="preserve">  Title IVA Student Support &amp; Academic Enrich</t>
  </si>
  <si>
    <t xml:space="preserve">      Total for CFDA Number 84.424</t>
  </si>
  <si>
    <t>18-4400</t>
  </si>
  <si>
    <t>19-4400</t>
  </si>
  <si>
    <t>TOTAL U.S. DEPARTMENT OF EDUCATION</t>
  </si>
  <si>
    <t>U.S. DEPARTMENT OF HEALTH &amp; HUMAN SERVICES</t>
  </si>
  <si>
    <t>Passed Through Illinois Department of Healthcare and Family Services</t>
  </si>
  <si>
    <t>Passed Through JAMP Special Education Svcs</t>
  </si>
  <si>
    <t xml:space="preserve">  Medical Assistance Program</t>
  </si>
  <si>
    <t>18-2200</t>
  </si>
  <si>
    <t xml:space="preserve">      Total for CFDA Number 93.778</t>
  </si>
  <si>
    <t>TOTAL U.S. DEPARTMENT OF HEALTH &amp; HUMAN SERVICES</t>
  </si>
  <si>
    <t>TOTAL FEDERA AWARDS</t>
  </si>
  <si>
    <t>N/A</t>
  </si>
  <si>
    <t>Title I: Grants to Educational Agencies</t>
  </si>
  <si>
    <t>10.553 and 10.555</t>
  </si>
  <si>
    <t>Child Nutrition Cluster</t>
  </si>
  <si>
    <t xml:space="preserve">Qualified </t>
  </si>
  <si>
    <t xml:space="preserve">For year end financial statements to be relevant and reliable, all transactions need to be recorded correctly in the financial statements. </t>
  </si>
  <si>
    <t>The District recorded General Obligation Bonds, Series 2019 in the amount of $1,090,500 and the respective capital project expenditures in the amount of $109,565 in the Capital Projects Fund despite the resolution approved by the Board designating the bond proceeds and project expenses to the Health Life Safety Fund. In addition, the District recorded bond issuance costs of $9,500 in the Capital Projects Fund instead of the Debt Services Fund.</t>
  </si>
  <si>
    <t>Bond Proceeds totaled $1,100,000, capital project costs totaled $109,565, and bond issuance costs totaled $9,500.</t>
  </si>
  <si>
    <t>The District should ensure that adequate communication is provided to the Bookkeeper on resolutions passed by the Board, so that bond proceeds and associated project costs are recorded in the correct fund.</t>
  </si>
  <si>
    <t>According to 5 ILCS 420/4A-105, by May 1 of each year a statement must be filed by each person whose position at the time subjects him/her to the filing requirements of Section 4A-101.</t>
  </si>
  <si>
    <t>Economic interest statements were not filed timely for all school business officials.</t>
  </si>
  <si>
    <t>The District is not in compliance with Illinois state requirements.</t>
  </si>
  <si>
    <t xml:space="preserve">The District forgot to file the economic interest statements. </t>
  </si>
  <si>
    <t>We recommend that the District timely file economic interest statements for all employees who meet the required criteria as per 5 ILCS 420/4A-105.</t>
  </si>
  <si>
    <t>Capital project expenditures associated with the Health Life Safety Roof and Site Improvements were budget for in the Capital Projects Fund. The resolution passed by the board states that these expenditures should be paid out of the Health Life Safety Fund, and therefore, be budgeted for in that fund.</t>
  </si>
  <si>
    <t xml:space="preserve">Total expenditures for this project were $187,766. </t>
  </si>
  <si>
    <t>There were substantial misclassification of budgetary items.</t>
  </si>
  <si>
    <t>The District did not record the expenditures for the Health Life Safety bond issue and related capital project expenditures in the Health Life Safety Fund resulting in the expenditures not being budgeted for in that fund.</t>
  </si>
  <si>
    <t>Section 105 ILCS 5/34-48 prohibits the Board from making expenditures above the amount provided for in the budget.</t>
  </si>
  <si>
    <t>Actual expenditures of the Debt Service Fund and the Health Life Safety Fund exceeded budgetary limits by $15,680 and $390,541, respectively.</t>
  </si>
  <si>
    <t>The District incurred expenses in total greater than what was provided for in the budget.</t>
  </si>
  <si>
    <t>Total budgeted expenditures for the Debt Service Fund and the Health Life Safety Fund were $356,952 and $11,500, respectively.</t>
  </si>
  <si>
    <t>The District did not record the expenditures for the Health Life Safety Bond issue and related capital project expenditures in the correct funds resulting in expenditures not being budgeted for in the correct funds.</t>
  </si>
  <si>
    <t>Child Nutrition Cluster 2019</t>
  </si>
  <si>
    <t>19-4210 and 19-4220</t>
  </si>
  <si>
    <t>Illinois State Board of Education</t>
  </si>
  <si>
    <t>U.S. Department of Agriculture</t>
  </si>
  <si>
    <t>According to 7 CFR Section 210.14(a), a school food authority shall maintain a nonprofit school food service. In addition, 7 CFR Section 210.14(b) states that the school food service authority shall limit its net cash resources to an amount that does not exceed three months' average expenditures for its nonprofit school food service.</t>
  </si>
  <si>
    <t>The District has food service net cash resources in excess of the three month average expenditure carryover limit.</t>
  </si>
  <si>
    <t>None</t>
  </si>
  <si>
    <t>The District has net cash resources of $176,719, and the three month average expenditures is $119,907, resulting in excess net cash resources of $56,812.</t>
  </si>
  <si>
    <t>The District has earned $56,812 in its food service program in excess of what is allowed.</t>
  </si>
  <si>
    <t>Title I: Grants to Local Educational Agencies 2019</t>
  </si>
  <si>
    <t>U.S. Department of Education</t>
  </si>
  <si>
    <t>Allowable costs are those necessary and reasonable for the performance and administration with federal grants.</t>
  </si>
  <si>
    <t>Allowable expenditures were overstated by $58,220.</t>
  </si>
  <si>
    <t>Grant expenditures totaled $443,991.</t>
  </si>
  <si>
    <t>The person overseeing the time and effort logs was unaware that these people should have been charged to Title I.</t>
  </si>
  <si>
    <t>We recommend that the actual salaries charged to Title I be paid in accordance with the amount of time charged to the individual program according to the time and effort log.</t>
  </si>
  <si>
    <t>2018-001</t>
  </si>
  <si>
    <t>Adjusting entries made by the bookkeeper</t>
  </si>
  <si>
    <t>were not reviewed or approved by an</t>
  </si>
  <si>
    <t>appropriate supervisor.</t>
  </si>
  <si>
    <t>Implemented.</t>
  </si>
  <si>
    <t>2018-002</t>
  </si>
  <si>
    <t>Actual expenditures of the Educational Fund</t>
  </si>
  <si>
    <t>and the Transportation Fund exceeded</t>
  </si>
  <si>
    <t>budgetary limits by $785,545 and $15,352,</t>
  </si>
  <si>
    <t>respectively.</t>
  </si>
  <si>
    <t>Not Implemented. See Finding 2019-006.</t>
  </si>
  <si>
    <t>2018-003</t>
  </si>
  <si>
    <t>The District has food service net cash resources</t>
  </si>
  <si>
    <t>in excess of the three month average expenditure</t>
  </si>
  <si>
    <t xml:space="preserve">carryover allowed. </t>
  </si>
  <si>
    <t>Not Implemented. See Finding 2019-001.</t>
  </si>
  <si>
    <t>2018-004</t>
  </si>
  <si>
    <t xml:space="preserve">Meal counts are submitted to the Illinois </t>
  </si>
  <si>
    <t>State Board of Education without review for</t>
  </si>
  <si>
    <t>accuracy by a responsible official.</t>
  </si>
  <si>
    <t>19-2200</t>
  </si>
  <si>
    <t>84.010</t>
  </si>
  <si>
    <t>Total Federal Expenditures for 7/1/18-6/30/19</t>
  </si>
  <si>
    <t xml:space="preserve">We recommend the Administration and Board should refrain from authorizing expenditures that exceed what is permitted in the budget.  If additional expenditures become necessary, the Board should amend the budget sufficiently to provide for the previously unanticipated expenditures.  </t>
  </si>
  <si>
    <t>We recommend that the Board budget for expenses in the correct funds.</t>
  </si>
  <si>
    <t>Capital project expenditures should be budgeted for in the correct fund based on the resolution passed by the District School Board.</t>
  </si>
  <si>
    <t>In the Health Life Safety Fund, cash was understated by $980,934, revenue was understated by $1,090,500, and expenditures were understated by $109,565. In the Capital Projects Fund, cash was overstated by $980,934, revenue was overstated by $1,100,000, and expenditure were overstated by $105,565. In the Debt Services Fund, revenues and expenditures were understated by $9,500.</t>
  </si>
  <si>
    <t>The bookkeeper was unaware of the resolution passed designating that the bonds were to be recorded in the Health Life Safety Fund.</t>
  </si>
  <si>
    <t>The school business officials did not timely file their economic interest statements pursuant to the Illinois Government Ethics Act. The filing was due by May 1st, but was actually filed on August 26th.</t>
  </si>
  <si>
    <t>The District was previously unware of the requirements, and was not charging all of the expenditures allowable to operate the food service program to the program.</t>
  </si>
  <si>
    <t>We recommend that the District monitor the profit made by the food service program. All allowable expenditures used to operate the program should be charged to the program. In addition, the District needs to adopt a plan to spend the accumulated cash reserves.</t>
  </si>
  <si>
    <t xml:space="preserve">Two employees' salaries and benefits were charged to Title I, but their semi-annual certifications stated their duties performed were for a different program. </t>
  </si>
  <si>
    <t>$58,220.  This represents the costs paid to the employees.  This condition was not detected with statistical sampling.</t>
  </si>
  <si>
    <r>
      <t xml:space="preserve">The accompanying Schedule of Expenditures of Federal Awards includes the federal grant activity of </t>
    </r>
    <r>
      <rPr>
        <b/>
        <sz val="9"/>
        <rFont val="Calibri"/>
        <family val="2"/>
        <scheme val="minor"/>
      </rPr>
      <t>Meridian CUSD #101</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</si>
  <si>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Meridian CUSD #101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</si>
  <si>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Meridian CUSD #101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</si>
  <si>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Communication of the bond sale was during a time when district personnel was out of the office at various times due to vacations and illness.  Communication will be corrected to prevent in the future.</t>
  </si>
  <si>
    <t>Statements will be filed at the correct time for the upcoming fiscal year.</t>
  </si>
  <si>
    <t>The budget should have been updated in Health/Life-Safety and not the Capital Projects line.  The budget will be updated correctly.</t>
  </si>
  <si>
    <t>The budget was amended, but the wrong line was used to indicate the amount for the building projects.</t>
  </si>
  <si>
    <t>The cafeteria will be billed such items as utilities to eliminate the surplus.</t>
  </si>
  <si>
    <t>The costs were approved correctly in the grant.  The time-sheets needed to be labeled correctly.</t>
  </si>
  <si>
    <t>Meridian CUSD 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</si>
</sst>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u val="doubleAccounting"/>
      <sz val="10"/>
      <name val="Calibri"/>
      <family val="2"/>
      <scheme val="minor"/>
    </font>
    <font>
      <u val="sing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6" fillId="0" borderId="0" xfId="0" applyFont="1" applyAlignment="1">
      <alignment horizontal="center"/>
    </xf>
    <xf numFmtId="0" fontId="56" fillId="0" borderId="78" xfId="0" applyFont="1" applyBorder="1" applyAlignment="1">
      <alignment horizontal="center"/>
    </xf>
    <xf numFmtId="181" fontId="56" fillId="0" borderId="0" xfId="19" applyNumberFormat="1" applyFont="1"/>
    <xf numFmtId="181" fontId="138" fillId="0" borderId="0" xfId="19" applyNumberFormat="1" applyFont="1"/>
    <xf numFmtId="182" fontId="56" fillId="0" borderId="0" xfId="1" applyNumberFormat="1" applyFont="1"/>
    <xf numFmtId="182" fontId="139" fillId="0" borderId="0" xfId="1" applyNumberFormat="1" applyFont="1"/>
    <xf numFmtId="181" fontId="138" fillId="0" borderId="0" xfId="0"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quotePrefix="1" applyFont="1" applyBorder="1" applyAlignment="1" applyProtection="1">
      <alignment horizontal="center"/>
      <protection locked="0"/>
    </xf>
    <xf numFmtId="6" fontId="56" fillId="0" borderId="0" xfId="3" applyNumberFormat="1" applyFont="1" applyAlignment="1" applyProtection="1">
      <alignment horizontal="left" vertical="top" wrapText="1"/>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4086FD80-FF81-44A3-9112-2389E50131B7}"/>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500994C9-3C19-4985-B476-2912AAC0F721}"/>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904875</xdr:colOff>
          <xdr:row>8</xdr:row>
          <xdr:rowOff>28575</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1400-000001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EFCE930B-8ED2-4FED-8CDC-BCABEA72E478}"/>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5F21DE00-ADCA-4088-A3B2-1705D6C52EB1}"/>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9B8827E1-D409-4A1F-BBB1-9110484C2E82}"/>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EEF770A8-8DE9-44B3-9BBE-A32087511A8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183C5BB-6005-4D4E-82C7-C24FE8ED522D}"/>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4956C298-B785-43BB-B4C1-E85D21E831F9}"/>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23" t="s">
        <v>405</v>
      </c>
      <c r="J1" s="2024"/>
      <c r="K1" s="2024"/>
      <c r="L1" s="2024"/>
      <c r="M1" s="2024"/>
      <c r="N1" s="2024"/>
      <c r="O1" s="2024"/>
      <c r="P1" s="2024"/>
      <c r="Q1" s="2024"/>
      <c r="R1" s="2024"/>
      <c r="S1" s="2024"/>
    </row>
    <row r="2" spans="1:28" ht="12" customHeight="1" x14ac:dyDescent="0.2">
      <c r="A2" s="47" t="s">
        <v>1989</v>
      </c>
      <c r="D2" s="48"/>
      <c r="I2" s="2025" t="s">
        <v>979</v>
      </c>
      <c r="J2" s="2024"/>
      <c r="K2" s="2024"/>
      <c r="L2" s="2024"/>
      <c r="M2" s="2024"/>
      <c r="N2" s="2024"/>
      <c r="O2" s="2024"/>
      <c r="P2" s="2024"/>
      <c r="Q2" s="2024"/>
      <c r="R2" s="2024"/>
      <c r="S2" s="2024"/>
    </row>
    <row r="3" spans="1:28" ht="12" customHeight="1" x14ac:dyDescent="0.2">
      <c r="A3" s="155" t="s">
        <v>1941</v>
      </c>
      <c r="B3" s="156"/>
      <c r="C3" s="156"/>
      <c r="D3" s="157"/>
      <c r="I3" s="2025" t="s">
        <v>52</v>
      </c>
      <c r="J3" s="2024"/>
      <c r="K3" s="2024"/>
      <c r="L3" s="2024"/>
      <c r="M3" s="2024"/>
      <c r="N3" s="2024"/>
      <c r="O3" s="2024"/>
      <c r="P3" s="2024"/>
      <c r="Q3" s="2024"/>
      <c r="R3" s="2024"/>
      <c r="S3" s="2024"/>
    </row>
    <row r="4" spans="1:28" ht="12" customHeight="1" x14ac:dyDescent="0.2">
      <c r="A4" s="37"/>
      <c r="I4" s="2025" t="s">
        <v>524</v>
      </c>
      <c r="J4" s="2024"/>
      <c r="K4" s="2024"/>
      <c r="L4" s="2024"/>
      <c r="M4" s="2024"/>
      <c r="N4" s="2024"/>
      <c r="O4" s="2024"/>
      <c r="P4" s="2024"/>
      <c r="Q4" s="2024"/>
      <c r="R4" s="2024"/>
      <c r="S4" s="2024"/>
    </row>
    <row r="5" spans="1:28" ht="14.1" customHeight="1" x14ac:dyDescent="0.2">
      <c r="B5" s="104" t="s">
        <v>2063</v>
      </c>
      <c r="C5" s="26" t="s">
        <v>910</v>
      </c>
      <c r="D5" s="84"/>
      <c r="E5" s="84"/>
      <c r="H5" s="38"/>
      <c r="I5" s="2032" t="s">
        <v>680</v>
      </c>
      <c r="J5" s="1977"/>
      <c r="K5" s="1977"/>
      <c r="L5" s="1977"/>
      <c r="M5" s="1977"/>
      <c r="N5" s="1977"/>
      <c r="O5" s="1977"/>
      <c r="P5" s="1977"/>
      <c r="Q5" s="1977"/>
      <c r="R5" s="1977"/>
      <c r="S5" s="1977"/>
    </row>
    <row r="6" spans="1:28" ht="14.1" customHeight="1" x14ac:dyDescent="0.2">
      <c r="B6" s="104"/>
      <c r="C6" s="26" t="s">
        <v>911</v>
      </c>
      <c r="D6" s="84"/>
      <c r="E6" s="84"/>
      <c r="I6" s="2031" t="s">
        <v>883</v>
      </c>
      <c r="J6" s="1977"/>
      <c r="K6" s="1977"/>
      <c r="L6" s="1977"/>
      <c r="M6" s="1977"/>
      <c r="N6" s="1977"/>
      <c r="O6" s="1977"/>
      <c r="P6" s="1977"/>
      <c r="Q6" s="1977"/>
      <c r="R6" s="1977"/>
      <c r="S6" s="1977"/>
    </row>
    <row r="7" spans="1:28" ht="12.2" customHeight="1" x14ac:dyDescent="0.2">
      <c r="I7" s="2026">
        <v>43646</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674</v>
      </c>
      <c r="J9" s="2029"/>
      <c r="K9" s="2029"/>
      <c r="L9" s="2029"/>
      <c r="M9" s="2029"/>
      <c r="N9" s="2029"/>
      <c r="O9" s="2029"/>
      <c r="P9" s="2029"/>
      <c r="Q9" s="2029"/>
      <c r="R9" s="2029"/>
      <c r="S9" s="2030"/>
      <c r="T9" s="1973" t="s">
        <v>533</v>
      </c>
      <c r="U9" s="1974"/>
      <c r="V9" s="1974"/>
      <c r="W9" s="1974"/>
      <c r="X9" s="1974"/>
      <c r="Y9" s="1974"/>
      <c r="Z9" s="1974"/>
      <c r="AA9" s="1975"/>
    </row>
    <row r="10" spans="1:28" ht="13.5" customHeight="1" x14ac:dyDescent="0.2">
      <c r="A10" s="1982" t="s">
        <v>675</v>
      </c>
      <c r="B10" s="1983"/>
      <c r="C10" s="1983"/>
      <c r="D10" s="1983"/>
      <c r="E10" s="1983"/>
      <c r="F10" s="1983"/>
      <c r="G10" s="1983"/>
      <c r="H10" s="1984"/>
      <c r="I10" s="29"/>
      <c r="J10" s="30"/>
      <c r="K10" s="28"/>
      <c r="R10" s="30"/>
      <c r="S10" s="30"/>
      <c r="T10" s="1976"/>
      <c r="U10" s="1977"/>
      <c r="V10" s="1977"/>
      <c r="W10" s="1977"/>
      <c r="X10" s="1977"/>
      <c r="Y10" s="1977"/>
      <c r="Z10" s="1977"/>
      <c r="AA10" s="1978"/>
    </row>
    <row r="11" spans="1:28" ht="14.25" customHeight="1" x14ac:dyDescent="0.2">
      <c r="A11" s="1985" t="s">
        <v>955</v>
      </c>
      <c r="B11" s="1986"/>
      <c r="C11" s="1986"/>
      <c r="D11" s="1986"/>
      <c r="E11" s="1986"/>
      <c r="F11" s="1986"/>
      <c r="G11" s="1986"/>
      <c r="H11" s="1987"/>
      <c r="I11" s="27"/>
      <c r="J11" s="74"/>
      <c r="K11" s="27"/>
      <c r="O11" s="148" t="s">
        <v>2063</v>
      </c>
      <c r="P11" s="100" t="s">
        <v>201</v>
      </c>
      <c r="Q11" s="30"/>
      <c r="R11" s="28"/>
      <c r="S11" s="27"/>
      <c r="T11" s="1979"/>
      <c r="U11" s="1980"/>
      <c r="V11" s="1980"/>
      <c r="W11" s="1980"/>
      <c r="X11" s="1980"/>
      <c r="Y11" s="1980"/>
      <c r="Z11" s="1980"/>
      <c r="AA11" s="198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3">
        <v>30077101026</v>
      </c>
      <c r="B13" s="1994"/>
      <c r="C13" s="1994"/>
      <c r="D13" s="1994"/>
      <c r="E13" s="1994"/>
      <c r="F13" s="1994"/>
      <c r="G13" s="1994"/>
      <c r="H13" s="1995"/>
      <c r="I13" s="31"/>
      <c r="J13" s="30"/>
      <c r="K13" s="28"/>
      <c r="L13" s="30"/>
      <c r="M13" s="30"/>
      <c r="N13" s="30"/>
      <c r="O13" s="30"/>
      <c r="P13" s="30"/>
      <c r="Q13" s="30"/>
      <c r="R13" s="30"/>
      <c r="S13" s="30"/>
      <c r="T13" s="1998" t="s">
        <v>2067</v>
      </c>
      <c r="U13" s="1999"/>
      <c r="V13" s="1999"/>
      <c r="W13" s="1999"/>
      <c r="X13" s="1999"/>
      <c r="Y13" s="2000"/>
      <c r="Z13" s="2000"/>
      <c r="AA13" s="200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1" t="s">
        <v>2060</v>
      </c>
      <c r="B15" s="1996"/>
      <c r="C15" s="1996"/>
      <c r="D15" s="1996"/>
      <c r="E15" s="1996"/>
      <c r="F15" s="1996"/>
      <c r="G15" s="1996"/>
      <c r="H15" s="1997"/>
      <c r="T15" s="1959" t="s">
        <v>2068</v>
      </c>
      <c r="U15" s="1960"/>
      <c r="V15" s="1960"/>
      <c r="W15" s="1960"/>
      <c r="X15" s="1960"/>
      <c r="Y15" s="2002"/>
      <c r="Z15" s="2002"/>
      <c r="AA15" s="200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1" t="s">
        <v>2258</v>
      </c>
      <c r="B17" s="2021"/>
      <c r="C17" s="2021"/>
      <c r="D17" s="2021"/>
      <c r="E17" s="2021"/>
      <c r="F17" s="2021"/>
      <c r="G17" s="2021"/>
      <c r="H17" s="2022"/>
      <c r="T17" s="2008" t="s">
        <v>2069</v>
      </c>
      <c r="U17" s="2009"/>
      <c r="V17" s="2009"/>
      <c r="W17" s="2009"/>
      <c r="X17" s="2009"/>
      <c r="Y17" s="2009"/>
      <c r="Z17" s="2009"/>
      <c r="AA17" s="2010"/>
    </row>
    <row r="18" spans="1:27" ht="13.5" customHeight="1" x14ac:dyDescent="0.2">
      <c r="A18" s="85" t="s">
        <v>530</v>
      </c>
      <c r="B18" s="76"/>
      <c r="C18" s="72"/>
      <c r="D18" s="76"/>
      <c r="E18" s="76"/>
      <c r="F18" s="76"/>
      <c r="G18" s="76"/>
      <c r="H18" s="56"/>
      <c r="I18" s="2018" t="s">
        <v>676</v>
      </c>
      <c r="J18" s="2019"/>
      <c r="K18" s="2019"/>
      <c r="L18" s="2019"/>
      <c r="M18" s="2019"/>
      <c r="N18" s="2019"/>
      <c r="O18" s="2019"/>
      <c r="P18" s="2019"/>
      <c r="Q18" s="2019"/>
      <c r="R18" s="2019"/>
      <c r="S18" s="2020"/>
      <c r="T18" s="85" t="s">
        <v>711</v>
      </c>
      <c r="U18" s="51"/>
      <c r="V18" s="72"/>
      <c r="W18" s="50"/>
      <c r="X18" s="85" t="s">
        <v>266</v>
      </c>
      <c r="Y18" s="81"/>
      <c r="Z18" s="159" t="s">
        <v>677</v>
      </c>
      <c r="AA18" s="46"/>
    </row>
    <row r="19" spans="1:27" ht="13.5" customHeight="1" x14ac:dyDescent="0.2">
      <c r="A19" s="1991" t="s">
        <v>2061</v>
      </c>
      <c r="B19" s="1992"/>
      <c r="C19" s="1992"/>
      <c r="D19" s="1992"/>
      <c r="E19" s="1992"/>
      <c r="F19" s="1992"/>
      <c r="G19" s="1992"/>
      <c r="H19" s="1990"/>
      <c r="I19" s="30"/>
      <c r="J19" s="99"/>
      <c r="K19" s="40"/>
      <c r="L19" s="38"/>
      <c r="M19" s="112" t="s">
        <v>315</v>
      </c>
      <c r="P19" s="27"/>
      <c r="Q19" s="27"/>
      <c r="R19" s="27"/>
      <c r="S19" s="31"/>
      <c r="T19" s="1991" t="s">
        <v>2070</v>
      </c>
      <c r="U19" s="1989"/>
      <c r="V19" s="1989"/>
      <c r="W19" s="1990"/>
      <c r="X19" s="2006" t="s">
        <v>2071</v>
      </c>
      <c r="Y19" s="2007"/>
      <c r="Z19" s="2004">
        <v>63703</v>
      </c>
      <c r="AA19" s="200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8" t="s">
        <v>2062</v>
      </c>
      <c r="B21" s="1989"/>
      <c r="C21" s="1989"/>
      <c r="D21" s="1989"/>
      <c r="E21" s="1989"/>
      <c r="F21" s="1989"/>
      <c r="G21" s="1989"/>
      <c r="H21" s="1990"/>
      <c r="I21" s="2014" t="s">
        <v>678</v>
      </c>
      <c r="J21" s="1977"/>
      <c r="K21" s="1977"/>
      <c r="L21" s="1977"/>
      <c r="M21" s="1977"/>
      <c r="N21" s="1977"/>
      <c r="O21" s="1977"/>
      <c r="P21" s="1977"/>
      <c r="Q21" s="1977"/>
      <c r="R21" s="1977"/>
      <c r="S21" s="1978"/>
      <c r="T21" s="1956" t="s">
        <v>2072</v>
      </c>
      <c r="U21" s="1957"/>
      <c r="V21" s="1957"/>
      <c r="W21" s="1957"/>
      <c r="X21" s="1970" t="s">
        <v>2073</v>
      </c>
      <c r="Y21" s="1971"/>
      <c r="Z21" s="1971"/>
      <c r="AA21" s="1972"/>
    </row>
    <row r="22" spans="1:27" ht="13.5" customHeight="1" x14ac:dyDescent="0.2">
      <c r="A22" s="87" t="s">
        <v>531</v>
      </c>
      <c r="B22" s="59"/>
      <c r="C22" s="59"/>
      <c r="D22" s="59"/>
      <c r="E22" s="59"/>
      <c r="F22" s="59"/>
      <c r="G22" s="59"/>
      <c r="H22" s="60"/>
      <c r="I22" s="2015" t="s">
        <v>1429</v>
      </c>
      <c r="J22" s="2016"/>
      <c r="K22" s="2016"/>
      <c r="L22" s="2016"/>
      <c r="M22" s="2016"/>
      <c r="N22" s="2016"/>
      <c r="O22" s="2016"/>
      <c r="P22" s="2016"/>
      <c r="Q22" s="2016"/>
      <c r="R22" s="2016"/>
      <c r="S22" s="2017"/>
      <c r="T22" s="85" t="s">
        <v>1516</v>
      </c>
      <c r="U22" s="51"/>
      <c r="V22" s="72"/>
      <c r="W22" s="51"/>
      <c r="X22" s="160" t="s">
        <v>1318</v>
      </c>
      <c r="Z22" s="45"/>
      <c r="AA22" s="46"/>
    </row>
    <row r="23" spans="1:27" ht="13.5" customHeight="1" x14ac:dyDescent="0.2">
      <c r="A23" s="2011"/>
      <c r="B23" s="2012"/>
      <c r="C23" s="2012"/>
      <c r="D23" s="2012"/>
      <c r="E23" s="2012"/>
      <c r="F23" s="2012"/>
      <c r="G23" s="2012"/>
      <c r="H23" s="2013"/>
      <c r="T23" s="1951" t="s">
        <v>2074</v>
      </c>
      <c r="U23" s="1952"/>
      <c r="V23" s="1952"/>
      <c r="W23" s="1952"/>
      <c r="X23" s="1967">
        <v>44530</v>
      </c>
      <c r="Y23" s="1968"/>
      <c r="Z23" s="1968"/>
      <c r="AA23" s="1969"/>
    </row>
    <row r="24" spans="1:27" ht="14.1" customHeight="1" x14ac:dyDescent="0.2">
      <c r="A24" s="88" t="s">
        <v>677</v>
      </c>
      <c r="B24" s="49"/>
      <c r="C24" s="49"/>
      <c r="D24" s="49"/>
      <c r="E24" s="49"/>
      <c r="F24" s="49"/>
      <c r="G24" s="49"/>
      <c r="H24" s="61"/>
      <c r="J24" s="2053">
        <f>IF(B5="x",IF(AUDITCHECK!D29="AFR form Incomplete.","",IF(AUDITCHECK!D29="Deficit reduction plan is required.","School District must complete a deficit reduction plan in the 2019-2020 Budget",)),"")</f>
        <v>0</v>
      </c>
      <c r="K24" s="2053"/>
      <c r="L24" s="2053"/>
      <c r="M24" s="2053"/>
      <c r="N24" s="2053"/>
      <c r="O24" s="2053"/>
      <c r="P24" s="2053"/>
      <c r="Q24" s="2053"/>
      <c r="R24" s="2053"/>
      <c r="S24" s="2054"/>
      <c r="T24" s="105" t="s">
        <v>531</v>
      </c>
      <c r="U24" s="106"/>
      <c r="V24" s="106"/>
      <c r="W24" s="106"/>
      <c r="X24" s="107"/>
      <c r="Y24" s="107"/>
      <c r="Z24" s="107"/>
      <c r="AA24" s="108"/>
    </row>
    <row r="25" spans="1:27" ht="14.1" customHeight="1" x14ac:dyDescent="0.2">
      <c r="A25" s="1988">
        <v>62964</v>
      </c>
      <c r="B25" s="1989"/>
      <c r="C25" s="1989"/>
      <c r="D25" s="1989"/>
      <c r="E25" s="1989"/>
      <c r="F25" s="1989"/>
      <c r="G25" s="1989"/>
      <c r="H25" s="1990"/>
      <c r="I25" s="113"/>
      <c r="J25" s="2055"/>
      <c r="K25" s="2055"/>
      <c r="L25" s="2055"/>
      <c r="M25" s="2055"/>
      <c r="N25" s="2055"/>
      <c r="O25" s="2055"/>
      <c r="P25" s="2055"/>
      <c r="Q25" s="2055"/>
      <c r="R25" s="2055"/>
      <c r="S25" s="2056"/>
      <c r="T25" s="1948" t="s">
        <v>2075</v>
      </c>
      <c r="U25" s="1949"/>
      <c r="V25" s="1949"/>
      <c r="W25" s="1949"/>
      <c r="X25" s="1949"/>
      <c r="Y25" s="1949"/>
      <c r="Z25" s="1949"/>
      <c r="AA25" s="19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6" t="s">
        <v>1511</v>
      </c>
      <c r="J27" s="2019"/>
      <c r="K27" s="2019"/>
      <c r="L27" s="2019"/>
      <c r="M27" s="2019"/>
      <c r="N27" s="2019"/>
      <c r="O27" s="2019"/>
      <c r="P27" s="2019"/>
      <c r="Q27" s="2019"/>
      <c r="R27" s="2019"/>
      <c r="S27" s="202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2063</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2063</v>
      </c>
      <c r="C30" s="124" t="s">
        <v>1164</v>
      </c>
      <c r="D30" s="28"/>
      <c r="E30" s="28"/>
      <c r="F30" s="140"/>
      <c r="G30" s="114"/>
      <c r="H30" s="114"/>
      <c r="I30" s="54"/>
      <c r="J30" s="148" t="s">
        <v>2063</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2063</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2"/>
      <c r="Q35" s="1989"/>
      <c r="R35" s="198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1" t="s">
        <v>2064</v>
      </c>
      <c r="B38" s="2021"/>
      <c r="C38" s="2021"/>
      <c r="D38" s="2021"/>
      <c r="E38" s="2021"/>
      <c r="F38" s="1989"/>
      <c r="G38" s="1989"/>
      <c r="H38" s="1990"/>
      <c r="I38" s="2040"/>
      <c r="J38" s="1960"/>
      <c r="K38" s="1960"/>
      <c r="L38" s="1960"/>
      <c r="M38" s="1960"/>
      <c r="N38" s="1960"/>
      <c r="O38" s="1960"/>
      <c r="P38" s="1961"/>
      <c r="Q38" s="1961"/>
      <c r="R38" s="1961"/>
      <c r="S38" s="1962"/>
      <c r="T38" s="1959"/>
      <c r="U38" s="1960"/>
      <c r="V38" s="1960"/>
      <c r="W38" s="1960"/>
      <c r="X38" s="1961"/>
      <c r="Y38" s="1961"/>
      <c r="Z38" s="1961"/>
      <c r="AA38" s="1962"/>
    </row>
    <row r="39" spans="1:27" ht="12" customHeight="1" x14ac:dyDescent="0.2">
      <c r="A39" s="2044" t="s">
        <v>531</v>
      </c>
      <c r="B39" s="2045"/>
      <c r="C39" s="72"/>
      <c r="D39" s="69"/>
      <c r="E39" s="69"/>
      <c r="F39" s="79"/>
      <c r="G39" s="69"/>
      <c r="H39" s="56"/>
      <c r="I39" s="2044" t="s">
        <v>531</v>
      </c>
      <c r="J39" s="2045"/>
      <c r="K39" s="2045"/>
      <c r="L39" s="2045"/>
      <c r="M39" s="2045"/>
      <c r="N39" s="67"/>
      <c r="O39" s="72"/>
      <c r="P39" s="72"/>
      <c r="Q39" s="78"/>
      <c r="R39" s="72"/>
      <c r="S39" s="56"/>
      <c r="T39" s="72" t="s">
        <v>531</v>
      </c>
      <c r="U39" s="51"/>
      <c r="V39" s="72"/>
      <c r="W39" s="50"/>
      <c r="X39" s="78"/>
      <c r="Y39" s="45"/>
      <c r="Z39" s="45"/>
      <c r="AA39" s="46"/>
    </row>
    <row r="40" spans="1:27" ht="13.5" customHeight="1" x14ac:dyDescent="0.2">
      <c r="A40" s="2047"/>
      <c r="B40" s="2048"/>
      <c r="C40" s="2049"/>
      <c r="D40" s="2049"/>
      <c r="E40" s="2049"/>
      <c r="F40" s="2050"/>
      <c r="G40" s="2050"/>
      <c r="H40" s="2051"/>
      <c r="I40" s="1963"/>
      <c r="J40" s="1965"/>
      <c r="K40" s="1965"/>
      <c r="L40" s="1965"/>
      <c r="M40" s="1965"/>
      <c r="N40" s="1965"/>
      <c r="O40" s="1965"/>
      <c r="P40" s="1965"/>
      <c r="Q40" s="1965"/>
      <c r="R40" s="1965"/>
      <c r="S40" s="1966"/>
      <c r="T40" s="1963"/>
      <c r="U40" s="1964"/>
      <c r="V40" s="1965"/>
      <c r="W40" s="1965"/>
      <c r="X40" s="1965"/>
      <c r="Y40" s="1965"/>
      <c r="Z40" s="1965"/>
      <c r="AA40" s="196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7" t="s">
        <v>2065</v>
      </c>
      <c r="B42" s="2038"/>
      <c r="C42" s="2039"/>
      <c r="D42" s="2052" t="s">
        <v>2066</v>
      </c>
      <c r="E42" s="2038"/>
      <c r="F42" s="2038"/>
      <c r="G42" s="2038"/>
      <c r="H42" s="2039"/>
      <c r="I42" s="1958"/>
      <c r="J42" s="1954"/>
      <c r="K42" s="1954"/>
      <c r="L42" s="1954"/>
      <c r="M42" s="1954"/>
      <c r="N42" s="1954"/>
      <c r="O42" s="1955"/>
      <c r="P42" s="1953"/>
      <c r="Q42" s="1954"/>
      <c r="R42" s="1954"/>
      <c r="S42" s="1955"/>
      <c r="T42" s="1958"/>
      <c r="U42" s="1954"/>
      <c r="V42" s="1954"/>
      <c r="W42" s="1955"/>
      <c r="X42" s="1953"/>
      <c r="Y42" s="1954"/>
      <c r="Z42" s="1954"/>
      <c r="AA42" s="195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1"/>
      <c r="B44" s="2042"/>
      <c r="C44" s="2042"/>
      <c r="D44" s="2042"/>
      <c r="E44" s="2042"/>
      <c r="F44" s="2042"/>
      <c r="G44" s="2042"/>
      <c r="H44" s="2043"/>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H14" sqref="H1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0" t="s">
        <v>1799</v>
      </c>
      <c r="B2" s="1528" t="s">
        <v>1947</v>
      </c>
      <c r="C2" s="714" t="s">
        <v>1948</v>
      </c>
      <c r="D2" s="714" t="s">
        <v>1949</v>
      </c>
      <c r="E2" s="714" t="s">
        <v>1950</v>
      </c>
      <c r="F2" s="714" t="s">
        <v>1951</v>
      </c>
    </row>
    <row r="3" spans="1:6" ht="12" customHeight="1" x14ac:dyDescent="0.2">
      <c r="A3" s="2191"/>
      <c r="B3" s="1525"/>
      <c r="C3" s="1526"/>
      <c r="D3" s="1527" t="s">
        <v>256</v>
      </c>
      <c r="E3" s="1526"/>
      <c r="F3" s="1527" t="s">
        <v>257</v>
      </c>
    </row>
    <row r="4" spans="1:6" ht="13.7" customHeight="1" x14ac:dyDescent="0.2">
      <c r="A4" s="715" t="s">
        <v>1155</v>
      </c>
      <c r="B4" s="1749">
        <f>'Revenues 9-14'!C5</f>
        <v>464759</v>
      </c>
      <c r="C4" s="1524"/>
      <c r="D4" s="1752">
        <f>B4-C4</f>
        <v>464759</v>
      </c>
      <c r="E4" s="1524">
        <v>513939</v>
      </c>
      <c r="F4" s="1752">
        <f>E4-C4</f>
        <v>513939</v>
      </c>
    </row>
    <row r="5" spans="1:6" ht="13.7" customHeight="1" x14ac:dyDescent="0.2">
      <c r="A5" s="715" t="s">
        <v>870</v>
      </c>
      <c r="B5" s="1750">
        <f>'Revenues 9-14'!D5</f>
        <v>116191</v>
      </c>
      <c r="C5" s="585"/>
      <c r="D5" s="1753">
        <f t="shared" ref="D5:D18" si="0">B5-C5</f>
        <v>116191</v>
      </c>
      <c r="E5" s="585">
        <v>128235</v>
      </c>
      <c r="F5" s="1753">
        <f>E5-C5</f>
        <v>128235</v>
      </c>
    </row>
    <row r="6" spans="1:6" ht="13.7" customHeight="1" x14ac:dyDescent="0.2">
      <c r="A6" s="715" t="s">
        <v>411</v>
      </c>
      <c r="B6" s="1750">
        <f>'Revenues 9-14'!E5</f>
        <v>178323</v>
      </c>
      <c r="C6" s="585"/>
      <c r="D6" s="1753">
        <f t="shared" si="0"/>
        <v>178323</v>
      </c>
      <c r="E6" s="585">
        <v>178282</v>
      </c>
      <c r="F6" s="1753">
        <f t="shared" ref="F6:F18" si="1">E6-C6</f>
        <v>178282</v>
      </c>
    </row>
    <row r="7" spans="1:6" ht="13.7" customHeight="1" x14ac:dyDescent="0.2">
      <c r="A7" s="715" t="s">
        <v>155</v>
      </c>
      <c r="B7" s="1750">
        <f>'Revenues 9-14'!F5</f>
        <v>46477</v>
      </c>
      <c r="C7" s="585"/>
      <c r="D7" s="1753">
        <f t="shared" si="0"/>
        <v>46477</v>
      </c>
      <c r="E7" s="585">
        <v>51294</v>
      </c>
      <c r="F7" s="1753">
        <f t="shared" si="1"/>
        <v>51294</v>
      </c>
    </row>
    <row r="8" spans="1:6" ht="13.7" customHeight="1" x14ac:dyDescent="0.2">
      <c r="A8" s="715" t="s">
        <v>1179</v>
      </c>
      <c r="B8" s="1750">
        <f>'Revenues 9-14'!G5</f>
        <v>96756</v>
      </c>
      <c r="C8" s="585"/>
      <c r="D8" s="1753">
        <f t="shared" si="0"/>
        <v>96756</v>
      </c>
      <c r="E8" s="585">
        <v>70355</v>
      </c>
      <c r="F8" s="1753">
        <f t="shared" si="1"/>
        <v>70355</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11622</v>
      </c>
      <c r="C10" s="585"/>
      <c r="D10" s="1753">
        <f t="shared" si="0"/>
        <v>11622</v>
      </c>
      <c r="E10" s="585">
        <v>13161</v>
      </c>
      <c r="F10" s="1753">
        <f t="shared" si="1"/>
        <v>13161</v>
      </c>
    </row>
    <row r="11" spans="1:6" x14ac:dyDescent="0.2">
      <c r="A11" s="715" t="s">
        <v>409</v>
      </c>
      <c r="B11" s="1750">
        <f>'Revenues 9-14'!J5</f>
        <v>21575</v>
      </c>
      <c r="C11" s="585"/>
      <c r="D11" s="1753">
        <f t="shared" si="0"/>
        <v>21575</v>
      </c>
      <c r="E11" s="585">
        <v>26786</v>
      </c>
      <c r="F11" s="1753">
        <f t="shared" si="1"/>
        <v>26786</v>
      </c>
    </row>
    <row r="12" spans="1:6" ht="13.7" customHeight="1" x14ac:dyDescent="0.2">
      <c r="A12" s="715" t="s">
        <v>157</v>
      </c>
      <c r="B12" s="1750">
        <f>'Revenues 9-14'!K5</f>
        <v>3523</v>
      </c>
      <c r="C12" s="585"/>
      <c r="D12" s="1753">
        <f t="shared" si="0"/>
        <v>3523</v>
      </c>
      <c r="E12" s="585">
        <v>12823</v>
      </c>
      <c r="F12" s="1753">
        <f t="shared" si="1"/>
        <v>12823</v>
      </c>
    </row>
    <row r="13" spans="1:6" ht="13.7" customHeight="1" x14ac:dyDescent="0.2">
      <c r="A13" s="715" t="s">
        <v>936</v>
      </c>
      <c r="B13" s="1750">
        <f>SUM('Revenues 9-14'!C6:D6)</f>
        <v>11622</v>
      </c>
      <c r="C13" s="585"/>
      <c r="D13" s="1753">
        <f t="shared" si="0"/>
        <v>11622</v>
      </c>
      <c r="E13" s="585">
        <v>12823</v>
      </c>
      <c r="F13" s="1753">
        <f t="shared" si="1"/>
        <v>12823</v>
      </c>
    </row>
    <row r="14" spans="1:6" ht="13.7" customHeight="1" x14ac:dyDescent="0.2">
      <c r="A14" s="715" t="s">
        <v>410</v>
      </c>
      <c r="B14" s="1750">
        <f>SUM('Revenues 9-14'!C7:D7,'Revenues 9-14'!F7:H7)</f>
        <v>75422</v>
      </c>
      <c r="C14" s="585"/>
      <c r="D14" s="1753">
        <f t="shared" si="0"/>
        <v>75422</v>
      </c>
      <c r="E14" s="585">
        <v>5266</v>
      </c>
      <c r="F14" s="1753">
        <f t="shared" si="1"/>
        <v>5266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v>70355</v>
      </c>
      <c r="F16" s="1753">
        <f t="shared" si="1"/>
        <v>70355</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1026270</v>
      </c>
      <c r="C19" s="1751">
        <f>SUM(C4:C18)</f>
        <v>0</v>
      </c>
      <c r="D19" s="1751">
        <f>SUM(D4:D18)</f>
        <v>1026270</v>
      </c>
      <c r="E19" s="1751">
        <f>SUM(E4:E18)</f>
        <v>1083319</v>
      </c>
      <c r="F19" s="1751">
        <f>SUM(F4:F18)</f>
        <v>1083319</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orizontalCentered="1" headings="1" gridLinesSet="0"/>
  <pageMargins left="1" right="1" top="1.65" bottom="0.52" header="0.44" footer="0.35"/>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K59"/>
  <sheetViews>
    <sheetView showGridLines="0" defaultGridColor="0" topLeftCell="A22" colorId="8" zoomScale="110" zoomScaleNormal="110" workbookViewId="0">
      <selection activeCell="A5" sqref="A5:F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629</v>
      </c>
      <c r="B1" s="2197"/>
      <c r="C1" s="721"/>
    </row>
    <row r="2" spans="1:7" ht="33.75" x14ac:dyDescent="0.2">
      <c r="A2" s="2205" t="s">
        <v>1799</v>
      </c>
      <c r="B2" s="2206"/>
      <c r="C2" s="1884" t="s">
        <v>1952</v>
      </c>
      <c r="D2" s="723" t="s">
        <v>1953</v>
      </c>
      <c r="E2" s="723" t="s">
        <v>1954</v>
      </c>
      <c r="F2" s="1884" t="s">
        <v>1955</v>
      </c>
    </row>
    <row r="3" spans="1:7" ht="15.75" customHeight="1" x14ac:dyDescent="0.2">
      <c r="A3" s="2209" t="s">
        <v>1114</v>
      </c>
      <c r="B3" s="2210"/>
      <c r="C3" s="2198"/>
      <c r="D3" s="2199"/>
      <c r="E3" s="2199"/>
      <c r="F3" s="2200"/>
    </row>
    <row r="4" spans="1:7" ht="12.75" customHeight="1" thickBot="1" x14ac:dyDescent="0.25">
      <c r="A4" s="2207" t="s">
        <v>630</v>
      </c>
      <c r="B4" s="2208"/>
      <c r="C4" s="581"/>
      <c r="D4" s="581"/>
      <c r="E4" s="581"/>
      <c r="F4" s="1755">
        <f>SUM(C4+D4)-E4</f>
        <v>0</v>
      </c>
    </row>
    <row r="5" spans="1:7" ht="15.75" customHeight="1" thickTop="1" x14ac:dyDescent="0.2">
      <c r="A5" s="2192" t="s">
        <v>1110</v>
      </c>
      <c r="B5" s="2193"/>
      <c r="C5" s="2201"/>
      <c r="D5" s="2202"/>
      <c r="E5" s="2202"/>
      <c r="F5" s="220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4" t="s">
        <v>1111</v>
      </c>
      <c r="B16" s="2193"/>
      <c r="C16" s="2201"/>
      <c r="D16" s="2202"/>
      <c r="E16" s="2202"/>
      <c r="F16" s="2203"/>
    </row>
    <row r="17" spans="1:11" ht="12.75" customHeight="1" thickBot="1" x14ac:dyDescent="0.25">
      <c r="A17" s="2217" t="s">
        <v>64</v>
      </c>
      <c r="B17" s="2218"/>
      <c r="C17" s="726"/>
      <c r="D17" s="585"/>
      <c r="E17" s="726"/>
      <c r="F17" s="1755">
        <f>SUM(C17+D17)-E17</f>
        <v>0</v>
      </c>
    </row>
    <row r="18" spans="1:11" ht="12.75" customHeight="1" thickTop="1" thickBot="1" x14ac:dyDescent="0.25">
      <c r="A18" s="2217" t="s">
        <v>6</v>
      </c>
      <c r="B18" s="2218"/>
      <c r="C18" s="726"/>
      <c r="D18" s="585"/>
      <c r="E18" s="726"/>
      <c r="F18" s="1755">
        <f>SUM(C18+D18)-E18</f>
        <v>0</v>
      </c>
    </row>
    <row r="19" spans="1:11" ht="12.75" customHeight="1" thickTop="1" thickBot="1" x14ac:dyDescent="0.25">
      <c r="A19" s="2217" t="s">
        <v>388</v>
      </c>
      <c r="B19" s="2218"/>
      <c r="C19" s="726"/>
      <c r="D19" s="585"/>
      <c r="E19" s="726"/>
      <c r="F19" s="1755">
        <f>SUM(C19+D19)-E19</f>
        <v>0</v>
      </c>
    </row>
    <row r="20" spans="1:11" ht="12.75" customHeight="1" thickTop="1" thickBot="1" x14ac:dyDescent="0.25">
      <c r="A20" s="2217" t="s">
        <v>448</v>
      </c>
      <c r="B20" s="2218"/>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219" t="s">
        <v>1112</v>
      </c>
      <c r="B22" s="2193"/>
      <c r="C22" s="2201"/>
      <c r="D22" s="2202"/>
      <c r="E22" s="2202"/>
      <c r="F22" s="2203"/>
    </row>
    <row r="23" spans="1:11" ht="13.5" thickBot="1" x14ac:dyDescent="0.25">
      <c r="A23" s="2207" t="s">
        <v>633</v>
      </c>
      <c r="B23" s="2208"/>
      <c r="C23" s="581"/>
      <c r="D23" s="581"/>
      <c r="E23" s="581"/>
      <c r="F23" s="1755">
        <f>SUM(C23+D23)-E23</f>
        <v>0</v>
      </c>
      <c r="G23" s="552"/>
    </row>
    <row r="24" spans="1:11" ht="15.75" customHeight="1" thickTop="1" x14ac:dyDescent="0.2">
      <c r="A24" s="2219" t="s">
        <v>1113</v>
      </c>
      <c r="B24" s="2193"/>
      <c r="C24" s="2201"/>
      <c r="D24" s="2202"/>
      <c r="E24" s="2202"/>
      <c r="F24" s="2203"/>
    </row>
    <row r="25" spans="1:11" ht="13.5" thickBot="1" x14ac:dyDescent="0.25">
      <c r="A25" s="2207" t="s">
        <v>634</v>
      </c>
      <c r="B25" s="2208"/>
      <c r="C25" s="581"/>
      <c r="D25" s="581"/>
      <c r="E25" s="581"/>
      <c r="F25" s="1755">
        <f>SUM(C25+D25)-E25</f>
        <v>0</v>
      </c>
      <c r="G25" s="552"/>
    </row>
    <row r="26" spans="1:11" ht="15.75" customHeight="1" thickTop="1" x14ac:dyDescent="0.2">
      <c r="A26" s="2192" t="s">
        <v>657</v>
      </c>
      <c r="B26" s="2193"/>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20" t="s">
        <v>582</v>
      </c>
      <c r="B29" s="2197"/>
      <c r="C29" s="729"/>
      <c r="D29" s="729"/>
      <c r="E29" s="729"/>
      <c r="F29" s="729"/>
      <c r="G29" s="729"/>
      <c r="H29" s="729"/>
      <c r="I29" s="729"/>
      <c r="J29" s="729"/>
    </row>
    <row r="30" spans="1:11" ht="33.75" x14ac:dyDescent="0.2">
      <c r="A30" s="1529" t="s">
        <v>1071</v>
      </c>
      <c r="B30" s="730" t="s">
        <v>1124</v>
      </c>
      <c r="C30" s="1885" t="s">
        <v>583</v>
      </c>
      <c r="D30" s="1885" t="s">
        <v>1673</v>
      </c>
      <c r="E30" s="1885" t="s">
        <v>1956</v>
      </c>
      <c r="F30" s="1885" t="s">
        <v>1957</v>
      </c>
      <c r="G30" s="1885" t="s">
        <v>1907</v>
      </c>
      <c r="H30" s="1885" t="s">
        <v>1958</v>
      </c>
      <c r="I30" s="1885" t="s">
        <v>1959</v>
      </c>
      <c r="J30" s="1886" t="s">
        <v>2</v>
      </c>
      <c r="K30" s="731"/>
    </row>
    <row r="31" spans="1:11" ht="12" customHeight="1" x14ac:dyDescent="0.2">
      <c r="A31" s="732" t="s">
        <v>2077</v>
      </c>
      <c r="B31" s="733">
        <v>38898</v>
      </c>
      <c r="C31" s="734">
        <v>1250000</v>
      </c>
      <c r="D31" s="735">
        <v>7</v>
      </c>
      <c r="E31" s="734">
        <v>345776</v>
      </c>
      <c r="F31" s="734"/>
      <c r="G31" s="734"/>
      <c r="H31" s="734">
        <v>84241</v>
      </c>
      <c r="I31" s="1756">
        <f>((E31+F31)-H31)+G31</f>
        <v>261535</v>
      </c>
      <c r="J31" s="734">
        <v>64260</v>
      </c>
      <c r="K31" s="736"/>
    </row>
    <row r="32" spans="1:11" ht="12" customHeight="1" x14ac:dyDescent="0.2">
      <c r="A32" s="732" t="s">
        <v>2078</v>
      </c>
      <c r="B32" s="733">
        <v>41791</v>
      </c>
      <c r="C32" s="734">
        <v>2155000</v>
      </c>
      <c r="D32" s="735">
        <v>9</v>
      </c>
      <c r="E32" s="734">
        <v>2010000</v>
      </c>
      <c r="F32" s="734"/>
      <c r="G32" s="734"/>
      <c r="H32" s="734">
        <v>85000</v>
      </c>
      <c r="I32" s="1756">
        <f>((E32+F32)-H32)+G32</f>
        <v>1925000</v>
      </c>
      <c r="J32" s="734">
        <v>1925000</v>
      </c>
      <c r="K32" s="736"/>
    </row>
    <row r="33" spans="1:11" ht="12" customHeight="1" x14ac:dyDescent="0.2">
      <c r="A33" s="732" t="s">
        <v>2079</v>
      </c>
      <c r="B33" s="733">
        <v>41654</v>
      </c>
      <c r="C33" s="734">
        <v>71680</v>
      </c>
      <c r="D33" s="735">
        <v>8</v>
      </c>
      <c r="E33" s="734">
        <v>28996</v>
      </c>
      <c r="F33" s="734"/>
      <c r="G33" s="734"/>
      <c r="H33" s="734">
        <v>11617</v>
      </c>
      <c r="I33" s="1756">
        <f t="shared" ref="I33:I48" si="1">((E33+F33)-H33)+G33</f>
        <v>17379</v>
      </c>
      <c r="J33" s="734">
        <v>17379</v>
      </c>
      <c r="K33" s="736"/>
    </row>
    <row r="34" spans="1:11" ht="12" customHeight="1" x14ac:dyDescent="0.2">
      <c r="A34" s="732" t="s">
        <v>2080</v>
      </c>
      <c r="B34" s="733">
        <v>43635</v>
      </c>
      <c r="C34" s="734">
        <v>1100000</v>
      </c>
      <c r="D34" s="735">
        <v>9</v>
      </c>
      <c r="E34" s="734"/>
      <c r="F34" s="734">
        <v>1100000</v>
      </c>
      <c r="G34" s="734"/>
      <c r="H34" s="734"/>
      <c r="I34" s="1756">
        <f t="shared" si="1"/>
        <v>1100000</v>
      </c>
      <c r="J34" s="734">
        <v>1100000</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4576680</v>
      </c>
      <c r="D49" s="745"/>
      <c r="E49" s="1756">
        <f t="shared" ref="E49:J49" si="2">SUM(E31:E48)</f>
        <v>2384772</v>
      </c>
      <c r="F49" s="1756">
        <f t="shared" si="2"/>
        <v>1100000</v>
      </c>
      <c r="G49" s="1756">
        <f t="shared" si="2"/>
        <v>0</v>
      </c>
      <c r="H49" s="1756">
        <f t="shared" si="2"/>
        <v>180858</v>
      </c>
      <c r="I49" s="1756">
        <f t="shared" si="2"/>
        <v>3303914</v>
      </c>
      <c r="J49" s="1756">
        <f t="shared" si="2"/>
        <v>3106639</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11" t="s">
        <v>584</v>
      </c>
      <c r="C52" s="2212"/>
      <c r="D52" s="2212"/>
      <c r="E52" s="749" t="s">
        <v>845</v>
      </c>
      <c r="F52" s="2213" t="s">
        <v>2081</v>
      </c>
      <c r="G52" s="2214"/>
      <c r="H52" s="736"/>
      <c r="I52" s="736"/>
      <c r="J52" s="746"/>
    </row>
    <row r="53" spans="1:11" ht="11.25" customHeight="1" x14ac:dyDescent="0.2">
      <c r="A53" s="750" t="s">
        <v>913</v>
      </c>
      <c r="B53" s="751" t="s">
        <v>951</v>
      </c>
      <c r="C53" s="746"/>
      <c r="D53" s="737"/>
      <c r="E53" s="749" t="s">
        <v>497</v>
      </c>
      <c r="F53" s="2215" t="s">
        <v>2079</v>
      </c>
      <c r="G53" s="2216"/>
      <c r="H53" s="736"/>
      <c r="I53" s="736"/>
      <c r="J53" s="746"/>
    </row>
    <row r="54" spans="1:11" ht="11.25" customHeight="1" x14ac:dyDescent="0.2">
      <c r="A54" s="752" t="s">
        <v>914</v>
      </c>
      <c r="B54" s="747" t="s">
        <v>952</v>
      </c>
      <c r="C54" s="746"/>
      <c r="D54" s="737"/>
      <c r="E54" s="749" t="s">
        <v>498</v>
      </c>
      <c r="F54" s="2215" t="s">
        <v>2082</v>
      </c>
      <c r="G54" s="221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15" top="0.9" bottom="0.75" header="0.17" footer="0.35"/>
  <pageSetup scale="65"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topLeftCell="A13" colorId="8" zoomScale="110" zoomScaleNormal="110" workbookViewId="0">
      <selection activeCell="A5" sqref="A5:F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856</v>
      </c>
      <c r="B1" s="2246"/>
      <c r="C1" s="2246"/>
      <c r="D1" s="2246"/>
      <c r="E1" s="2246"/>
      <c r="F1" s="2246"/>
      <c r="G1" s="2247"/>
      <c r="H1" s="1530"/>
      <c r="I1" s="760"/>
      <c r="J1" s="433"/>
    </row>
    <row r="2" spans="1:11" ht="26.25" x14ac:dyDescent="0.2">
      <c r="A2" s="2224" t="s">
        <v>1677</v>
      </c>
      <c r="B2" s="2225"/>
      <c r="C2" s="2225"/>
      <c r="D2" s="2225"/>
      <c r="E2" s="2226"/>
      <c r="F2" s="761" t="s">
        <v>904</v>
      </c>
      <c r="G2" s="762" t="s">
        <v>1674</v>
      </c>
      <c r="H2" s="762" t="s">
        <v>410</v>
      </c>
      <c r="I2" s="762" t="s">
        <v>1158</v>
      </c>
      <c r="J2" s="762" t="s">
        <v>1809</v>
      </c>
      <c r="K2" s="762" t="s">
        <v>138</v>
      </c>
    </row>
    <row r="3" spans="1:11" x14ac:dyDescent="0.2">
      <c r="A3" s="2227" t="s">
        <v>1960</v>
      </c>
      <c r="B3" s="2228"/>
      <c r="C3" s="2228"/>
      <c r="D3" s="2228"/>
      <c r="E3" s="2229"/>
      <c r="F3" s="763"/>
      <c r="G3" s="764"/>
      <c r="H3" s="764"/>
      <c r="I3" s="764"/>
      <c r="J3" s="765"/>
      <c r="K3" s="765"/>
    </row>
    <row r="4" spans="1:11" x14ac:dyDescent="0.2">
      <c r="A4" s="2230" t="s">
        <v>369</v>
      </c>
      <c r="B4" s="2231"/>
      <c r="C4" s="2231"/>
      <c r="D4" s="2231"/>
      <c r="E4" s="2212"/>
      <c r="F4" s="766"/>
      <c r="G4" s="767"/>
      <c r="H4" s="768"/>
      <c r="I4" s="767"/>
      <c r="J4" s="769"/>
      <c r="K4" s="769"/>
    </row>
    <row r="5" spans="1:11" x14ac:dyDescent="0.2">
      <c r="A5" s="2248" t="s">
        <v>1069</v>
      </c>
      <c r="B5" s="2221"/>
      <c r="C5" s="2221"/>
      <c r="D5" s="2221"/>
      <c r="E5" s="2249"/>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6467</v>
      </c>
    </row>
    <row r="10" spans="1:11" x14ac:dyDescent="0.2">
      <c r="A10" s="2248" t="s">
        <v>1810</v>
      </c>
      <c r="B10" s="2221"/>
      <c r="C10" s="2221"/>
      <c r="D10" s="2221"/>
      <c r="E10" s="2250"/>
      <c r="F10" s="783" t="s">
        <v>862</v>
      </c>
      <c r="G10" s="782"/>
      <c r="H10" s="784"/>
      <c r="I10" s="764"/>
      <c r="J10" s="765"/>
      <c r="K10" s="765"/>
    </row>
    <row r="11" spans="1:11" x14ac:dyDescent="0.2">
      <c r="A11" s="2248" t="s">
        <v>160</v>
      </c>
      <c r="B11" s="2221"/>
      <c r="C11" s="2221"/>
      <c r="D11" s="2221"/>
      <c r="E11" s="2249"/>
      <c r="F11" s="770" t="s">
        <v>852</v>
      </c>
      <c r="G11" s="771"/>
      <c r="H11" s="764"/>
      <c r="I11" s="764"/>
      <c r="J11" s="765"/>
      <c r="K11" s="773"/>
    </row>
    <row r="12" spans="1:11" ht="13.5" thickBot="1" x14ac:dyDescent="0.25">
      <c r="A12" s="2238" t="s">
        <v>905</v>
      </c>
      <c r="B12" s="2239"/>
      <c r="C12" s="2239"/>
      <c r="D12" s="2239"/>
      <c r="E12" s="2240"/>
      <c r="F12" s="1757"/>
      <c r="G12" s="1758">
        <f>SUM(G5:G11)</f>
        <v>0</v>
      </c>
      <c r="H12" s="1758">
        <f>SUM(H5:H11)</f>
        <v>0</v>
      </c>
      <c r="I12" s="1758">
        <f>SUM(I5:I11)</f>
        <v>0</v>
      </c>
      <c r="J12" s="1758">
        <f>SUM(J5:J11)</f>
        <v>0</v>
      </c>
      <c r="K12" s="1758">
        <f>SUM(K5:K11)</f>
        <v>6467</v>
      </c>
    </row>
    <row r="13" spans="1:11" ht="13.5" thickTop="1" x14ac:dyDescent="0.2">
      <c r="A13" s="2232" t="s">
        <v>370</v>
      </c>
      <c r="B13" s="2233"/>
      <c r="C13" s="2233"/>
      <c r="D13" s="2233"/>
      <c r="E13" s="2234"/>
      <c r="F13" s="785"/>
      <c r="G13" s="786"/>
      <c r="H13" s="787"/>
      <c r="I13" s="788"/>
      <c r="J13" s="788"/>
      <c r="K13" s="788"/>
    </row>
    <row r="14" spans="1:11" x14ac:dyDescent="0.2">
      <c r="A14" s="2254" t="s">
        <v>456</v>
      </c>
      <c r="B14" s="2254"/>
      <c r="C14" s="2254"/>
      <c r="D14" s="2254"/>
      <c r="E14" s="2255"/>
      <c r="F14" s="789" t="s">
        <v>854</v>
      </c>
      <c r="G14" s="782"/>
      <c r="H14" s="764"/>
      <c r="I14" s="771"/>
      <c r="J14" s="773"/>
      <c r="K14" s="765">
        <v>6467</v>
      </c>
    </row>
    <row r="15" spans="1:11" x14ac:dyDescent="0.2">
      <c r="A15" s="2221" t="s">
        <v>4</v>
      </c>
      <c r="B15" s="2221"/>
      <c r="C15" s="2221"/>
      <c r="D15" s="2221"/>
      <c r="E15" s="2249"/>
      <c r="F15" s="789" t="s">
        <v>855</v>
      </c>
      <c r="G15" s="771"/>
      <c r="H15" s="764"/>
      <c r="I15" s="764"/>
      <c r="J15" s="765"/>
      <c r="K15" s="765"/>
    </row>
    <row r="16" spans="1:11" x14ac:dyDescent="0.2">
      <c r="A16" s="2221" t="s">
        <v>298</v>
      </c>
      <c r="B16" s="2221"/>
      <c r="C16" s="2221"/>
      <c r="D16" s="2221"/>
      <c r="E16" s="2249"/>
      <c r="F16" s="789" t="s">
        <v>923</v>
      </c>
      <c r="G16" s="772"/>
      <c r="H16" s="767"/>
      <c r="I16" s="767"/>
      <c r="J16" s="769"/>
      <c r="K16" s="769"/>
    </row>
    <row r="17" spans="1:11" x14ac:dyDescent="0.2">
      <c r="A17" s="2243" t="s">
        <v>935</v>
      </c>
      <c r="B17" s="2243"/>
      <c r="C17" s="2243"/>
      <c r="D17" s="2243"/>
      <c r="E17" s="2244"/>
      <c r="F17" s="790"/>
      <c r="G17" s="791"/>
      <c r="H17" s="792"/>
      <c r="I17" s="792"/>
      <c r="J17" s="793"/>
      <c r="K17" s="794"/>
    </row>
    <row r="18" spans="1:11" x14ac:dyDescent="0.2">
      <c r="A18" s="2235" t="s">
        <v>368</v>
      </c>
      <c r="B18" s="2236"/>
      <c r="C18" s="2236"/>
      <c r="D18" s="2236"/>
      <c r="E18" s="2237"/>
      <c r="F18" s="789" t="s">
        <v>932</v>
      </c>
      <c r="G18" s="782"/>
      <c r="H18" s="782"/>
      <c r="I18" s="782"/>
      <c r="J18" s="765"/>
      <c r="K18" s="795"/>
    </row>
    <row r="19" spans="1:11" ht="21.75" customHeight="1" x14ac:dyDescent="0.2">
      <c r="A19" s="2256" t="s">
        <v>1806</v>
      </c>
      <c r="B19" s="2256"/>
      <c r="C19" s="2256"/>
      <c r="D19" s="2256"/>
      <c r="E19" s="2257"/>
      <c r="F19" s="789" t="s">
        <v>933</v>
      </c>
      <c r="G19" s="782"/>
      <c r="H19" s="782"/>
      <c r="I19" s="782"/>
      <c r="J19" s="765"/>
      <c r="K19" s="795"/>
    </row>
    <row r="20" spans="1:11" x14ac:dyDescent="0.2">
      <c r="A20" s="2235" t="s">
        <v>1811</v>
      </c>
      <c r="B20" s="2236"/>
      <c r="C20" s="2236"/>
      <c r="D20" s="2236"/>
      <c r="E20" s="2237"/>
      <c r="F20" s="789" t="s">
        <v>934</v>
      </c>
      <c r="G20" s="782"/>
      <c r="H20" s="782"/>
      <c r="I20" s="782"/>
      <c r="J20" s="765"/>
      <c r="K20" s="795"/>
    </row>
    <row r="21" spans="1:11" ht="13.5" thickBot="1" x14ac:dyDescent="0.25">
      <c r="A21" s="2241" t="s">
        <v>638</v>
      </c>
      <c r="B21" s="2241"/>
      <c r="C21" s="2241"/>
      <c r="D21" s="2241"/>
      <c r="E21" s="2241"/>
      <c r="F21" s="1759"/>
      <c r="G21" s="792"/>
      <c r="H21" s="796"/>
      <c r="I21" s="796"/>
      <c r="J21" s="1760">
        <f>SUM(J18:J20)</f>
        <v>0</v>
      </c>
      <c r="K21" s="793"/>
    </row>
    <row r="22" spans="1:11" ht="13.5" thickTop="1" x14ac:dyDescent="0.2">
      <c r="A22" s="2221" t="s">
        <v>1812</v>
      </c>
      <c r="B22" s="2221"/>
      <c r="C22" s="2221"/>
      <c r="D22" s="2221"/>
      <c r="E22" s="2249"/>
      <c r="F22" s="789" t="s">
        <v>862</v>
      </c>
      <c r="G22" s="782"/>
      <c r="H22" s="764"/>
      <c r="I22" s="764"/>
      <c r="J22" s="797"/>
      <c r="K22" s="765"/>
    </row>
    <row r="23" spans="1:11" ht="13.5" thickBot="1" x14ac:dyDescent="0.25">
      <c r="A23" s="2242" t="s">
        <v>906</v>
      </c>
      <c r="B23" s="2241"/>
      <c r="C23" s="2241"/>
      <c r="D23" s="2241"/>
      <c r="E23" s="2241"/>
      <c r="F23" s="1761"/>
      <c r="G23" s="1758">
        <f>SUM(G14:G16,G21,G22)</f>
        <v>0</v>
      </c>
      <c r="H23" s="1758">
        <f>SUM(H14:H16,H21,H22)</f>
        <v>0</v>
      </c>
      <c r="I23" s="1758">
        <f>SUM(I14:I16,I21,I22)</f>
        <v>0</v>
      </c>
      <c r="J23" s="1758">
        <f>SUM(J14:J16,J21,J22)</f>
        <v>0</v>
      </c>
      <c r="K23" s="1758">
        <f>SUM(K14:K16,K21,K22)</f>
        <v>6467</v>
      </c>
    </row>
    <row r="24" spans="1:11" ht="14.25" thickTop="1" thickBot="1" x14ac:dyDescent="0.25">
      <c r="A24" s="2242" t="s">
        <v>1961</v>
      </c>
      <c r="B24" s="2241"/>
      <c r="C24" s="2241"/>
      <c r="D24" s="2241"/>
      <c r="E24" s="224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1"/>
      <c r="I31" s="2252"/>
      <c r="J31" s="2252"/>
      <c r="K31" s="2252"/>
    </row>
    <row r="32" spans="1:11" x14ac:dyDescent="0.2">
      <c r="A32" s="809"/>
      <c r="B32" s="237"/>
      <c r="C32" s="237"/>
      <c r="D32" s="237"/>
      <c r="E32" s="805"/>
      <c r="F32" s="811" t="s">
        <v>540</v>
      </c>
      <c r="G32" s="764"/>
      <c r="H32" s="2253"/>
      <c r="I32" s="2252"/>
      <c r="J32" s="2252"/>
      <c r="K32" s="2252"/>
    </row>
    <row r="33" spans="1:11" ht="1.5" customHeight="1" x14ac:dyDescent="0.2">
      <c r="A33" s="812" t="s">
        <v>1169</v>
      </c>
      <c r="B33" s="364"/>
      <c r="C33" s="364"/>
      <c r="D33" s="364"/>
      <c r="E33" s="364"/>
      <c r="F33" s="364"/>
      <c r="G33" s="813"/>
      <c r="H33" s="2253"/>
      <c r="I33" s="2252"/>
      <c r="J33" s="2252"/>
      <c r="K33" s="2252"/>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22"/>
      <c r="C41" s="2222"/>
      <c r="D41" s="2222"/>
      <c r="E41" s="2222"/>
      <c r="F41" s="222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headings="1"/>
  <pageMargins left="0.35" right="0.17" top="0.83" bottom="0.4" header="0.46" footer="0.35"/>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A5" sqref="A5:F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1905</v>
      </c>
      <c r="B1" s="2261"/>
      <c r="C1" s="2262"/>
      <c r="D1" s="826"/>
      <c r="E1" s="827"/>
      <c r="F1" s="827"/>
      <c r="G1" s="828"/>
      <c r="H1" s="829"/>
      <c r="I1" s="830"/>
      <c r="J1" s="2258"/>
      <c r="K1" s="2259"/>
      <c r="L1" s="2259"/>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57109</v>
      </c>
      <c r="D5" s="841"/>
      <c r="E5" s="841"/>
      <c r="F5" s="1760">
        <f>(C5+D5)-E5</f>
        <v>57109</v>
      </c>
      <c r="G5" s="837"/>
      <c r="H5" s="842"/>
      <c r="I5" s="842"/>
      <c r="J5" s="842"/>
      <c r="K5" s="793"/>
      <c r="L5" s="1769">
        <f>F5-K5</f>
        <v>57109</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12747021</v>
      </c>
      <c r="D8" s="844"/>
      <c r="E8" s="844"/>
      <c r="F8" s="1760">
        <f>(C8+D8)-E8</f>
        <v>12747021</v>
      </c>
      <c r="G8" s="843">
        <v>50</v>
      </c>
      <c r="H8" s="765">
        <v>2933714</v>
      </c>
      <c r="I8" s="765">
        <v>255523</v>
      </c>
      <c r="J8" s="765"/>
      <c r="K8" s="1769">
        <f>(H8+I8)-J8</f>
        <v>3189237</v>
      </c>
      <c r="L8" s="1769">
        <f>F8-K8</f>
        <v>9557784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1179666</v>
      </c>
      <c r="D10" s="846">
        <v>212823</v>
      </c>
      <c r="E10" s="846"/>
      <c r="F10" s="1764">
        <f>(C10+D10)-E10</f>
        <v>1392489</v>
      </c>
      <c r="G10" s="843">
        <v>20</v>
      </c>
      <c r="H10" s="847">
        <v>430601</v>
      </c>
      <c r="I10" s="847">
        <v>68214</v>
      </c>
      <c r="J10" s="847"/>
      <c r="K10" s="1769">
        <f>(H10+I10)-J10</f>
        <v>498815</v>
      </c>
      <c r="L10" s="1769">
        <f>F10-K10</f>
        <v>893674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3032486</v>
      </c>
      <c r="D12" s="844">
        <v>30602</v>
      </c>
      <c r="E12" s="844"/>
      <c r="F12" s="1760">
        <f>(C12+D12)-E12</f>
        <v>3063088</v>
      </c>
      <c r="G12" s="843">
        <v>10</v>
      </c>
      <c r="H12" s="765">
        <v>2803935</v>
      </c>
      <c r="I12" s="765">
        <v>41549</v>
      </c>
      <c r="J12" s="765"/>
      <c r="K12" s="1769">
        <f>(H12+I12)-J12</f>
        <v>2845484</v>
      </c>
      <c r="L12" s="1769">
        <f>F12-K12</f>
        <v>217604</v>
      </c>
    </row>
    <row r="13" spans="1:14" ht="14.25" thickTop="1" thickBot="1" x14ac:dyDescent="0.25">
      <c r="A13" s="848" t="s">
        <v>1122</v>
      </c>
      <c r="B13" s="840">
        <v>252</v>
      </c>
      <c r="C13" s="844">
        <v>741489</v>
      </c>
      <c r="D13" s="844">
        <v>45472</v>
      </c>
      <c r="E13" s="844"/>
      <c r="F13" s="1760">
        <f>(C13+D13)-E13</f>
        <v>786961</v>
      </c>
      <c r="G13" s="843">
        <v>5</v>
      </c>
      <c r="H13" s="765">
        <v>618275</v>
      </c>
      <c r="I13" s="765">
        <v>48927</v>
      </c>
      <c r="J13" s="765"/>
      <c r="K13" s="1769">
        <f>(H13+I13)-J13</f>
        <v>667202</v>
      </c>
      <c r="L13" s="1769">
        <f>F13-K13</f>
        <v>119759</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187766</v>
      </c>
      <c r="E15" s="844"/>
      <c r="F15" s="1760">
        <f>(C15+D15)-E15</f>
        <v>187766</v>
      </c>
      <c r="G15" s="849" t="s">
        <v>862</v>
      </c>
      <c r="H15" s="781"/>
      <c r="I15" s="781"/>
      <c r="J15" s="781"/>
      <c r="K15" s="781"/>
      <c r="L15" s="1769">
        <f>F15-K15</f>
        <v>187766</v>
      </c>
    </row>
    <row r="16" spans="1:14" ht="15" customHeight="1" thickTop="1" thickBot="1" x14ac:dyDescent="0.25">
      <c r="A16" s="1765" t="s">
        <v>643</v>
      </c>
      <c r="B16" s="1766">
        <v>200</v>
      </c>
      <c r="C16" s="1760">
        <f>SUM(C3,C5:C6,C8:C10,C12:C15)</f>
        <v>17757771</v>
      </c>
      <c r="D16" s="1760">
        <f>SUM(D3,D5:D6,D8:D10,D12:D15)</f>
        <v>476663</v>
      </c>
      <c r="E16" s="1760">
        <f>SUM(E3,E5:E6,E8:E10,E12:E15)</f>
        <v>0</v>
      </c>
      <c r="F16" s="1760">
        <f>SUM(F3,F5:F6,F8:F10,F12:F15)</f>
        <v>18234434</v>
      </c>
      <c r="G16" s="843"/>
      <c r="H16" s="1760">
        <f>SUM(H3,H6,H8:H10,H12:H14,)</f>
        <v>6786525</v>
      </c>
      <c r="I16" s="1760">
        <f>SUM(I3,I6,I8:I10,I12:I14,)</f>
        <v>414213</v>
      </c>
      <c r="J16" s="1760">
        <f>SUM(J3,J6,J8:J10,J12:J14,)</f>
        <v>0</v>
      </c>
      <c r="K16" s="1760">
        <f>(H16+I16)-J16</f>
        <v>7200738</v>
      </c>
      <c r="L16" s="1760">
        <f>F16-K16</f>
        <v>11033696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414213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orizontalCentered="1" verticalCentered="1" headings="1"/>
  <pageMargins left="0.25" right="0.17" top="1.1000000000000001" bottom="1.1000000000000001" header="0.39"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66" activePane="bottomLeft" state="frozen"/>
      <selection activeCell="A47" sqref="A47"/>
      <selection pane="bottomLeft" activeCell="K189" sqref="K18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1971</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5137063</v>
      </c>
      <c r="G8" s="865"/>
    </row>
    <row r="9" spans="1:7" x14ac:dyDescent="0.2">
      <c r="A9" s="869" t="s">
        <v>460</v>
      </c>
      <c r="B9" s="870" t="s">
        <v>1873</v>
      </c>
      <c r="C9" s="871"/>
      <c r="D9" s="869" t="s">
        <v>501</v>
      </c>
      <c r="E9" s="868"/>
      <c r="F9" s="1909">
        <f>'Expenditures 15-22'!K151</f>
        <v>339605</v>
      </c>
      <c r="G9" s="872"/>
    </row>
    <row r="10" spans="1:7" x14ac:dyDescent="0.2">
      <c r="A10" s="869" t="s">
        <v>499</v>
      </c>
      <c r="B10" s="870" t="s">
        <v>1874</v>
      </c>
      <c r="C10" s="871"/>
      <c r="D10" s="869" t="s">
        <v>501</v>
      </c>
      <c r="E10" s="868"/>
      <c r="F10" s="1909">
        <f>'Expenditures 15-22'!K174</f>
        <v>372632</v>
      </c>
      <c r="G10" s="872"/>
    </row>
    <row r="11" spans="1:7" x14ac:dyDescent="0.2">
      <c r="A11" s="869" t="s">
        <v>461</v>
      </c>
      <c r="B11" s="870" t="s">
        <v>1875</v>
      </c>
      <c r="C11" s="871"/>
      <c r="D11" s="869" t="s">
        <v>501</v>
      </c>
      <c r="E11" s="868"/>
      <c r="F11" s="1909">
        <f>'Expenditures 15-22'!K210</f>
        <v>519080</v>
      </c>
      <c r="G11" s="872"/>
    </row>
    <row r="12" spans="1:7" x14ac:dyDescent="0.2">
      <c r="A12" s="869" t="s">
        <v>462</v>
      </c>
      <c r="B12" s="870" t="s">
        <v>1876</v>
      </c>
      <c r="C12" s="871"/>
      <c r="D12" s="869" t="s">
        <v>501</v>
      </c>
      <c r="E12" s="868"/>
      <c r="F12" s="1909">
        <f>'Expenditures 15-22'!K295</f>
        <v>152533</v>
      </c>
      <c r="G12" s="872"/>
    </row>
    <row r="13" spans="1:7" x14ac:dyDescent="0.2">
      <c r="A13" s="869" t="s">
        <v>106</v>
      </c>
      <c r="B13" s="870" t="s">
        <v>1877</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6520913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4">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1998</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217535</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71152</v>
      </c>
      <c r="G52" s="865"/>
    </row>
    <row r="53" spans="1:7" x14ac:dyDescent="0.2">
      <c r="A53" s="869" t="s">
        <v>459</v>
      </c>
      <c r="B53" s="869" t="s">
        <v>1475</v>
      </c>
      <c r="C53" s="889">
        <f>'Expenditures 15-22'!B102</f>
        <v>4000</v>
      </c>
      <c r="D53" s="888" t="str">
        <f>'Expenditures 15-22'!A102</f>
        <v>Total Payments to Other Govt Units</v>
      </c>
      <c r="E53" s="868"/>
      <c r="F53" s="1913">
        <f>'Expenditures 15-22'!K102</f>
        <v>224614</v>
      </c>
      <c r="G53" s="865"/>
    </row>
    <row r="54" spans="1:7" x14ac:dyDescent="0.2">
      <c r="A54" s="869" t="s">
        <v>459</v>
      </c>
      <c r="B54" s="869" t="s">
        <v>1476</v>
      </c>
      <c r="C54" s="889" t="s">
        <v>982</v>
      </c>
      <c r="D54" s="885" t="s">
        <v>1095</v>
      </c>
      <c r="E54" s="868"/>
      <c r="F54" s="1913">
        <f>'Expenditures 15-22'!G114</f>
        <v>51346</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95</v>
      </c>
      <c r="G57" s="865"/>
    </row>
    <row r="58" spans="1:7" x14ac:dyDescent="0.2">
      <c r="A58" s="869" t="s">
        <v>460</v>
      </c>
      <c r="B58" s="869" t="s">
        <v>1879</v>
      </c>
      <c r="C58" s="886" t="s">
        <v>982</v>
      </c>
      <c r="D58" s="885" t="s">
        <v>1095</v>
      </c>
      <c r="E58" s="868"/>
      <c r="F58" s="1915">
        <f>'Expenditures 15-22'!G151</f>
        <v>19478</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180858</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0</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0</v>
      </c>
      <c r="G71" s="865"/>
    </row>
    <row r="72" spans="1:8" x14ac:dyDescent="0.2">
      <c r="A72" s="869" t="s">
        <v>462</v>
      </c>
      <c r="B72" s="869" t="s">
        <v>1892</v>
      </c>
      <c r="C72" s="886">
        <f>'Expenditures 15-22'!B280</f>
        <v>3000</v>
      </c>
      <c r="D72" s="876" t="s">
        <v>449</v>
      </c>
      <c r="E72" s="868"/>
      <c r="F72" s="1913">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765078</v>
      </c>
      <c r="G76" s="865"/>
    </row>
    <row r="77" spans="1:8" s="893" customFormat="1" ht="12" customHeight="1" thickTop="1" thickBot="1" x14ac:dyDescent="0.25">
      <c r="A77" s="1779"/>
      <c r="B77" s="1776"/>
      <c r="C77" s="1772"/>
      <c r="D77" s="1777" t="s">
        <v>1896</v>
      </c>
      <c r="E77" s="1774"/>
      <c r="F77" s="1780">
        <f>(F14-F76)</f>
        <v>5755835</v>
      </c>
      <c r="G77" s="869"/>
    </row>
    <row r="78" spans="1:8" s="893" customFormat="1" ht="12" customHeight="1" thickTop="1" x14ac:dyDescent="0.2">
      <c r="A78" s="1781"/>
      <c r="B78" s="1776"/>
      <c r="C78" s="1772"/>
      <c r="D78" s="1777" t="s">
        <v>2058</v>
      </c>
      <c r="E78" s="1774"/>
      <c r="F78" s="898">
        <v>398.8</v>
      </c>
      <c r="G78" s="899"/>
      <c r="H78" s="869"/>
    </row>
    <row r="79" spans="1:8" s="893" customFormat="1" ht="12" customHeight="1" thickBot="1" x14ac:dyDescent="0.25">
      <c r="A79" s="1782"/>
      <c r="B79" s="1776"/>
      <c r="C79" s="1772"/>
      <c r="D79" s="1777" t="s">
        <v>1897</v>
      </c>
      <c r="E79" s="1774" t="s">
        <v>958</v>
      </c>
      <c r="F79" s="1783">
        <f>IF(F78&gt;0,F77/F78," Complete Line 78")</f>
        <v>14432.886158475425</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16489</v>
      </c>
      <c r="G94" s="912"/>
    </row>
    <row r="95" spans="1:7" x14ac:dyDescent="0.2">
      <c r="A95" s="908" t="s">
        <v>140</v>
      </c>
      <c r="B95" s="908" t="s">
        <v>175</v>
      </c>
      <c r="C95" s="910">
        <v>1700</v>
      </c>
      <c r="D95" s="918" t="str">
        <f>'Revenues 9-14'!A82</f>
        <v>Total District/School Activity Income</v>
      </c>
      <c r="E95" s="906"/>
      <c r="F95" s="1789">
        <f>SUM('Revenues 9-14'!C82,'Revenues 9-14'!D82)</f>
        <v>7287</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1999</v>
      </c>
      <c r="C105" s="913">
        <v>3100</v>
      </c>
      <c r="D105" s="919" t="str">
        <f>'Revenues 9-14'!A132</f>
        <v>Total Special Education</v>
      </c>
      <c r="E105" s="906"/>
      <c r="F105" s="1789">
        <f>SUM('Revenues 9-14'!C132:D132,'Revenues 9-14'!F132)</f>
        <v>6143</v>
      </c>
      <c r="G105" s="912"/>
    </row>
    <row r="106" spans="1:7" x14ac:dyDescent="0.2">
      <c r="A106" s="908" t="s">
        <v>673</v>
      </c>
      <c r="B106" s="908" t="s">
        <v>2000</v>
      </c>
      <c r="C106" s="920">
        <v>3200</v>
      </c>
      <c r="D106" s="911" t="str">
        <f>'Revenues 9-14'!A141</f>
        <v>Total Career and Technical Education</v>
      </c>
      <c r="E106" s="906"/>
      <c r="F106" s="1789">
        <f>SUM('Revenues 9-14'!C141,'Revenues 9-14'!D141,'Revenues 9-14'!G141)</f>
        <v>2457</v>
      </c>
      <c r="G106" s="912"/>
    </row>
    <row r="107" spans="1:7" x14ac:dyDescent="0.2">
      <c r="A107" s="921" t="s">
        <v>664</v>
      </c>
      <c r="B107" s="908" t="s">
        <v>2001</v>
      </c>
      <c r="C107" s="920">
        <v>3300</v>
      </c>
      <c r="D107" s="911" t="str">
        <f>'Revenues 9-14'!A145</f>
        <v>Total Bilingual Ed</v>
      </c>
      <c r="E107" s="906"/>
      <c r="F107" s="1789">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9">
        <f>'Revenues 9-14'!C146</f>
        <v>6163</v>
      </c>
      <c r="G108" s="912"/>
    </row>
    <row r="109" spans="1:7" x14ac:dyDescent="0.2">
      <c r="A109" s="908" t="s">
        <v>673</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6467</v>
      </c>
      <c r="G110" s="912"/>
    </row>
    <row r="111" spans="1:7" x14ac:dyDescent="0.2">
      <c r="A111" s="908" t="s">
        <v>668</v>
      </c>
      <c r="B111" s="908" t="s">
        <v>2005</v>
      </c>
      <c r="C111" s="922">
        <v>3500</v>
      </c>
      <c r="D111" s="911" t="str">
        <f>'Revenues 9-14'!A155</f>
        <v>Total Transportation</v>
      </c>
      <c r="E111" s="906"/>
      <c r="F111" s="1789">
        <f>SUM('Revenues 9-14'!C155,'Revenues 9-14'!D155,'Revenues 9-14'!F155,'Revenues 9-14'!G155)</f>
        <v>356052</v>
      </c>
      <c r="G111" s="912"/>
    </row>
    <row r="112" spans="1:7" x14ac:dyDescent="0.2">
      <c r="A112" s="908" t="s">
        <v>459</v>
      </c>
      <c r="B112" s="908" t="s">
        <v>2006</v>
      </c>
      <c r="C112" s="920">
        <f>'Revenues 9-14'!B156</f>
        <v>3610</v>
      </c>
      <c r="D112" s="911" t="str">
        <f>'Revenues 9-14'!A156</f>
        <v>Learning Improvement - Change Grants</v>
      </c>
      <c r="E112" s="906"/>
      <c r="F112" s="1789">
        <f>'Revenues 9-14'!C156</f>
        <v>0</v>
      </c>
      <c r="G112" s="912"/>
    </row>
    <row r="113" spans="1:7" x14ac:dyDescent="0.2">
      <c r="A113" s="908" t="s">
        <v>668</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7">
        <f>SUM('Revenues 9-14'!C163:G163)</f>
        <v>0</v>
      </c>
      <c r="G118" s="912"/>
    </row>
    <row r="119" spans="1:7" x14ac:dyDescent="0.2">
      <c r="A119" s="923" t="s">
        <v>504</v>
      </c>
      <c r="B119" s="923" t="s">
        <v>2013</v>
      </c>
      <c r="C119" s="924">
        <f>'Revenues 9-14'!B164</f>
        <v>3815</v>
      </c>
      <c r="D119" s="925" t="str">
        <f>'Revenues 9-14'!A164</f>
        <v>State Charter Schools</v>
      </c>
      <c r="E119" s="906"/>
      <c r="F119" s="1907">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9">
        <f>'Revenues 9-14'!D167</f>
        <v>0</v>
      </c>
      <c r="G120" s="930"/>
    </row>
    <row r="121" spans="1:7" x14ac:dyDescent="0.2">
      <c r="A121" s="927" t="s">
        <v>500</v>
      </c>
      <c r="B121" s="927" t="s">
        <v>2015</v>
      </c>
      <c r="C121" s="928">
        <f>'Revenues 9-14'!B168</f>
        <v>3999</v>
      </c>
      <c r="D121" s="929" t="s">
        <v>543</v>
      </c>
      <c r="E121" s="931"/>
      <c r="F121" s="1789">
        <f>SUM('Revenues 9-14'!C168:G168,'Revenues 9-14'!J168)</f>
        <v>66823</v>
      </c>
      <c r="G121" s="930"/>
    </row>
    <row r="122" spans="1:7" x14ac:dyDescent="0.2">
      <c r="A122" s="927" t="s">
        <v>459</v>
      </c>
      <c r="B122" s="927" t="s">
        <v>2016</v>
      </c>
      <c r="C122" s="932">
        <f>'Revenues 9-14'!B177</f>
        <v>4045</v>
      </c>
      <c r="D122" s="929" t="str">
        <f>'Revenues 9-14'!A177 &amp; " (Subtract)"</f>
        <v>Head Start (Subtract)</v>
      </c>
      <c r="E122" s="906"/>
      <c r="F122" s="1789">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2018</v>
      </c>
      <c r="C124" s="932">
        <v>4100</v>
      </c>
      <c r="D124" s="933" t="str">
        <f>'Revenues 9-14'!A188</f>
        <v>Total Title V</v>
      </c>
      <c r="E124" s="906"/>
      <c r="F124" s="1789">
        <f>SUM('Revenues 9-14'!C188,'Revenues 9-14'!D188,'Revenues 9-14'!F188,'Revenues 9-14'!G188)</f>
        <v>5822</v>
      </c>
      <c r="G124" s="930"/>
    </row>
    <row r="125" spans="1:7" x14ac:dyDescent="0.2">
      <c r="A125" s="927" t="s">
        <v>664</v>
      </c>
      <c r="B125" s="927" t="s">
        <v>2019</v>
      </c>
      <c r="C125" s="932">
        <v>4200</v>
      </c>
      <c r="D125" s="929" t="str">
        <f>'Revenues 9-14'!A198</f>
        <v>Total Food Service</v>
      </c>
      <c r="E125" s="906"/>
      <c r="F125" s="1789">
        <f>SUM('Revenues 9-14'!C198,'Revenues 9-14'!G198)</f>
        <v>349033</v>
      </c>
      <c r="G125" s="930"/>
    </row>
    <row r="126" spans="1:7" x14ac:dyDescent="0.2">
      <c r="A126" s="927" t="s">
        <v>668</v>
      </c>
      <c r="B126" s="927" t="s">
        <v>2020</v>
      </c>
      <c r="C126" s="932">
        <v>4300</v>
      </c>
      <c r="D126" s="933" t="str">
        <f>'Revenues 9-14'!A204</f>
        <v>Total Title I</v>
      </c>
      <c r="E126" s="906"/>
      <c r="F126" s="1789">
        <f>SUM('Revenues 9-14'!C204,'Revenues 9-14'!D204,'Revenues 9-14'!F204,'Revenues 9-14'!G204)</f>
        <v>1377496</v>
      </c>
      <c r="G126" s="930"/>
    </row>
    <row r="127" spans="1:7" x14ac:dyDescent="0.2">
      <c r="A127" s="927" t="s">
        <v>668</v>
      </c>
      <c r="B127" s="927" t="s">
        <v>2021</v>
      </c>
      <c r="C127" s="932">
        <v>4400</v>
      </c>
      <c r="D127" s="933" t="str">
        <f>'Revenues 9-14'!A209</f>
        <v>Total Title IV</v>
      </c>
      <c r="E127" s="906"/>
      <c r="F127" s="1789">
        <f>SUM('Revenues 9-14'!C209,'Revenues 9-14'!D209,'Revenues 9-14'!F209,'Revenues 9-14'!G209)</f>
        <v>359749</v>
      </c>
      <c r="G127" s="930"/>
    </row>
    <row r="128" spans="1:7" x14ac:dyDescent="0.2">
      <c r="A128" s="927" t="s">
        <v>668</v>
      </c>
      <c r="B128" s="927" t="s">
        <v>2022</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2023</v>
      </c>
      <c r="C129" s="932">
        <f>'Revenues 9-14'!B214</f>
        <v>4625</v>
      </c>
      <c r="D129" s="933" t="str">
        <f>'Revenues 9-14'!A214</f>
        <v>Fed - Spec Education - IDEA - Room &amp; Board</v>
      </c>
      <c r="E129" s="906"/>
      <c r="F129" s="1789">
        <f>SUM('Revenues 9-14'!C214,'Revenues 9-14'!D214,'Revenues 9-14'!F214,'Revenues 9-14'!G214)</f>
        <v>1660</v>
      </c>
      <c r="G129" s="930"/>
    </row>
    <row r="130" spans="1:7" x14ac:dyDescent="0.2">
      <c r="A130" s="927" t="s">
        <v>668</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2025</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2040</v>
      </c>
      <c r="C157" s="940" t="s">
        <v>841</v>
      </c>
      <c r="D157" s="941" t="s">
        <v>777</v>
      </c>
      <c r="E157" s="942"/>
      <c r="F157" s="1789">
        <f>SUM(F133:F156)</f>
        <v>0</v>
      </c>
      <c r="G157" s="905"/>
    </row>
    <row r="158" spans="1:7" s="867" customFormat="1" x14ac:dyDescent="0.2">
      <c r="A158" s="938" t="s">
        <v>459</v>
      </c>
      <c r="B158" s="939" t="s">
        <v>2041</v>
      </c>
      <c r="C158" s="940" t="s">
        <v>1427</v>
      </c>
      <c r="D158" s="941" t="s">
        <v>1428</v>
      </c>
      <c r="E158" s="942"/>
      <c r="F158" s="1789">
        <f>SUM('Revenues 9-14'!C253)</f>
        <v>0</v>
      </c>
      <c r="G158" s="905"/>
    </row>
    <row r="159" spans="1:7" s="867" customFormat="1" x14ac:dyDescent="0.2">
      <c r="A159" s="938" t="s">
        <v>500</v>
      </c>
      <c r="B159" s="939" t="s">
        <v>2042</v>
      </c>
      <c r="C159" s="940" t="s">
        <v>1466</v>
      </c>
      <c r="D159" s="941" t="s">
        <v>1467</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7">
        <f>SUM('Revenues 9-14'!C259,'Revenues 9-14'!D259,'Revenues 9-14'!F259,'Revenues 9-14'!G259)</f>
        <v>35123</v>
      </c>
      <c r="G164" s="930"/>
    </row>
    <row r="165" spans="1:7" x14ac:dyDescent="0.2">
      <c r="A165" s="927" t="s">
        <v>668</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2050</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v>171593</v>
      </c>
      <c r="G171" s="927"/>
    </row>
    <row r="172" spans="1:7" x14ac:dyDescent="0.2">
      <c r="A172" s="1918" t="s">
        <v>664</v>
      </c>
      <c r="B172" s="1919" t="s">
        <v>1916</v>
      </c>
      <c r="C172" s="1920">
        <v>3300</v>
      </c>
      <c r="D172" s="1921" t="s">
        <v>1919</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958</v>
      </c>
      <c r="F174" s="1788">
        <f>SUM(F84:F132,F157:F172)</f>
        <v>2768357</v>
      </c>
    </row>
    <row r="175" spans="1:7" ht="12" customHeight="1" x14ac:dyDescent="0.2">
      <c r="A175" s="1770"/>
      <c r="B175" s="1784"/>
      <c r="C175" s="1785"/>
      <c r="D175" s="1786" t="s">
        <v>2053</v>
      </c>
      <c r="E175" s="1787"/>
      <c r="F175" s="1789">
        <f>'PCTC-OEPP 27-28'!F77-F174</f>
        <v>2987478</v>
      </c>
    </row>
    <row r="176" spans="1:7" ht="12" customHeight="1" x14ac:dyDescent="0.2">
      <c r="A176" s="1770"/>
      <c r="B176" s="1784"/>
      <c r="C176" s="1785"/>
      <c r="D176" s="1786" t="s">
        <v>1814</v>
      </c>
      <c r="E176" s="1787"/>
      <c r="F176" s="1789">
        <f>'Cap Outlay Deprec 26'!I18</f>
        <v>414213</v>
      </c>
    </row>
    <row r="177" spans="1:7" ht="12" customHeight="1" x14ac:dyDescent="0.2">
      <c r="A177" s="1770"/>
      <c r="B177" s="1784"/>
      <c r="C177" s="1785"/>
      <c r="D177" s="1786" t="s">
        <v>2054</v>
      </c>
      <c r="E177" s="1787"/>
      <c r="F177" s="1789">
        <f>F175+F176</f>
        <v>3401691</v>
      </c>
    </row>
    <row r="178" spans="1:7" ht="12" customHeight="1" x14ac:dyDescent="0.2">
      <c r="A178" s="1770"/>
      <c r="B178" s="1790"/>
      <c r="C178" s="1785"/>
      <c r="D178" s="1786" t="str">
        <f>D78</f>
        <v>9 Month ADA from District Average Daily Attendance/Prior General State Aid Inquiry 2018-2019</v>
      </c>
      <c r="E178" s="1787"/>
      <c r="F178" s="1791">
        <f>'PCTC-OEPP 27-28'!F78</f>
        <v>398.8</v>
      </c>
      <c r="G178" s="930"/>
    </row>
    <row r="179" spans="1:7" ht="12" customHeight="1" thickBot="1" x14ac:dyDescent="0.25">
      <c r="A179" s="1770"/>
      <c r="B179" s="1790"/>
      <c r="C179" s="1785"/>
      <c r="D179" s="1786" t="s">
        <v>2055</v>
      </c>
      <c r="E179" s="1787" t="s">
        <v>1545</v>
      </c>
      <c r="F179" s="1792">
        <f>F177/F178</f>
        <v>8529.8169508525571</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orizontalCentered="1" verticalCentered="1" headings="1"/>
  <pageMargins left="0.25" right="0.25" top="0.45" bottom="0.75" header="0.19" footer="0.65"/>
  <pageSetup scale="7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zoomScaleNormal="100" workbookViewId="0">
      <selection activeCell="A23" sqref="A2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7" t="s">
        <v>1815</v>
      </c>
      <c r="B4" s="2278"/>
      <c r="C4" s="2278"/>
      <c r="D4" s="2278"/>
      <c r="E4" s="2278"/>
      <c r="F4" s="2278"/>
      <c r="G4" s="2279"/>
    </row>
    <row r="5" spans="1:7" x14ac:dyDescent="0.25">
      <c r="A5" s="2280"/>
      <c r="B5" s="2281"/>
      <c r="C5" s="2281"/>
      <c r="D5" s="2281"/>
      <c r="E5" s="2281"/>
      <c r="F5" s="2281"/>
      <c r="G5" s="2282"/>
    </row>
    <row r="6" spans="1:7" ht="18.75" x14ac:dyDescent="0.25">
      <c r="A6" s="1534" t="s">
        <v>1816</v>
      </c>
      <c r="B6" s="1535"/>
      <c r="C6" s="1535"/>
      <c r="D6" s="1535"/>
      <c r="E6" s="1535"/>
      <c r="F6" s="1535"/>
      <c r="G6" s="1536"/>
    </row>
    <row r="7" spans="1:7" ht="30.75" customHeight="1" x14ac:dyDescent="0.25">
      <c r="A7" s="2283" t="s">
        <v>1928</v>
      </c>
      <c r="B7" s="2284"/>
      <c r="C7" s="2284"/>
      <c r="D7" s="2284"/>
      <c r="E7" s="2284"/>
      <c r="F7" s="2284"/>
      <c r="G7" s="2285"/>
    </row>
    <row r="8" spans="1:7" ht="15.75" customHeight="1" x14ac:dyDescent="0.25">
      <c r="A8" s="2286" t="s">
        <v>1903</v>
      </c>
      <c r="B8" s="2287"/>
      <c r="C8" s="2287"/>
      <c r="D8" s="2287"/>
      <c r="E8" s="2287"/>
      <c r="F8" s="2287"/>
      <c r="G8" s="2288"/>
    </row>
    <row r="9" spans="1:7" ht="35.25" customHeight="1" x14ac:dyDescent="0.25">
      <c r="A9" s="2283" t="s">
        <v>1931</v>
      </c>
      <c r="B9" s="2284"/>
      <c r="C9" s="2284"/>
      <c r="D9" s="2284"/>
      <c r="E9" s="2284"/>
      <c r="F9" s="2284"/>
      <c r="G9" s="2285"/>
    </row>
    <row r="10" spans="1:7" ht="15" customHeight="1" x14ac:dyDescent="0.25">
      <c r="A10" s="1537" t="s">
        <v>1817</v>
      </c>
      <c r="B10" s="1538"/>
      <c r="C10" s="1538"/>
      <c r="D10" s="1538"/>
      <c r="E10" s="1538"/>
      <c r="F10" s="1538"/>
      <c r="G10" s="1539"/>
    </row>
    <row r="11" spans="1:7" ht="17.25" customHeight="1" x14ac:dyDescent="0.25">
      <c r="A11" s="2283" t="s">
        <v>1930</v>
      </c>
      <c r="B11" s="2284"/>
      <c r="C11" s="2284"/>
      <c r="D11" s="2284"/>
      <c r="E11" s="2284"/>
      <c r="F11" s="2284"/>
      <c r="G11" s="2285"/>
    </row>
    <row r="12" spans="1:7" ht="15" customHeight="1" x14ac:dyDescent="0.25">
      <c r="A12" s="1537" t="s">
        <v>1822</v>
      </c>
      <c r="B12" s="1538"/>
      <c r="C12" s="1538"/>
      <c r="D12" s="1538"/>
      <c r="E12" s="1538"/>
      <c r="F12" s="1538"/>
      <c r="G12" s="1539"/>
    </row>
    <row r="13" spans="1:7" ht="32.25" customHeight="1" x14ac:dyDescent="0.25">
      <c r="A13" s="2274" t="s">
        <v>1972</v>
      </c>
      <c r="B13" s="2275"/>
      <c r="C13" s="2275"/>
      <c r="D13" s="2275"/>
      <c r="E13" s="2275"/>
      <c r="F13" s="2275"/>
      <c r="G13" s="2276"/>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2085</v>
      </c>
      <c r="B17" s="1939" t="s">
        <v>2083</v>
      </c>
      <c r="C17" s="1940" t="s">
        <v>2084</v>
      </c>
      <c r="D17" s="1844">
        <v>98932</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73932</v>
      </c>
      <c r="H17" s="1647"/>
    </row>
    <row r="18" spans="1:8" x14ac:dyDescent="0.25">
      <c r="A18" s="1938" t="s">
        <v>2086</v>
      </c>
      <c r="B18" s="1939" t="s">
        <v>2087</v>
      </c>
      <c r="C18" s="1940" t="s">
        <v>2088</v>
      </c>
      <c r="D18" s="1844">
        <v>37048</v>
      </c>
      <c r="E18" s="1540">
        <f t="shared" ref="E18:E140" si="2">IF(D18&lt;=25000,D18,IF(D18&gt;25000,25000,0))</f>
        <v>25000</v>
      </c>
      <c r="F18" s="1932">
        <f t="shared" si="1"/>
        <v>25000</v>
      </c>
      <c r="G18" s="1793">
        <f t="shared" ref="G18:G140" si="3">IF(F18=0,0,D18-F18)</f>
        <v>12048</v>
      </c>
    </row>
    <row r="19" spans="1:8" x14ac:dyDescent="0.25">
      <c r="A19" s="1938" t="s">
        <v>2089</v>
      </c>
      <c r="B19" s="1939" t="s">
        <v>2090</v>
      </c>
      <c r="C19" s="1940" t="s">
        <v>2091</v>
      </c>
      <c r="D19" s="1844">
        <v>27119</v>
      </c>
      <c r="E19" s="1540">
        <f t="shared" si="2"/>
        <v>25000</v>
      </c>
      <c r="F19" s="1932">
        <f t="shared" si="1"/>
        <v>25000</v>
      </c>
      <c r="G19" s="1793">
        <f t="shared" si="3"/>
        <v>2119</v>
      </c>
    </row>
    <row r="20" spans="1:8" x14ac:dyDescent="0.25">
      <c r="A20" s="1938" t="s">
        <v>2086</v>
      </c>
      <c r="B20" s="1939" t="s">
        <v>2092</v>
      </c>
      <c r="C20" s="1940" t="s">
        <v>2093</v>
      </c>
      <c r="D20" s="1844">
        <v>79766</v>
      </c>
      <c r="E20" s="1540">
        <f t="shared" si="2"/>
        <v>25000</v>
      </c>
      <c r="F20" s="1932">
        <f t="shared" si="1"/>
        <v>25000</v>
      </c>
      <c r="G20" s="1793">
        <f t="shared" si="3"/>
        <v>54766</v>
      </c>
    </row>
    <row r="21" spans="1:8" x14ac:dyDescent="0.25">
      <c r="A21" s="1938" t="s">
        <v>2094</v>
      </c>
      <c r="B21" s="1939" t="s">
        <v>2095</v>
      </c>
      <c r="C21" s="1940" t="s">
        <v>2096</v>
      </c>
      <c r="D21" s="1844">
        <v>505690</v>
      </c>
      <c r="E21" s="1540">
        <f t="shared" si="2"/>
        <v>25000</v>
      </c>
      <c r="F21" s="1932">
        <f t="shared" si="1"/>
        <v>25000</v>
      </c>
      <c r="G21" s="1793">
        <f t="shared" si="3"/>
        <v>480690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748555</v>
      </c>
      <c r="E141" s="1541">
        <f t="shared" si="0"/>
        <v>25000</v>
      </c>
      <c r="F141" s="1933">
        <f>SUM(F17:F140)</f>
        <v>125000</v>
      </c>
      <c r="G141" s="1795">
        <f>SUM(G17:G140)</f>
        <v>623555</v>
      </c>
    </row>
  </sheetData>
  <sheetProtection password="F60E" sheet="1" selectLockedCells="1"/>
  <mergeCells count="6">
    <mergeCell ref="A13:G13"/>
    <mergeCell ref="A4:G5"/>
    <mergeCell ref="A11:G11"/>
    <mergeCell ref="A7:G7"/>
    <mergeCell ref="A8:G8"/>
    <mergeCell ref="A9:G9"/>
  </mergeCells>
  <printOptions horizontalCentered="1"/>
  <pageMargins left="1" right="1" top="0.5" bottom="0.25" header="0.3" footer="0.3"/>
  <pageSetup scale="70"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v>6209</v>
      </c>
      <c r="F8" s="974"/>
      <c r="G8" s="975"/>
      <c r="H8" s="162"/>
      <c r="I8" s="162"/>
    </row>
    <row r="9" spans="1:9" s="668" customFormat="1" ht="12" customHeight="1" x14ac:dyDescent="0.2">
      <c r="A9" s="970" t="s">
        <v>130</v>
      </c>
      <c r="B9" s="971"/>
      <c r="C9" s="971"/>
      <c r="D9" s="972"/>
      <c r="E9" s="973">
        <v>10917</v>
      </c>
      <c r="F9" s="974"/>
      <c r="G9" s="975"/>
      <c r="H9" s="162"/>
      <c r="I9" s="162"/>
    </row>
    <row r="10" spans="1:9" s="668" customFormat="1" ht="12" customHeight="1" x14ac:dyDescent="0.2">
      <c r="A10" s="970" t="s">
        <v>1929</v>
      </c>
      <c r="B10" s="971"/>
      <c r="C10" s="976"/>
      <c r="D10" s="972"/>
      <c r="E10" s="973">
        <v>236535</v>
      </c>
      <c r="F10" s="974"/>
      <c r="G10" s="975"/>
      <c r="H10" s="162"/>
      <c r="I10" s="162"/>
    </row>
    <row r="11" spans="1:9" s="668" customFormat="1" ht="22.5" customHeight="1" x14ac:dyDescent="0.2">
      <c r="A11" s="2294" t="s">
        <v>1973</v>
      </c>
      <c r="B11" s="2295"/>
      <c r="C11" s="2295"/>
      <c r="D11" s="2296"/>
      <c r="E11" s="977">
        <v>25557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v>7759</v>
      </c>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2617763</v>
      </c>
      <c r="F19" s="1799"/>
      <c r="G19" s="1801">
        <f>'Expenditures 15-22'!K33-SUM('Expenditures 15-22'!G33,'Expenditures 15-22'!I33)+'Expenditures 15-22'!D229</f>
        <v>2617763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277577</v>
      </c>
      <c r="F21" s="1802"/>
      <c r="G21" s="1805">
        <f>'Expenditures 15-22'!K42-SUM('Expenditures 15-22'!G42,'Expenditures 15-22'!I42)+'Expenditures 15-22'!K120-SUM('Expenditures 15-22'!G120,'Expenditures 15-22'!I120)+'Expenditures 15-22'!K180-SUM('Expenditures 15-22'!G180,'Expenditures 15-22'!I180)+'Expenditures 15-22'!D238</f>
        <v>277577</v>
      </c>
      <c r="H21" s="987"/>
      <c r="I21" s="162"/>
    </row>
    <row r="22" spans="1:9" s="668" customFormat="1" ht="12" customHeight="1" x14ac:dyDescent="0.2">
      <c r="A22" s="994" t="s">
        <v>564</v>
      </c>
      <c r="B22" s="995"/>
      <c r="C22" s="993">
        <v>2200</v>
      </c>
      <c r="D22" s="1802"/>
      <c r="E22" s="1804">
        <f>'Expenditures 15-22'!K47-SUM('Expenditures 15-22'!G47,'Expenditures 15-22'!I47)+'Expenditures 15-22'!D243</f>
        <v>528176</v>
      </c>
      <c r="F22" s="1802"/>
      <c r="G22" s="1805">
        <f>'Expenditures 15-22'!K47-SUM('Expenditures 15-22'!G47,'Expenditures 15-22'!I47)+'Expenditures 15-22'!D243</f>
        <v>528176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343682</v>
      </c>
      <c r="F23" s="1802"/>
      <c r="G23" s="1804">
        <f>'Expenditures 15-22'!K53-SUM('Expenditures 15-22'!G53,'Expenditures 15-22'!I53)+'Expenditures 15-22'!D257+'Expenditures 15-22'!K330-SUM('Expenditures 15-22'!G330,'Expenditures 15-22'!I330)</f>
        <v>343682</v>
      </c>
      <c r="H23" s="987"/>
      <c r="I23" s="162"/>
    </row>
    <row r="24" spans="1:9" s="668" customFormat="1" ht="12" customHeight="1" x14ac:dyDescent="0.2">
      <c r="A24" s="994" t="s">
        <v>566</v>
      </c>
      <c r="B24" s="995"/>
      <c r="C24" s="993">
        <v>2400</v>
      </c>
      <c r="D24" s="1802"/>
      <c r="E24" s="1804">
        <f>'Expenditures 15-22'!K57-SUM('Expenditures 15-22'!G57,'Expenditures 15-22'!I57)+'Expenditures 15-22'!D261</f>
        <v>332036</v>
      </c>
      <c r="F24" s="1802"/>
      <c r="G24" s="1805">
        <f>'Expenditures 15-22'!K57-SUM('Expenditures 15-22'!G57,'Expenditures 15-22'!I57)+'Expenditures 15-22'!D261</f>
        <v>332036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66070</v>
      </c>
      <c r="E27" s="1804">
        <f>E8</f>
        <v>6209</v>
      </c>
      <c r="F27" s="1804">
        <f>'Expenditures 15-22'!K60-SUM('Expenditures 15-22'!G60,'Expenditures 15-22'!I60)+'Expenditures 15-22'!D264-E8</f>
        <v>66070</v>
      </c>
      <c r="G27" s="1805">
        <f>E8</f>
        <v>6209</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569646</v>
      </c>
      <c r="F28" s="1806">
        <f>'Expenditures 15-22'!K61-SUM('Expenditures 15-22'!G61,'Expenditures 15-22'!I61)+'Expenditures 15-22'!K124-SUM('Expenditures 15-22'!G124,'Expenditures 15-22'!I124)+'Expenditures 15-22'!D266-E9</f>
        <v>558729</v>
      </c>
      <c r="G28" s="1805">
        <f>E9</f>
        <v>10917</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519080</v>
      </c>
      <c r="F29" s="1802"/>
      <c r="G29" s="1805">
        <f>'Expenditures 15-22'!K62-SUM('Expenditures 15-22'!G62,'Expenditures 15-22'!I62)+'Expenditures 15-22'!K125-SUM('Expenditures 15-22'!G125,'Expenditures 15-22'!I125)+'Expenditures 15-22'!K182-SUM('Expenditures 15-22'!G182,'Expenditures 15-22'!I182)+'Expenditures 15-22'!D267</f>
        <v>519080</v>
      </c>
      <c r="H29" s="985"/>
    </row>
    <row r="30" spans="1:9" ht="12" customHeight="1" x14ac:dyDescent="0.2">
      <c r="A30" s="994" t="s">
        <v>100</v>
      </c>
      <c r="B30" s="997"/>
      <c r="C30" s="993">
        <v>2560</v>
      </c>
      <c r="D30" s="1802"/>
      <c r="E30" s="1804">
        <f>'Expenditures 15-22'!K63-SUM('Expenditures 15-22'!G63,'Expenditures 15-22'!I63)+'Expenditures 15-22'!D268-E10</f>
        <v>131854</v>
      </c>
      <c r="F30" s="1802"/>
      <c r="G30" s="1804">
        <f>'Expenditures 15-22'!K63-SUM('Expenditures 15-22'!G63,'Expenditures 15-22'!I63)+'Expenditures 15-22'!D268-E10</f>
        <v>131854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126192</v>
      </c>
      <c r="F33" s="1802"/>
      <c r="G33" s="1804">
        <f>'Expenditures 15-22'!K67-SUM('Expenditures 15-22'!G67,'Expenditures 15-22'!I67)+'Expenditures 15-22'!D272</f>
        <v>126192</v>
      </c>
    </row>
    <row r="34" spans="1:7" ht="12" customHeight="1" x14ac:dyDescent="0.2">
      <c r="A34" s="994" t="s">
        <v>520</v>
      </c>
      <c r="B34" s="997"/>
      <c r="C34" s="993">
        <v>2620</v>
      </c>
      <c r="D34" s="1802"/>
      <c r="E34" s="1804">
        <f>'Expenditures 15-22'!K68-SUM('Expenditures 15-22'!G68,'Expenditures 15-22'!I68)+'Expenditures 15-22'!D273</f>
        <v>2000</v>
      </c>
      <c r="F34" s="1802"/>
      <c r="G34" s="1804">
        <f>'Expenditures 15-22'!K68-SUM('Expenditures 15-22'!G68,'Expenditures 15-22'!I68)+'Expenditures 15-22'!D273</f>
        <v>2000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7759</v>
      </c>
      <c r="F36" s="1804">
        <f>'Expenditures 15-22'!K70-SUM('Expenditures 15-22'!G70,'Expenditures 15-22'!I70)+'Expenditures 15-22'!D275-E13</f>
        <v>0</v>
      </c>
      <c r="G36" s="1804">
        <f>E13</f>
        <v>7759</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17017</v>
      </c>
      <c r="F38" s="1802"/>
      <c r="G38" s="1804">
        <f>'Expenditures 15-22'!K73-SUM('Expenditures 15-22'!G73,'Expenditures 15-22'!I73)+'Expenditures 15-22'!K128-SUM('Expenditures 15-22'!G128,'Expenditures 15-22'!I128)+'Expenditures 15-22'!K183-SUM('Expenditures 15-22'!G183,'Expenditures 15-22'!I183)+'Expenditures 15-22'!D278</f>
        <v>17017</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71152</v>
      </c>
      <c r="F39" s="1802"/>
      <c r="G39" s="1804">
        <f>'Expenditures 15-22'!K75-SUM('Expenditures 15-22'!G75,'Expenditures 15-22'!I75)+'Expenditures 15-22'!K130-SUM('Expenditures 15-22'!G130,'Expenditures 15-22'!I130)+'Expenditures 15-22'!K185-SUM('Expenditures 15-22'!G185,'Expenditures 15-22'!I185)+'Expenditures 15-22'!D280</f>
        <v>71152</v>
      </c>
    </row>
    <row r="40" spans="1:7" ht="12" customHeight="1" x14ac:dyDescent="0.2">
      <c r="A40" s="990" t="s">
        <v>1820</v>
      </c>
      <c r="B40" s="991"/>
      <c r="C40" s="993"/>
      <c r="D40" s="1802"/>
      <c r="E40" s="1806">
        <f>-'Contracts Paid in CY 29'!G141</f>
        <v>-623555</v>
      </c>
      <c r="F40" s="1802"/>
      <c r="G40" s="1806">
        <f>-'Contracts Paid in CY 29'!G141</f>
        <v>-623555</v>
      </c>
    </row>
    <row r="41" spans="1:7" ht="12" customHeight="1" x14ac:dyDescent="0.2">
      <c r="A41" s="998" t="s">
        <v>156</v>
      </c>
      <c r="B41" s="999"/>
      <c r="C41" s="1000"/>
      <c r="D41" s="1806">
        <f>SUM(D19:D39)</f>
        <v>66070</v>
      </c>
      <c r="E41" s="1806">
        <f>SUM(E19:E40)</f>
        <v>4926588</v>
      </c>
      <c r="F41" s="1806">
        <f>SUM(F19:F39)</f>
        <v>624799</v>
      </c>
      <c r="G41" s="1806">
        <f>SUM(G19:G40)</f>
        <v>4367859</v>
      </c>
    </row>
    <row r="42" spans="1:7" x14ac:dyDescent="0.2">
      <c r="A42" s="987"/>
      <c r="B42" s="162"/>
      <c r="C42" s="1001"/>
      <c r="D42" s="2292" t="s">
        <v>522</v>
      </c>
      <c r="E42" s="2293"/>
      <c r="F42" s="1002" t="s">
        <v>523</v>
      </c>
      <c r="G42" s="1003"/>
    </row>
    <row r="43" spans="1:7" ht="12" customHeight="1" x14ac:dyDescent="0.2">
      <c r="A43" s="987"/>
      <c r="B43" s="162"/>
      <c r="C43" s="1001"/>
      <c r="D43" s="1807" t="s">
        <v>473</v>
      </c>
      <c r="E43" s="1808">
        <f>D41</f>
        <v>66070</v>
      </c>
      <c r="F43" s="1807" t="s">
        <v>473</v>
      </c>
      <c r="G43" s="1808">
        <f>F41</f>
        <v>624799</v>
      </c>
    </row>
    <row r="44" spans="1:7" ht="12" customHeight="1" x14ac:dyDescent="0.2">
      <c r="A44" s="987"/>
      <c r="B44" s="162"/>
      <c r="C44" s="1001"/>
      <c r="D44" s="1807" t="s">
        <v>474</v>
      </c>
      <c r="E44" s="1808">
        <f>E41</f>
        <v>4926588</v>
      </c>
      <c r="F44" s="1807" t="s">
        <v>474</v>
      </c>
      <c r="G44" s="1808">
        <f>G41</f>
        <v>4367859</v>
      </c>
    </row>
    <row r="45" spans="1:7" ht="12" customHeight="1" x14ac:dyDescent="0.2">
      <c r="A45" s="987"/>
      <c r="B45" s="162"/>
      <c r="C45" s="162"/>
      <c r="D45" s="1809" t="s">
        <v>1006</v>
      </c>
      <c r="E45" s="1810">
        <f>(E43/E44)</f>
        <v>1.341090426071756E-2</v>
      </c>
      <c r="F45" s="1809" t="s">
        <v>1006</v>
      </c>
      <c r="G45" s="1810">
        <f>(G43/G44)</f>
        <v>0.14304468161632508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5" header="0.42" footer="0.35"/>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zoomScale="110" zoomScaleNormal="110" workbookViewId="0">
      <pane ySplit="4" topLeftCell="A8" activePane="bottomLeft" state="frozen"/>
      <selection activeCell="E12" sqref="E12"/>
      <selection pane="bottomLeft" activeCell="E12" sqref="E1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0" t="s">
        <v>1379</v>
      </c>
      <c r="B1" s="2300"/>
      <c r="C1" s="2300"/>
      <c r="D1" s="2300"/>
      <c r="E1" s="2300"/>
      <c r="F1" s="2300"/>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01" t="s">
        <v>1546</v>
      </c>
      <c r="B5" s="2302"/>
      <c r="C5" s="2303"/>
      <c r="D5" s="2303"/>
      <c r="E5" s="2303"/>
      <c r="F5" s="2303"/>
    </row>
    <row r="6" spans="1:10" ht="12" customHeight="1" x14ac:dyDescent="0.25">
      <c r="A6" s="1850"/>
      <c r="B6" s="1851"/>
      <c r="C6" s="2304" t="str">
        <f>COVER!A17</f>
        <v>Meridian CUSD 101</v>
      </c>
      <c r="D6" s="2304"/>
      <c r="E6" s="2304"/>
      <c r="F6" s="1852"/>
    </row>
    <row r="7" spans="1:10" ht="11.25" customHeight="1" thickBot="1" x14ac:dyDescent="0.3">
      <c r="A7" s="1850"/>
      <c r="B7" s="1851"/>
      <c r="C7" s="2305">
        <f>COVER!A13</f>
        <v>30077101026</v>
      </c>
      <c r="D7" s="2305"/>
      <c r="E7" s="2305"/>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2063</v>
      </c>
      <c r="D26" s="1865" t="s">
        <v>2063</v>
      </c>
      <c r="E26" s="1868"/>
      <c r="F26" s="1867" t="s">
        <v>2097</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2063</v>
      </c>
      <c r="D31" s="1865" t="s">
        <v>2063</v>
      </c>
      <c r="E31" s="1868"/>
      <c r="F31" s="1867" t="s">
        <v>2098</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06"/>
      <c r="D35" s="2306"/>
      <c r="E35" s="2306"/>
      <c r="F35" s="2307"/>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11"/>
      <c r="B38" s="2312"/>
      <c r="C38" s="2312"/>
      <c r="D38" s="2312"/>
      <c r="E38" s="2312"/>
      <c r="F38" s="2313"/>
    </row>
    <row r="39" spans="1:11" ht="4.5" hidden="1" customHeight="1" x14ac:dyDescent="0.2">
      <c r="A39" s="1873"/>
      <c r="B39" s="1873"/>
      <c r="C39" s="1873"/>
      <c r="D39" s="1873"/>
      <c r="E39" s="1873"/>
      <c r="F39" s="1873"/>
    </row>
    <row r="40" spans="1:11" s="1870" customFormat="1" ht="12" customHeight="1" x14ac:dyDescent="0.25">
      <c r="A40" s="1874" t="s">
        <v>1391</v>
      </c>
      <c r="B40" s="1875"/>
      <c r="C40" s="2314"/>
      <c r="D40" s="2314"/>
      <c r="E40" s="2314"/>
      <c r="F40" s="2315"/>
      <c r="H40" s="1879"/>
      <c r="I40" s="1879"/>
      <c r="J40" s="1879"/>
      <c r="K40" s="1879"/>
    </row>
    <row r="41" spans="1:11" s="1870" customFormat="1" ht="12" customHeight="1" x14ac:dyDescent="0.25">
      <c r="A41" s="2316"/>
      <c r="B41" s="2317"/>
      <c r="C41" s="2317"/>
      <c r="D41" s="2317"/>
      <c r="E41" s="2317"/>
      <c r="F41" s="2318"/>
      <c r="H41" s="1879"/>
      <c r="I41" s="1879"/>
      <c r="J41" s="1879"/>
      <c r="K41" s="1879"/>
    </row>
    <row r="42" spans="1:11" s="1870" customFormat="1" ht="12" customHeight="1" x14ac:dyDescent="0.25">
      <c r="A42" s="2316"/>
      <c r="B42" s="2317"/>
      <c r="C42" s="2317"/>
      <c r="D42" s="2317"/>
      <c r="E42" s="2317"/>
      <c r="F42" s="2318"/>
      <c r="H42" s="1879"/>
      <c r="I42" s="1879"/>
      <c r="J42" s="1879"/>
      <c r="K42" s="1879"/>
    </row>
    <row r="43" spans="1:11" s="1870" customFormat="1" ht="15" x14ac:dyDescent="0.25">
      <c r="A43" s="2308"/>
      <c r="B43" s="2309"/>
      <c r="C43" s="2309"/>
      <c r="D43" s="2309"/>
      <c r="E43" s="2309"/>
      <c r="F43" s="2310"/>
      <c r="H43" s="1879"/>
      <c r="I43" s="1879"/>
      <c r="J43" s="1879"/>
      <c r="K43" s="1879"/>
    </row>
    <row r="44" spans="1:11" s="1870" customFormat="1" ht="12" hidden="1" customHeight="1" x14ac:dyDescent="0.25">
      <c r="A44" s="2308"/>
      <c r="B44" s="2309"/>
      <c r="C44" s="2309"/>
      <c r="D44" s="2309"/>
      <c r="E44" s="2309"/>
      <c r="F44" s="231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verticalCentered="1" headings="1"/>
  <pageMargins left="0.3" right="0.2" top="0.68" bottom="0.5" header="0.17" footer="0.35"/>
  <pageSetup scale="75"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topLeftCell="A11" colorId="8" zoomScale="110" zoomScaleNormal="110" workbookViewId="0">
      <selection activeCell="E12" sqref="E1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4" t="str">
        <f>COVER!A17</f>
        <v>Meridian CUSD 101</v>
      </c>
      <c r="J6" s="2325"/>
      <c r="Q6" s="1664"/>
    </row>
    <row r="7" spans="1:17" x14ac:dyDescent="0.2">
      <c r="A7" s="2326" t="s">
        <v>869</v>
      </c>
      <c r="B7" s="2327"/>
      <c r="C7" s="2327"/>
      <c r="D7" s="2327"/>
      <c r="E7" s="2328"/>
      <c r="F7" s="1017"/>
      <c r="G7" s="1009"/>
      <c r="H7" s="1016" t="s">
        <v>372</v>
      </c>
      <c r="I7" s="2329">
        <f>COVER!A13</f>
        <v>30077101026</v>
      </c>
      <c r="J7" s="232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0" t="s">
        <v>481</v>
      </c>
      <c r="B11" s="2331"/>
      <c r="C11" s="233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186347</v>
      </c>
      <c r="F12" s="1039"/>
      <c r="G12" s="1811">
        <f t="shared" ref="G12:G18" si="0">SUM(E12:F12)</f>
        <v>186347</v>
      </c>
      <c r="H12" s="1040">
        <v>193963</v>
      </c>
      <c r="I12" s="1039"/>
      <c r="J12" s="1811">
        <f t="shared" ref="J12:J18" si="1">SUM(H12:I12)</f>
        <v>193963</v>
      </c>
    </row>
    <row r="13" spans="1:17" ht="15" customHeight="1" x14ac:dyDescent="0.2">
      <c r="A13" s="1035">
        <v>2</v>
      </c>
      <c r="B13" s="1036" t="s">
        <v>42</v>
      </c>
      <c r="C13" s="1037"/>
      <c r="D13" s="1038">
        <v>2330</v>
      </c>
      <c r="E13" s="1811">
        <f>'Expenditures 15-22'!K51</f>
        <v>0</v>
      </c>
      <c r="F13" s="1039"/>
      <c r="G13" s="1811">
        <f t="shared" si="0"/>
        <v>0</v>
      </c>
      <c r="H13" s="1040">
        <v>39840</v>
      </c>
      <c r="I13" s="1039"/>
      <c r="J13" s="1811">
        <f t="shared" si="1"/>
        <v>39840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126192</v>
      </c>
      <c r="F17" s="1039"/>
      <c r="G17" s="1811">
        <f t="shared" si="0"/>
        <v>126192</v>
      </c>
      <c r="H17" s="1040">
        <v>105187</v>
      </c>
      <c r="I17" s="1039"/>
      <c r="J17" s="1811">
        <f t="shared" si="1"/>
        <v>105187</v>
      </c>
    </row>
    <row r="18" spans="1:10" ht="22.5" customHeight="1" x14ac:dyDescent="0.2">
      <c r="A18" s="1042">
        <v>7</v>
      </c>
      <c r="B18" s="2333" t="s">
        <v>7</v>
      </c>
      <c r="C18" s="2334"/>
      <c r="D18" s="233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312539</v>
      </c>
      <c r="F19" s="1813">
        <f t="shared" si="2"/>
        <v>0</v>
      </c>
      <c r="G19" s="1813">
        <f t="shared" si="2"/>
        <v>312539</v>
      </c>
      <c r="H19" s="1813">
        <f t="shared" si="2"/>
        <v>338990</v>
      </c>
      <c r="I19" s="1813">
        <f t="shared" si="2"/>
        <v>0</v>
      </c>
      <c r="J19" s="1813">
        <f t="shared" si="2"/>
        <v>338990</v>
      </c>
    </row>
    <row r="20" spans="1:10" ht="13.5" thickTop="1" x14ac:dyDescent="0.2">
      <c r="A20" s="1035">
        <v>9</v>
      </c>
      <c r="B20" s="2336" t="s">
        <v>1977</v>
      </c>
      <c r="C20" s="2336"/>
      <c r="D20" s="2337"/>
      <c r="E20" s="1046"/>
      <c r="F20" s="1046"/>
      <c r="G20" s="1046"/>
      <c r="H20" s="1046"/>
      <c r="I20" s="1046"/>
      <c r="J20" s="1814">
        <f>IF(AND(G19&gt;0,J19&gt;0),(((J19-G19)/G19)),"Enter Budget Data")</f>
        <v>8.4632637846796727E-2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1033</v>
      </c>
      <c r="D27" s="1052"/>
      <c r="E27" s="1053"/>
      <c r="F27" s="2338" t="s">
        <v>1509</v>
      </c>
      <c r="G27" s="2338"/>
    </row>
    <row r="28" spans="1:10" ht="28.5" customHeight="1" x14ac:dyDescent="0.2">
      <c r="B28" s="1047"/>
      <c r="C28" s="2340"/>
      <c r="D28" s="2340"/>
      <c r="E28" s="1054"/>
      <c r="F28" s="2340"/>
      <c r="G28" s="2340"/>
    </row>
    <row r="29" spans="1:10" x14ac:dyDescent="0.2">
      <c r="B29" s="1047"/>
      <c r="C29" s="1055" t="s">
        <v>1561</v>
      </c>
      <c r="E29" s="1056"/>
      <c r="F29" s="2339" t="s">
        <v>1510</v>
      </c>
      <c r="G29" s="233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c r="C36" s="2323" t="s">
        <v>1979</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t="s">
        <v>2063</v>
      </c>
      <c r="C39" s="2319" t="s">
        <v>882</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0.5" right="0.5" top="0.9" bottom="0.63" header="0.28000000000000003"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F68"/>
  <sheetViews>
    <sheetView showGridLines="0" zoomScale="110" zoomScaleNormal="110" workbookViewId="0">
      <selection activeCell="N41" sqref="N41"/>
    </sheetView>
  </sheetViews>
  <sheetFormatPr defaultRowHeight="12.75" x14ac:dyDescent="0.2"/>
  <cols>
    <col min="1" max="1" width="3" style="329" customWidth="1"/>
    <col min="2" max="2" width="33.7109375" style="329" bestFit="1" customWidth="1"/>
    <col min="3" max="3" width="14.42578125" style="329" customWidth="1"/>
    <col min="4" max="4" width="19" style="329" customWidth="1"/>
    <col min="5" max="5" width="35.140625" style="329" customWidth="1"/>
    <col min="6" max="6" width="12" style="329" bestFit="1" customWidth="1"/>
    <col min="7" max="16384" width="9.140625" style="329"/>
  </cols>
  <sheetData>
    <row r="2" spans="1:6" x14ac:dyDescent="0.2">
      <c r="A2" s="389" t="s">
        <v>258</v>
      </c>
    </row>
    <row r="3" spans="1:6" x14ac:dyDescent="0.2">
      <c r="A3" s="329" t="s">
        <v>259</v>
      </c>
    </row>
    <row r="5" spans="1:6" x14ac:dyDescent="0.2">
      <c r="B5" s="1942" t="s">
        <v>2099</v>
      </c>
      <c r="C5" s="1942" t="s">
        <v>1077</v>
      </c>
      <c r="D5" s="1942" t="s">
        <v>2100</v>
      </c>
      <c r="E5" s="1942" t="s">
        <v>481</v>
      </c>
      <c r="F5" s="1942" t="s">
        <v>865</v>
      </c>
    </row>
    <row r="7" spans="1:6" ht="15" x14ac:dyDescent="0.35">
      <c r="A7" s="1068">
        <v>1</v>
      </c>
      <c r="B7" s="1941">
        <v>190</v>
      </c>
      <c r="C7" s="1941">
        <v>10</v>
      </c>
      <c r="D7" s="1941"/>
      <c r="E7" s="391" t="s">
        <v>2101</v>
      </c>
      <c r="F7" s="1944">
        <v>21459</v>
      </c>
    </row>
    <row r="8" spans="1:6" x14ac:dyDescent="0.2">
      <c r="B8" s="1941"/>
      <c r="C8" s="1941"/>
      <c r="D8" s="1941"/>
    </row>
    <row r="9" spans="1:6" ht="15" x14ac:dyDescent="0.35">
      <c r="A9" s="1068">
        <v>2</v>
      </c>
      <c r="B9" s="1941">
        <v>1690</v>
      </c>
      <c r="C9" s="1941">
        <v>10</v>
      </c>
      <c r="D9" s="1941"/>
      <c r="E9" s="329" t="s">
        <v>2102</v>
      </c>
      <c r="F9" s="1944">
        <v>3972</v>
      </c>
    </row>
    <row r="10" spans="1:6" x14ac:dyDescent="0.2">
      <c r="B10" s="1941"/>
      <c r="C10" s="1941"/>
      <c r="D10" s="1941"/>
    </row>
    <row r="11" spans="1:6" x14ac:dyDescent="0.2">
      <c r="A11" s="1068">
        <v>3</v>
      </c>
      <c r="B11" s="1941">
        <v>1999</v>
      </c>
      <c r="C11" s="1941">
        <v>10</v>
      </c>
      <c r="D11" s="1941"/>
      <c r="E11" s="329" t="s">
        <v>2103</v>
      </c>
      <c r="F11" s="1943">
        <v>10400</v>
      </c>
    </row>
    <row r="12" spans="1:6" x14ac:dyDescent="0.2">
      <c r="B12" s="1941"/>
      <c r="C12" s="1941"/>
      <c r="D12" s="1941"/>
      <c r="E12" s="329" t="s">
        <v>2104</v>
      </c>
      <c r="F12" s="1945">
        <v>1503</v>
      </c>
    </row>
    <row r="13" spans="1:6" ht="15" x14ac:dyDescent="0.35">
      <c r="A13" s="1069"/>
      <c r="B13" s="1941"/>
      <c r="C13" s="1941"/>
      <c r="D13" s="1941"/>
      <c r="E13" s="329" t="s">
        <v>2105</v>
      </c>
      <c r="F13" s="1946">
        <v>2331</v>
      </c>
    </row>
    <row r="14" spans="1:6" ht="15" x14ac:dyDescent="0.35">
      <c r="A14" s="1069"/>
      <c r="B14" s="1941"/>
      <c r="C14" s="1941"/>
      <c r="D14" s="1941"/>
      <c r="F14" s="1947">
        <f>SUM(F11:F13)</f>
        <v>14234</v>
      </c>
    </row>
    <row r="15" spans="1:6" x14ac:dyDescent="0.2">
      <c r="A15" s="1069"/>
      <c r="B15" s="1941"/>
      <c r="C15" s="1941"/>
      <c r="D15" s="1941"/>
    </row>
    <row r="16" spans="1:6" x14ac:dyDescent="0.2">
      <c r="A16" s="1068">
        <v>4</v>
      </c>
      <c r="B16" s="1941">
        <v>3999</v>
      </c>
      <c r="C16" s="1941">
        <v>10</v>
      </c>
      <c r="D16" s="1941"/>
      <c r="E16" s="329" t="s">
        <v>2106</v>
      </c>
      <c r="F16" s="1943">
        <v>30073</v>
      </c>
    </row>
    <row r="17" spans="1:6" x14ac:dyDescent="0.2">
      <c r="A17" s="1069"/>
      <c r="B17" s="1941"/>
      <c r="C17" s="1941"/>
      <c r="D17" s="1941"/>
      <c r="E17" s="329" t="s">
        <v>2107</v>
      </c>
      <c r="F17" s="1945">
        <v>36000</v>
      </c>
    </row>
    <row r="18" spans="1:6" ht="15" x14ac:dyDescent="0.35">
      <c r="A18" s="1069"/>
      <c r="B18" s="1941"/>
      <c r="C18" s="1941"/>
      <c r="D18" s="1941"/>
      <c r="E18" s="329" t="s">
        <v>2108</v>
      </c>
      <c r="F18" s="1946">
        <v>750</v>
      </c>
    </row>
    <row r="19" spans="1:6" ht="15" x14ac:dyDescent="0.35">
      <c r="A19" s="1069"/>
      <c r="B19" s="1941"/>
      <c r="C19" s="1941"/>
      <c r="D19" s="1941"/>
      <c r="F19" s="1947">
        <f>SUM(F16:F18)</f>
        <v>66823</v>
      </c>
    </row>
    <row r="20" spans="1:6" x14ac:dyDescent="0.2">
      <c r="A20" s="1069"/>
      <c r="B20" s="1941"/>
      <c r="C20" s="1941"/>
      <c r="D20" s="1941"/>
    </row>
    <row r="21" spans="1:6" ht="15" x14ac:dyDescent="0.35">
      <c r="A21" s="1068">
        <v>5</v>
      </c>
      <c r="B21" s="1941">
        <v>4299</v>
      </c>
      <c r="C21" s="1941">
        <v>10</v>
      </c>
      <c r="D21" s="1941"/>
      <c r="E21" s="329" t="s">
        <v>2109</v>
      </c>
      <c r="F21" s="1944">
        <v>13678</v>
      </c>
    </row>
    <row r="22" spans="1:6" x14ac:dyDescent="0.2">
      <c r="A22" s="1068"/>
      <c r="B22" s="1941"/>
      <c r="C22" s="1941"/>
      <c r="D22" s="1941"/>
    </row>
    <row r="23" spans="1:6" ht="15" x14ac:dyDescent="0.35">
      <c r="A23" s="1068">
        <v>6</v>
      </c>
      <c r="B23" s="1941">
        <v>4399</v>
      </c>
      <c r="C23" s="1941">
        <v>10</v>
      </c>
      <c r="D23" s="1941"/>
      <c r="E23" s="329" t="s">
        <v>2110</v>
      </c>
      <c r="F23" s="1944">
        <v>991728</v>
      </c>
    </row>
    <row r="24" spans="1:6" x14ac:dyDescent="0.2">
      <c r="A24" s="1068"/>
      <c r="D24" s="1941"/>
    </row>
    <row r="25" spans="1:6" ht="15" x14ac:dyDescent="0.35">
      <c r="A25" s="1068">
        <v>7</v>
      </c>
      <c r="B25" s="1941">
        <v>2900</v>
      </c>
      <c r="C25" s="1941">
        <v>10</v>
      </c>
      <c r="D25" s="1941">
        <v>100</v>
      </c>
      <c r="E25" s="329" t="s">
        <v>2111</v>
      </c>
      <c r="F25" s="1944">
        <v>12706</v>
      </c>
    </row>
    <row r="26" spans="1:6" ht="15" x14ac:dyDescent="0.35">
      <c r="B26" s="1941"/>
      <c r="C26" s="1941"/>
      <c r="D26" s="1941"/>
      <c r="F26" s="1944"/>
    </row>
    <row r="27" spans="1:6" ht="15" x14ac:dyDescent="0.35">
      <c r="A27" s="1068">
        <v>8</v>
      </c>
      <c r="B27" s="1941">
        <v>2900</v>
      </c>
      <c r="C27" s="1941">
        <v>10</v>
      </c>
      <c r="D27" s="1941">
        <v>200</v>
      </c>
      <c r="E27" s="329" t="s">
        <v>2112</v>
      </c>
      <c r="F27" s="1944">
        <v>184</v>
      </c>
    </row>
    <row r="28" spans="1:6" ht="15" x14ac:dyDescent="0.35">
      <c r="A28" s="1068"/>
      <c r="B28" s="1941"/>
      <c r="C28" s="1941"/>
      <c r="D28" s="1941"/>
      <c r="F28" s="1944"/>
    </row>
    <row r="29" spans="1:6" ht="15" x14ac:dyDescent="0.35">
      <c r="A29" s="1068">
        <v>9</v>
      </c>
      <c r="B29" s="1941">
        <v>2900</v>
      </c>
      <c r="C29" s="1941">
        <v>10</v>
      </c>
      <c r="D29" s="1941">
        <v>300</v>
      </c>
      <c r="E29" s="329" t="s">
        <v>2114</v>
      </c>
      <c r="F29" s="1944">
        <v>3662</v>
      </c>
    </row>
    <row r="30" spans="1:6" ht="15" x14ac:dyDescent="0.35">
      <c r="A30" s="1068"/>
      <c r="B30" s="1941"/>
      <c r="C30" s="1941"/>
      <c r="D30" s="1941"/>
      <c r="F30" s="1944"/>
    </row>
    <row r="31" spans="1:6" ht="15" x14ac:dyDescent="0.35">
      <c r="A31" s="1068">
        <v>10</v>
      </c>
      <c r="B31" s="1941">
        <v>2900</v>
      </c>
      <c r="C31" s="1941">
        <v>10</v>
      </c>
      <c r="D31" s="1941">
        <v>400</v>
      </c>
      <c r="E31" s="329" t="s">
        <v>2113</v>
      </c>
      <c r="F31" s="1944">
        <v>465</v>
      </c>
    </row>
    <row r="32" spans="1:6" x14ac:dyDescent="0.2">
      <c r="A32" s="1068"/>
      <c r="B32" s="1941"/>
      <c r="C32" s="1941"/>
      <c r="D32" s="1941"/>
    </row>
    <row r="33" spans="1:6" x14ac:dyDescent="0.2">
      <c r="A33" s="1068">
        <v>11</v>
      </c>
      <c r="B33" s="1941">
        <v>5400</v>
      </c>
      <c r="C33" s="1941">
        <v>30</v>
      </c>
      <c r="D33" s="1941">
        <v>600</v>
      </c>
      <c r="E33" s="329" t="s">
        <v>2115</v>
      </c>
      <c r="F33" s="1943">
        <f>9500+82803</f>
        <v>92303</v>
      </c>
    </row>
    <row r="34" spans="1:6" ht="15" x14ac:dyDescent="0.35">
      <c r="A34" s="1069"/>
      <c r="B34" s="1941"/>
      <c r="C34" s="1941"/>
      <c r="D34" s="1941"/>
      <c r="E34" s="329" t="s">
        <v>2116</v>
      </c>
      <c r="F34" s="1946">
        <v>500</v>
      </c>
    </row>
    <row r="35" spans="1:6" ht="15" x14ac:dyDescent="0.35">
      <c r="A35" s="1069"/>
      <c r="B35" s="1941"/>
      <c r="C35" s="1941"/>
      <c r="D35" s="1941"/>
      <c r="F35" s="1944">
        <f>SUM(F33:F34)</f>
        <v>92803</v>
      </c>
    </row>
    <row r="36" spans="1:6" x14ac:dyDescent="0.2">
      <c r="A36" s="1069"/>
      <c r="B36" s="1941"/>
      <c r="C36" s="1941"/>
      <c r="D36" s="1941"/>
    </row>
    <row r="37" spans="1:6" x14ac:dyDescent="0.2">
      <c r="A37" s="1069"/>
      <c r="B37" s="1941"/>
      <c r="C37" s="1941"/>
      <c r="D37" s="1941"/>
    </row>
    <row r="38" spans="1:6" x14ac:dyDescent="0.2">
      <c r="A38" s="1069"/>
      <c r="B38" s="1941"/>
      <c r="C38" s="1941"/>
      <c r="D38" s="1941"/>
    </row>
    <row r="39" spans="1:6" x14ac:dyDescent="0.2">
      <c r="A39" s="1069"/>
      <c r="B39" s="1941"/>
      <c r="C39" s="1941"/>
      <c r="D39" s="1941"/>
    </row>
    <row r="40" spans="1:6" x14ac:dyDescent="0.2">
      <c r="A40" s="1069"/>
      <c r="B40" s="1941"/>
      <c r="C40" s="1941"/>
      <c r="D40" s="1941"/>
    </row>
    <row r="41" spans="1:6" x14ac:dyDescent="0.2">
      <c r="A41" s="1069"/>
      <c r="B41" s="1941"/>
      <c r="C41" s="1941"/>
      <c r="D41" s="1941"/>
    </row>
    <row r="42" spans="1:6" x14ac:dyDescent="0.2">
      <c r="A42" s="1069"/>
      <c r="B42" s="1941"/>
      <c r="C42" s="1941"/>
      <c r="D42" s="1941"/>
    </row>
    <row r="43" spans="1:6" x14ac:dyDescent="0.2">
      <c r="A43" s="1069"/>
      <c r="B43" s="1941"/>
      <c r="C43" s="1941"/>
      <c r="D43" s="1941"/>
    </row>
    <row r="44" spans="1:6" x14ac:dyDescent="0.2">
      <c r="A44" s="1069"/>
      <c r="B44" s="1941"/>
      <c r="C44" s="1941"/>
      <c r="D44" s="1941"/>
    </row>
    <row r="45" spans="1:6" x14ac:dyDescent="0.2">
      <c r="A45" s="1069"/>
      <c r="B45" s="1941"/>
      <c r="C45" s="1941"/>
      <c r="D45" s="1941"/>
    </row>
    <row r="46" spans="1:6" x14ac:dyDescent="0.2">
      <c r="A46" s="1069"/>
      <c r="B46" s="1941"/>
      <c r="C46" s="1941"/>
      <c r="D46" s="1941"/>
    </row>
    <row r="47" spans="1:6" x14ac:dyDescent="0.2">
      <c r="A47" s="1069"/>
      <c r="B47" s="1941"/>
      <c r="C47" s="1941"/>
      <c r="D47" s="1941"/>
    </row>
    <row r="48" spans="1:6" x14ac:dyDescent="0.2">
      <c r="A48" s="1069"/>
      <c r="B48" s="1941"/>
      <c r="C48" s="1941"/>
      <c r="D48" s="1941"/>
    </row>
    <row r="49" spans="1:4" x14ac:dyDescent="0.2">
      <c r="A49" s="1069"/>
      <c r="B49" s="1941"/>
      <c r="C49" s="1941"/>
      <c r="D49" s="1941"/>
    </row>
    <row r="50" spans="1:4" x14ac:dyDescent="0.2">
      <c r="A50" s="1069"/>
      <c r="B50" s="1941"/>
      <c r="C50" s="1941"/>
      <c r="D50" s="1941"/>
    </row>
    <row r="51" spans="1:4" x14ac:dyDescent="0.2">
      <c r="A51" s="1069"/>
      <c r="B51" s="1941"/>
      <c r="C51" s="1941"/>
      <c r="D51" s="1941"/>
    </row>
    <row r="52" spans="1:4" x14ac:dyDescent="0.2">
      <c r="A52" s="1069"/>
      <c r="B52" s="1941"/>
      <c r="C52" s="1941"/>
      <c r="D52" s="1941"/>
    </row>
    <row r="53" spans="1:4" x14ac:dyDescent="0.2">
      <c r="A53" s="1069"/>
      <c r="B53" s="1941"/>
      <c r="C53" s="1941"/>
      <c r="D53" s="1941"/>
    </row>
    <row r="54" spans="1:4" x14ac:dyDescent="0.2">
      <c r="A54" s="1069"/>
      <c r="B54" s="1941"/>
      <c r="C54" s="1941"/>
      <c r="D54" s="1941"/>
    </row>
    <row r="55" spans="1:4" x14ac:dyDescent="0.2">
      <c r="A55" s="1069"/>
      <c r="B55" s="1941"/>
      <c r="C55" s="1941"/>
      <c r="D55" s="1941"/>
    </row>
    <row r="56" spans="1:4" x14ac:dyDescent="0.2">
      <c r="A56" s="1069"/>
      <c r="B56" s="1941"/>
      <c r="C56" s="1941"/>
      <c r="D56" s="1941"/>
    </row>
    <row r="57" spans="1:4" x14ac:dyDescent="0.2">
      <c r="A57" s="1069"/>
      <c r="B57" s="1941"/>
      <c r="C57" s="1941"/>
      <c r="D57" s="1941"/>
    </row>
    <row r="58" spans="1:4" x14ac:dyDescent="0.2">
      <c r="A58" s="1069"/>
      <c r="B58" s="1941"/>
      <c r="C58" s="1941"/>
      <c r="D58" s="1941"/>
    </row>
    <row r="59" spans="1:4" x14ac:dyDescent="0.2">
      <c r="A59" s="1069"/>
      <c r="B59" s="1941"/>
      <c r="C59" s="1941"/>
      <c r="D59" s="1941"/>
    </row>
    <row r="60" spans="1:4" x14ac:dyDescent="0.2">
      <c r="A60" s="1069"/>
      <c r="B60" s="1941"/>
      <c r="C60" s="1941"/>
      <c r="D60" s="1941"/>
    </row>
    <row r="61" spans="1:4" x14ac:dyDescent="0.2">
      <c r="A61" s="1069"/>
      <c r="B61" s="1941"/>
      <c r="C61" s="1941"/>
      <c r="D61" s="1941"/>
    </row>
    <row r="62" spans="1:4" x14ac:dyDescent="0.2">
      <c r="A62" s="1069"/>
      <c r="B62" s="1941"/>
      <c r="C62" s="1941"/>
      <c r="D62" s="1941"/>
    </row>
    <row r="63" spans="1:4" x14ac:dyDescent="0.2">
      <c r="A63" s="1069"/>
    </row>
    <row r="64" spans="1:4" x14ac:dyDescent="0.2">
      <c r="A64" s="1069"/>
    </row>
    <row r="65" spans="1:2" x14ac:dyDescent="0.2">
      <c r="A65" s="1069"/>
    </row>
    <row r="66" spans="1:2" x14ac:dyDescent="0.2">
      <c r="A66" s="1069"/>
    </row>
    <row r="67" spans="1:2" x14ac:dyDescent="0.2">
      <c r="A67" s="1069"/>
      <c r="B67" s="258" t="str">
        <f>COVER!A17</f>
        <v>Meridian CUSD 101</v>
      </c>
    </row>
    <row r="68" spans="1:2" x14ac:dyDescent="0.2">
      <c r="B68" s="1070">
        <f>COVER!A13</f>
        <v>30077101026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A5" sqref="A5:E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3" t="s">
        <v>1685</v>
      </c>
      <c r="B18" s="234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9937" r:id="rId4">
          <objectPr defaultSize="0" r:id="rId5">
            <anchor moveWithCells="1">
              <from>
                <xdr:col>1</xdr:col>
                <xdr:colOff>0</xdr:colOff>
                <xdr:row>5</xdr:row>
                <xdr:rowOff>0</xdr:rowOff>
              </from>
              <to>
                <xdr:col>1</xdr:col>
                <xdr:colOff>904875</xdr:colOff>
                <xdr:row>8</xdr:row>
                <xdr:rowOff>28575</xdr:rowOff>
              </to>
            </anchor>
          </objectPr>
        </oleObject>
      </mc:Choice>
      <mc:Fallback>
        <oleObject progId="Packager Shell Object" dvAspect="DVASPECT_ICON" shapeId="3993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I47" sqref="I4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1983</v>
      </c>
      <c r="B2" s="2355"/>
      <c r="C2" s="2355"/>
      <c r="D2" s="2355"/>
      <c r="E2" s="2355"/>
      <c r="F2" s="2356"/>
      <c r="G2" s="1074"/>
      <c r="H2" s="1074"/>
    </row>
    <row r="3" spans="1:8" ht="57" customHeight="1" x14ac:dyDescent="0.2">
      <c r="A3" s="2357" t="s">
        <v>1686</v>
      </c>
      <c r="B3" s="2358"/>
      <c r="C3" s="2358"/>
      <c r="D3" s="2358"/>
      <c r="E3" s="2358"/>
      <c r="F3" s="2359"/>
      <c r="G3" s="1074"/>
      <c r="H3" s="1074"/>
    </row>
    <row r="4" spans="1:8" ht="14.25" customHeight="1" x14ac:dyDescent="0.2">
      <c r="A4" s="2363" t="s">
        <v>1984</v>
      </c>
      <c r="B4" s="2364"/>
      <c r="C4" s="2364"/>
      <c r="D4" s="2364"/>
      <c r="E4" s="2364"/>
      <c r="F4" s="2365"/>
      <c r="G4" s="1074"/>
      <c r="H4" s="1074"/>
    </row>
    <row r="5" spans="1:8" ht="14.25" customHeight="1" x14ac:dyDescent="0.2">
      <c r="A5" s="2366" t="s">
        <v>1980</v>
      </c>
      <c r="B5" s="2367"/>
      <c r="C5" s="2367"/>
      <c r="D5" s="2367"/>
      <c r="E5" s="2367"/>
      <c r="F5" s="2368"/>
      <c r="G5" s="1074"/>
      <c r="H5" s="1074"/>
    </row>
    <row r="6" spans="1:8" s="1075" customFormat="1" ht="41.25" customHeight="1" x14ac:dyDescent="0.2">
      <c r="A6" s="2360" t="s">
        <v>1691</v>
      </c>
      <c r="B6" s="2361"/>
      <c r="C6" s="2361"/>
      <c r="D6" s="2361"/>
      <c r="E6" s="2361"/>
      <c r="F6" s="236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6324594</v>
      </c>
      <c r="C8" s="1815">
        <f>'Acct Summary 7-8'!D8</f>
        <v>312161</v>
      </c>
      <c r="D8" s="1815">
        <f>'Acct Summary 7-8'!F8</f>
        <v>682529</v>
      </c>
      <c r="E8" s="1815">
        <f>'Acct Summary 7-8'!I8</f>
        <v>11835</v>
      </c>
      <c r="F8" s="1815">
        <f>SUM(B8:E8)</f>
        <v>7331119</v>
      </c>
    </row>
    <row r="9" spans="1:8" s="1079" customFormat="1" ht="14.25" customHeight="1" thickBot="1" x14ac:dyDescent="0.25">
      <c r="A9" s="1078" t="s">
        <v>1369</v>
      </c>
      <c r="B9" s="1816">
        <f>'Acct Summary 7-8'!C17</f>
        <v>5137063</v>
      </c>
      <c r="C9" s="1816">
        <f>'Acct Summary 7-8'!D17</f>
        <v>339605</v>
      </c>
      <c r="D9" s="1816">
        <f>'Acct Summary 7-8'!F17</f>
        <v>519080</v>
      </c>
      <c r="E9" s="1815"/>
      <c r="F9" s="1815">
        <f>SUM(B9:E9)</f>
        <v>5995748</v>
      </c>
    </row>
    <row r="10" spans="1:8" s="1079" customFormat="1" ht="14.25" thickTop="1" thickBot="1" x14ac:dyDescent="0.25">
      <c r="A10" s="1080" t="s">
        <v>1370</v>
      </c>
      <c r="B10" s="1817">
        <f>(B8-B9)</f>
        <v>1187531</v>
      </c>
      <c r="C10" s="1817">
        <f>(C8-C9)</f>
        <v>-27444</v>
      </c>
      <c r="D10" s="1817">
        <f>(D8-D9)</f>
        <v>163449</v>
      </c>
      <c r="E10" s="1816">
        <f>(E8-E9)</f>
        <v>11835</v>
      </c>
      <c r="F10" s="1818">
        <f>SUM(F8-F9)</f>
        <v>1335371</v>
      </c>
    </row>
    <row r="11" spans="1:8" s="1079" customFormat="1" ht="14.25" thickTop="1" thickBot="1" x14ac:dyDescent="0.25">
      <c r="A11" s="1081" t="s">
        <v>1981</v>
      </c>
      <c r="B11" s="1819">
        <f>'Acct Summary 7-8'!C81</f>
        <v>3432340</v>
      </c>
      <c r="C11" s="1819">
        <f>'Acct Summary 7-8'!D81</f>
        <v>348779</v>
      </c>
      <c r="D11" s="1819">
        <f>'Acct Summary 7-8'!F81</f>
        <v>333624</v>
      </c>
      <c r="E11" s="1819">
        <f>'Acct Summary 7-8'!I81</f>
        <v>124162</v>
      </c>
      <c r="F11" s="1820">
        <f>SUM(B11:E11)</f>
        <v>4238905</v>
      </c>
    </row>
    <row r="12" spans="1:8" ht="16.5" customHeight="1" thickTop="1" x14ac:dyDescent="0.2">
      <c r="A12" s="1082"/>
      <c r="B12" s="1083"/>
      <c r="C12" s="2348" t="str">
        <f>IF(AND(F10&lt;0,F11&gt;=0,ABS(F10*3)&gt;ABS(F11)),A16,IF(AND(F10&lt;0,F11&gt;0,ABS(F10*3)&lt;=ABS(F11)),A17,IF(AND(F10&lt;0,F11&lt;0),A16,IF(F11=0,A19,A18))))</f>
        <v>Balanced - no deficit reduction plan is required.</v>
      </c>
      <c r="D12" s="2349"/>
      <c r="E12" s="2349"/>
      <c r="F12" s="2350"/>
    </row>
    <row r="13" spans="1:8" ht="19.5" customHeight="1" x14ac:dyDescent="0.2">
      <c r="A13" s="1084"/>
      <c r="B13" s="1085"/>
      <c r="C13" s="2348"/>
      <c r="D13" s="2349"/>
      <c r="E13" s="2349"/>
      <c r="F13" s="2350"/>
      <c r="H13" s="1074"/>
    </row>
    <row r="14" spans="1:8" ht="19.5" customHeight="1" x14ac:dyDescent="0.2">
      <c r="A14" s="1084"/>
      <c r="B14" s="1085"/>
      <c r="C14" s="2348"/>
      <c r="D14" s="2349"/>
      <c r="E14" s="2349"/>
      <c r="F14" s="2350"/>
      <c r="H14" s="1074"/>
    </row>
    <row r="15" spans="1:8" ht="17.25" customHeight="1" x14ac:dyDescent="0.2">
      <c r="A15" s="1084"/>
      <c r="B15" s="1085"/>
      <c r="C15" s="2351"/>
      <c r="D15" s="2352"/>
      <c r="E15" s="2352"/>
      <c r="F15" s="2353"/>
      <c r="H15" s="1074"/>
    </row>
    <row r="16" spans="1:8" s="310" customFormat="1" ht="51.75" hidden="1" customHeight="1" x14ac:dyDescent="0.2">
      <c r="A16" s="2347" t="s">
        <v>1687</v>
      </c>
      <c r="B16" s="2347"/>
      <c r="C16" s="2347"/>
      <c r="D16" s="2347"/>
      <c r="E16" s="234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verticalCentered="1"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 colorId="8" zoomScale="110" zoomScaleNormal="110" workbookViewId="0">
      <selection activeCell="D82" sqref="D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9" t="s">
        <v>665</v>
      </c>
      <c r="B3" s="2370"/>
      <c r="C3" s="2370"/>
      <c r="D3" s="2371"/>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0" t="s">
        <v>1504</v>
      </c>
      <c r="D7" s="2381"/>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2" t="s">
        <v>1008</v>
      </c>
      <c r="B15" s="2373"/>
      <c r="C15" s="2373"/>
      <c r="D15" s="2374"/>
    </row>
    <row r="16" spans="1:4" s="668" customFormat="1" ht="24" customHeight="1" x14ac:dyDescent="0.2">
      <c r="A16" s="2375" t="s">
        <v>663</v>
      </c>
      <c r="B16" s="2376"/>
      <c r="C16" s="2376"/>
      <c r="D16" s="237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4" t="s">
        <v>314</v>
      </c>
      <c r="D21" s="2385"/>
    </row>
    <row r="22" spans="1:10" ht="12.75" x14ac:dyDescent="0.2">
      <c r="A22" s="1139"/>
      <c r="B22" s="1140">
        <v>2</v>
      </c>
      <c r="C22" s="2382" t="s">
        <v>1524</v>
      </c>
      <c r="D22" s="238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6" t="s">
        <v>536</v>
      </c>
      <c r="D43" s="238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8" t="s">
        <v>784</v>
      </c>
      <c r="D56" s="237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8" t="s">
        <v>1696</v>
      </c>
      <c r="D70" s="237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30077101026</v>
      </c>
    </row>
    <row r="3" spans="1:2" x14ac:dyDescent="0.2">
      <c r="A3" t="s">
        <v>956</v>
      </c>
      <c r="B3" s="138" t="str">
        <f>COVER!A15</f>
        <v>Pulaski</v>
      </c>
    </row>
    <row r="4" spans="1:2" x14ac:dyDescent="0.2">
      <c r="A4" t="s">
        <v>1007</v>
      </c>
      <c r="B4" s="138" t="str">
        <f>COVER!A17</f>
        <v>Meridian CUSD 101</v>
      </c>
    </row>
    <row r="5" spans="1:2" x14ac:dyDescent="0.2">
      <c r="A5" t="s">
        <v>704</v>
      </c>
      <c r="B5" s="138" t="str">
        <f>COVER!A38</f>
        <v>Mr. Jonathan Green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066-003889</v>
      </c>
    </row>
    <row r="16" spans="1:2" x14ac:dyDescent="0.2">
      <c r="A16" t="s">
        <v>422</v>
      </c>
      <c r="B16" s="138" t="str">
        <f>COVER!T13</f>
        <v>Beussink, Hey, Roe &amp; Stroder, LLC</v>
      </c>
    </row>
    <row r="17" spans="1:2" x14ac:dyDescent="0.2">
      <c r="A17" t="s">
        <v>884</v>
      </c>
      <c r="B17" s="138" t="str">
        <f>COVER!T15</f>
        <v>Jeffrey C. Stroder, CPA</v>
      </c>
    </row>
    <row r="18" spans="1:2" x14ac:dyDescent="0.2">
      <c r="A18" t="s">
        <v>1150</v>
      </c>
      <c r="B18" s="138" t="str">
        <f>COVER!T17</f>
        <v>16 South Silver Springs Road</v>
      </c>
    </row>
    <row r="19" spans="1:2" x14ac:dyDescent="0.2">
      <c r="A19" t="s">
        <v>886</v>
      </c>
      <c r="B19" s="138" t="str">
        <f>COVER!T25</f>
        <v>jstroder@bhrcpas.com</v>
      </c>
    </row>
    <row r="20" spans="1:2" x14ac:dyDescent="0.2">
      <c r="A20" t="s">
        <v>887</v>
      </c>
      <c r="B20" s="138" t="str">
        <f>COVER!T19</f>
        <v>Cape Girardeau</v>
      </c>
    </row>
    <row r="21" spans="1:2" x14ac:dyDescent="0.2">
      <c r="A21" t="s">
        <v>479</v>
      </c>
      <c r="B21" s="138" t="str">
        <f>COVER!X19</f>
        <v>MO</v>
      </c>
    </row>
    <row r="22" spans="1:2" x14ac:dyDescent="0.2">
      <c r="A22" t="s">
        <v>888</v>
      </c>
      <c r="B22" s="138">
        <f>COVER!Z19</f>
        <v>63703</v>
      </c>
    </row>
    <row r="23" spans="1:2" x14ac:dyDescent="0.2">
      <c r="A23" t="s">
        <v>1152</v>
      </c>
      <c r="B23" s="138" t="str">
        <f>COVER!T21</f>
        <v>573-334-7971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Yes</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21459</v>
      </c>
      <c r="D76" s="2" t="str">
        <f t="shared" si="0"/>
        <v>Error?</v>
      </c>
    </row>
    <row r="77" spans="1:4" x14ac:dyDescent="0.2">
      <c r="A77" s="5">
        <v>16</v>
      </c>
      <c r="B77" s="138">
        <f>'Assets-Liab 5-6'!C13</f>
        <v>3432340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3402267</v>
      </c>
      <c r="D92" s="2" t="str">
        <f t="shared" si="0"/>
        <v>Error?</v>
      </c>
    </row>
    <row r="93" spans="1:4" x14ac:dyDescent="0.2">
      <c r="A93" s="5">
        <v>32</v>
      </c>
      <c r="B93" s="138">
        <f>'Assets-Liab 5-6'!C41</f>
        <v>3432340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348779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348779</v>
      </c>
      <c r="D123" s="2" t="str">
        <f t="shared" si="0"/>
        <v>Error?</v>
      </c>
    </row>
    <row r="124" spans="1:4" x14ac:dyDescent="0.2">
      <c r="A124" s="5">
        <v>63</v>
      </c>
      <c r="B124" s="138">
        <f>'Assets-Liab 5-6'!D41</f>
        <v>348779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197275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197275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333624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333624</v>
      </c>
      <c r="D170" s="2" t="str">
        <f t="shared" si="1"/>
        <v>Error?</v>
      </c>
    </row>
    <row r="171" spans="1:4" x14ac:dyDescent="0.2">
      <c r="A171" s="5">
        <v>110</v>
      </c>
      <c r="B171" s="138">
        <f>'Assets-Liab 5-6'!F41</f>
        <v>333624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152377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152377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57109</v>
      </c>
      <c r="D273" s="2" t="str">
        <f t="shared" si="3"/>
        <v>Error?</v>
      </c>
    </row>
    <row r="274" spans="1:4" x14ac:dyDescent="0.2">
      <c r="A274" s="5">
        <v>213</v>
      </c>
      <c r="B274" s="138">
        <f>'Assets-Liab 5-6'!M17</f>
        <v>12747021</v>
      </c>
      <c r="D274" s="2" t="str">
        <f t="shared" si="3"/>
        <v>Error?</v>
      </c>
    </row>
    <row r="275" spans="1:4" x14ac:dyDescent="0.2">
      <c r="A275" s="5">
        <v>214</v>
      </c>
      <c r="B275" s="138">
        <f>'Assets-Liab 5-6'!M18</f>
        <v>1392489</v>
      </c>
      <c r="D275" s="2" t="str">
        <f t="shared" si="3"/>
        <v>Error?</v>
      </c>
    </row>
    <row r="276" spans="1:4" x14ac:dyDescent="0.2">
      <c r="A276" s="5">
        <v>215</v>
      </c>
      <c r="B276" s="138">
        <f>'Assets-Liab 5-6'!M19</f>
        <v>3850049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18234434</v>
      </c>
      <c r="C279" s="2" t="s">
        <v>573</v>
      </c>
      <c r="D279" s="2" t="str">
        <f t="shared" si="3"/>
        <v>Error?</v>
      </c>
    </row>
    <row r="280" spans="1:4" x14ac:dyDescent="0.2">
      <c r="A280" s="5">
        <v>219</v>
      </c>
      <c r="B280" s="138">
        <f>'Assets-Liab 5-6'!M40</f>
        <v>18234434</v>
      </c>
      <c r="D280" s="2" t="str">
        <f t="shared" si="3"/>
        <v>Error?</v>
      </c>
    </row>
    <row r="281" spans="1:4" x14ac:dyDescent="0.2">
      <c r="A281" s="5">
        <v>220</v>
      </c>
      <c r="B281" s="138">
        <f>'Assets-Liab 5-6'!M41</f>
        <v>18234434</v>
      </c>
      <c r="C281" s="2" t="s">
        <v>573</v>
      </c>
      <c r="D281" s="2" t="str">
        <f t="shared" si="3"/>
        <v>Error?</v>
      </c>
    </row>
    <row r="282" spans="1:4" x14ac:dyDescent="0.2">
      <c r="A282" s="5">
        <v>221</v>
      </c>
      <c r="B282" s="138">
        <f>'Assets-Liab 5-6'!N21</f>
        <v>197275</v>
      </c>
      <c r="D282" s="2" t="str">
        <f t="shared" si="3"/>
        <v>Error?</v>
      </c>
    </row>
    <row r="283" spans="1:4" x14ac:dyDescent="0.2">
      <c r="A283" s="5">
        <v>222</v>
      </c>
      <c r="B283" s="138">
        <f>'Assets-Liab 5-6'!N22</f>
        <v>3106639</v>
      </c>
      <c r="D283" s="2" t="str">
        <f t="shared" si="3"/>
        <v>Error?</v>
      </c>
    </row>
    <row r="284" spans="1:4" x14ac:dyDescent="0.2">
      <c r="A284" s="5">
        <v>223</v>
      </c>
      <c r="B284" s="138">
        <f>'Assets-Liab 5-6'!N23</f>
        <v>3303914</v>
      </c>
      <c r="C284" s="2" t="s">
        <v>573</v>
      </c>
      <c r="D284" s="2" t="str">
        <f t="shared" si="3"/>
        <v>Error?</v>
      </c>
    </row>
    <row r="285" spans="1:4" x14ac:dyDescent="0.2">
      <c r="A285" s="5">
        <v>224</v>
      </c>
      <c r="B285" s="138">
        <f>'Assets-Liab 5-6'!N36</f>
        <v>3303914</v>
      </c>
      <c r="D285" s="2" t="str">
        <f t="shared" si="3"/>
        <v>Error?</v>
      </c>
    </row>
    <row r="286" spans="1:4" x14ac:dyDescent="0.2">
      <c r="A286" s="10">
        <v>225</v>
      </c>
      <c r="D286" s="2" t="str">
        <f t="shared" si="3"/>
        <v>OK</v>
      </c>
    </row>
    <row r="287" spans="1:4" x14ac:dyDescent="0.2">
      <c r="A287" s="5">
        <v>226</v>
      </c>
      <c r="B287" s="138">
        <f>'Assets-Liab 5-6'!N37</f>
        <v>3303914</v>
      </c>
      <c r="C287" s="2" t="s">
        <v>573</v>
      </c>
      <c r="D287" s="2" t="str">
        <f t="shared" si="3"/>
        <v>Error?</v>
      </c>
    </row>
    <row r="288" spans="1:4" x14ac:dyDescent="0.2">
      <c r="A288" s="5">
        <v>227</v>
      </c>
      <c r="B288" s="138">
        <f>'Assets-Liab 5-6'!N41</f>
        <v>3303914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84853</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1183015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70267</v>
      </c>
      <c r="D717" s="2" t="str">
        <f t="shared" si="10"/>
        <v>Error?</v>
      </c>
    </row>
    <row r="718" spans="1:4" x14ac:dyDescent="0.2">
      <c r="A718" s="5">
        <v>657</v>
      </c>
      <c r="B718" s="138">
        <f>'Expenditures 15-22'!C14</f>
        <v>86414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1785185</v>
      </c>
      <c r="C720" s="2" t="s">
        <v>573</v>
      </c>
      <c r="D720" s="2" t="str">
        <f t="shared" si="10"/>
        <v>Error?</v>
      </c>
    </row>
    <row r="721" spans="1:4" x14ac:dyDescent="0.2">
      <c r="A721" s="5">
        <v>660</v>
      </c>
      <c r="B721" s="138">
        <f>'Expenditures 15-22'!C36</f>
        <v>68904</v>
      </c>
      <c r="D721" s="2" t="str">
        <f t="shared" si="10"/>
        <v>Error?</v>
      </c>
    </row>
    <row r="722" spans="1:4" x14ac:dyDescent="0.2">
      <c r="A722" s="5">
        <v>661</v>
      </c>
      <c r="B722" s="138">
        <f>'Expenditures 15-22'!C37</f>
        <v>114199</v>
      </c>
      <c r="D722" s="2" t="str">
        <f t="shared" si="10"/>
        <v>Error?</v>
      </c>
    </row>
    <row r="723" spans="1:4" x14ac:dyDescent="0.2">
      <c r="A723" s="5">
        <v>662</v>
      </c>
      <c r="B723" s="138">
        <f>'Expenditures 15-22'!C38</f>
        <v>58644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241747</v>
      </c>
      <c r="C727" s="2" t="s">
        <v>573</v>
      </c>
      <c r="D727" s="2" t="str">
        <f t="shared" si="10"/>
        <v>Error?</v>
      </c>
    </row>
    <row r="728" spans="1:4" x14ac:dyDescent="0.2">
      <c r="A728" s="5">
        <v>667</v>
      </c>
      <c r="B728" s="138">
        <f>'Expenditures 15-22'!C44</f>
        <v>269185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269185</v>
      </c>
      <c r="C731" s="2" t="s">
        <v>573</v>
      </c>
      <c r="D731" s="2" t="str">
        <f t="shared" si="10"/>
        <v>Error?</v>
      </c>
    </row>
    <row r="732" spans="1:4" x14ac:dyDescent="0.2">
      <c r="A732" s="5">
        <v>671</v>
      </c>
      <c r="B732" s="138">
        <f>'Expenditures 15-22'!C49</f>
        <v>18443</v>
      </c>
      <c r="D732" s="2" t="str">
        <f t="shared" si="10"/>
        <v>Error?</v>
      </c>
    </row>
    <row r="733" spans="1:4" x14ac:dyDescent="0.2">
      <c r="A733" s="5">
        <v>672</v>
      </c>
      <c r="B733" s="138">
        <f>'Expenditures 15-22'!C50</f>
        <v>150829</v>
      </c>
      <c r="D733" s="2" t="str">
        <f t="shared" si="10"/>
        <v>Error?</v>
      </c>
    </row>
    <row r="734" spans="1:4" x14ac:dyDescent="0.2">
      <c r="A734" s="5">
        <v>673</v>
      </c>
      <c r="B734" s="138">
        <f>'Expenditures 15-22'!C53</f>
        <v>169272</v>
      </c>
      <c r="C734" s="2" t="s">
        <v>573</v>
      </c>
      <c r="D734" s="2" t="str">
        <f t="shared" si="10"/>
        <v>Error?</v>
      </c>
    </row>
    <row r="735" spans="1:4" x14ac:dyDescent="0.2">
      <c r="A735" s="5">
        <v>674</v>
      </c>
      <c r="B735" s="138">
        <f>'Expenditures 15-22'!C55</f>
        <v>240820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240820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55457</v>
      </c>
      <c r="D739" s="2" t="str">
        <f t="shared" si="10"/>
        <v>Error?</v>
      </c>
    </row>
    <row r="740" spans="1:4" x14ac:dyDescent="0.2">
      <c r="A740" s="5">
        <v>679</v>
      </c>
      <c r="B740" s="138">
        <f>'Expenditures 15-22'!C61</f>
        <v>188987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100147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344591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12706</v>
      </c>
      <c r="D754" s="2" t="str">
        <f t="shared" si="10"/>
        <v>Error?</v>
      </c>
    </row>
    <row r="755" spans="1:4" x14ac:dyDescent="0.2">
      <c r="A755" s="5">
        <v>694</v>
      </c>
      <c r="B755" s="138">
        <f>'Expenditures 15-22'!C74</f>
        <v>1278321</v>
      </c>
      <c r="C755" s="2" t="s">
        <v>573</v>
      </c>
      <c r="D755" s="2" t="str">
        <f t="shared" si="10"/>
        <v>Error?</v>
      </c>
    </row>
    <row r="756" spans="1:4" x14ac:dyDescent="0.2">
      <c r="A756" s="5">
        <v>695</v>
      </c>
      <c r="B756" s="138">
        <f>'Expenditures 15-22'!C75</f>
        <v>41871</v>
      </c>
      <c r="D756" s="2" t="str">
        <f t="shared" si="10"/>
        <v>Error?</v>
      </c>
    </row>
    <row r="757" spans="1:4" x14ac:dyDescent="0.2">
      <c r="A757" s="5">
        <v>696</v>
      </c>
      <c r="B757" s="138">
        <f>'Expenditures 15-22'!C114</f>
        <v>3105377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232779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19309</v>
      </c>
      <c r="D775" s="2" t="str">
        <f t="shared" si="11"/>
        <v>Error?</v>
      </c>
    </row>
    <row r="776" spans="1:4" x14ac:dyDescent="0.2">
      <c r="A776" s="5">
        <v>715</v>
      </c>
      <c r="B776" s="138">
        <f>'Expenditures 15-22'!D14</f>
        <v>2029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346457</v>
      </c>
      <c r="C778" s="2" t="s">
        <v>573</v>
      </c>
      <c r="D778" s="2" t="str">
        <f t="shared" si="11"/>
        <v>Error?</v>
      </c>
    </row>
    <row r="779" spans="1:4" x14ac:dyDescent="0.2">
      <c r="A779" s="5">
        <v>718</v>
      </c>
      <c r="B779" s="138">
        <f>'Expenditures 15-22'!D36</f>
        <v>11096</v>
      </c>
      <c r="D779" s="2" t="str">
        <f t="shared" si="11"/>
        <v>Error?</v>
      </c>
    </row>
    <row r="780" spans="1:4" x14ac:dyDescent="0.2">
      <c r="A780" s="5">
        <v>719</v>
      </c>
      <c r="B780" s="138">
        <f>'Expenditures 15-22'!D37</f>
        <v>6332</v>
      </c>
      <c r="D780" s="2" t="str">
        <f t="shared" si="11"/>
        <v>Error?</v>
      </c>
    </row>
    <row r="781" spans="1:4" x14ac:dyDescent="0.2">
      <c r="A781" s="5">
        <v>720</v>
      </c>
      <c r="B781" s="138">
        <f>'Expenditures 15-22'!D38</f>
        <v>8009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25437</v>
      </c>
      <c r="C785" s="2" t="s">
        <v>573</v>
      </c>
      <c r="D785" s="2" t="str">
        <f t="shared" si="11"/>
        <v>Error?</v>
      </c>
    </row>
    <row r="786" spans="1:4" x14ac:dyDescent="0.2">
      <c r="A786" s="5">
        <v>725</v>
      </c>
      <c r="B786" s="138">
        <f>'Expenditures 15-22'!D44</f>
        <v>58113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58113</v>
      </c>
      <c r="C789" s="2" t="s">
        <v>573</v>
      </c>
      <c r="D789" s="2" t="str">
        <f t="shared" si="11"/>
        <v>Error?</v>
      </c>
    </row>
    <row r="790" spans="1:4" x14ac:dyDescent="0.2">
      <c r="A790" s="5">
        <v>729</v>
      </c>
      <c r="B790" s="138">
        <f>'Expenditures 15-22'!D49</f>
        <v>18376</v>
      </c>
      <c r="D790" s="2" t="str">
        <f t="shared" si="11"/>
        <v>Error?</v>
      </c>
    </row>
    <row r="791" spans="1:4" x14ac:dyDescent="0.2">
      <c r="A791" s="5">
        <v>730</v>
      </c>
      <c r="B791" s="138">
        <f>'Expenditures 15-22'!D50</f>
        <v>20704</v>
      </c>
      <c r="D791" s="2" t="str">
        <f t="shared" si="11"/>
        <v>Error?</v>
      </c>
    </row>
    <row r="792" spans="1:4" x14ac:dyDescent="0.2">
      <c r="A792" s="5">
        <v>731</v>
      </c>
      <c r="B792" s="138">
        <f>'Expenditures 15-22'!D53</f>
        <v>39080</v>
      </c>
      <c r="C792" s="2" t="s">
        <v>573</v>
      </c>
      <c r="D792" s="2" t="str">
        <f t="shared" si="11"/>
        <v>Error?</v>
      </c>
    </row>
    <row r="793" spans="1:4" x14ac:dyDescent="0.2">
      <c r="A793" s="5">
        <v>732</v>
      </c>
      <c r="B793" s="138">
        <f>'Expenditures 15-22'!D55</f>
        <v>45872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45872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6928</v>
      </c>
      <c r="D797" s="2" t="str">
        <f t="shared" si="11"/>
        <v>Error?</v>
      </c>
    </row>
    <row r="798" spans="1:4" x14ac:dyDescent="0.2">
      <c r="A798" s="5">
        <v>737</v>
      </c>
      <c r="B798" s="138">
        <f>'Expenditures 15-22'!D61</f>
        <v>12527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13776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33231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184</v>
      </c>
      <c r="D812" s="2" t="str">
        <f t="shared" si="11"/>
        <v>Error?</v>
      </c>
    </row>
    <row r="813" spans="1:4" x14ac:dyDescent="0.2">
      <c r="A813" s="5">
        <v>752</v>
      </c>
      <c r="B813" s="138">
        <f>'Expenditures 15-22'!D74</f>
        <v>201917</v>
      </c>
      <c r="C813" s="2" t="s">
        <v>573</v>
      </c>
      <c r="D813" s="2" t="str">
        <f t="shared" si="11"/>
        <v>Error?</v>
      </c>
    </row>
    <row r="814" spans="1:4" x14ac:dyDescent="0.2">
      <c r="A814" s="5">
        <v>753</v>
      </c>
      <c r="B814" s="138">
        <f>'Expenditures 15-22'!D75</f>
        <v>9144</v>
      </c>
      <c r="D814" s="2" t="str">
        <f t="shared" si="11"/>
        <v>Error?</v>
      </c>
    </row>
    <row r="815" spans="1:4" x14ac:dyDescent="0.2">
      <c r="A815" s="5">
        <v>754</v>
      </c>
      <c r="B815" s="138">
        <f>'Expenditures 15-22'!D114</f>
        <v>557518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130397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687</v>
      </c>
      <c r="D833" s="2" t="str">
        <f t="shared" si="12"/>
        <v>Error?</v>
      </c>
    </row>
    <row r="834" spans="1:4" x14ac:dyDescent="0.2">
      <c r="A834" s="5">
        <v>773</v>
      </c>
      <c r="B834" s="138">
        <f>'Expenditures 15-22'!E14</f>
        <v>24718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176269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156</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156</v>
      </c>
      <c r="C843" s="2" t="s">
        <v>573</v>
      </c>
      <c r="D843" s="2" t="str">
        <f t="shared" si="12"/>
        <v>Error?</v>
      </c>
    </row>
    <row r="844" spans="1:4" x14ac:dyDescent="0.2">
      <c r="A844" s="5">
        <v>783</v>
      </c>
      <c r="B844" s="138">
        <f>'Expenditures 15-22'!E44</f>
        <v>118313</v>
      </c>
      <c r="D844" s="2" t="str">
        <f t="shared" si="12"/>
        <v>Error?</v>
      </c>
    </row>
    <row r="845" spans="1:4" x14ac:dyDescent="0.2">
      <c r="A845" s="5">
        <v>784</v>
      </c>
      <c r="B845" s="138">
        <f>'Expenditures 15-22'!E45</f>
        <v>44554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162867</v>
      </c>
      <c r="C847" s="2" t="s">
        <v>573</v>
      </c>
      <c r="D847" s="2" t="str">
        <f t="shared" si="12"/>
        <v>Error?</v>
      </c>
    </row>
    <row r="848" spans="1:4" x14ac:dyDescent="0.2">
      <c r="A848" s="5">
        <v>787</v>
      </c>
      <c r="B848" s="138">
        <f>'Expenditures 15-22'!E49</f>
        <v>101263</v>
      </c>
      <c r="D848" s="2" t="str">
        <f t="shared" si="12"/>
        <v>Error?</v>
      </c>
    </row>
    <row r="849" spans="1:4" x14ac:dyDescent="0.2">
      <c r="A849" s="5">
        <v>788</v>
      </c>
      <c r="B849" s="138">
        <f>'Expenditures 15-22'!E50</f>
        <v>11683</v>
      </c>
      <c r="D849" s="2" t="str">
        <f t="shared" si="12"/>
        <v>Error?</v>
      </c>
    </row>
    <row r="850" spans="1:4" x14ac:dyDescent="0.2">
      <c r="A850" s="5">
        <v>789</v>
      </c>
      <c r="B850" s="138">
        <f>'Expenditures 15-22'!E53</f>
        <v>112946</v>
      </c>
      <c r="C850" s="2" t="s">
        <v>573</v>
      </c>
      <c r="D850" s="2" t="str">
        <f t="shared" si="12"/>
        <v>Error?</v>
      </c>
    </row>
    <row r="851" spans="1:4" x14ac:dyDescent="0.2">
      <c r="A851" s="5">
        <v>790</v>
      </c>
      <c r="B851" s="138">
        <f>'Expenditures 15-22'!E55</f>
        <v>30084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30084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11979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5404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17383</v>
      </c>
      <c r="C861" s="2" t="s">
        <v>573</v>
      </c>
      <c r="D861" s="2" t="str">
        <f t="shared" si="12"/>
        <v>Error?</v>
      </c>
    </row>
    <row r="862" spans="1:4" x14ac:dyDescent="0.2">
      <c r="A862" s="5">
        <v>801</v>
      </c>
      <c r="B862" s="138">
        <f>'Expenditures 15-22'!E67</f>
        <v>125000</v>
      </c>
      <c r="D862" s="2" t="str">
        <f t="shared" si="12"/>
        <v>Error?</v>
      </c>
    </row>
    <row r="863" spans="1:4" x14ac:dyDescent="0.2">
      <c r="A863" s="5">
        <v>802</v>
      </c>
      <c r="B863" s="138">
        <f>'Expenditures 15-22'!E68</f>
        <v>2000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7759</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134759</v>
      </c>
      <c r="C869" s="2" t="s">
        <v>573</v>
      </c>
      <c r="D869" s="2" t="str">
        <f t="shared" si="12"/>
        <v>Error?</v>
      </c>
    </row>
    <row r="870" spans="1:4" x14ac:dyDescent="0.2">
      <c r="A870" s="5">
        <v>809</v>
      </c>
      <c r="B870" s="138">
        <f>'Expenditures 15-22'!E73</f>
        <v>3662</v>
      </c>
      <c r="D870" s="2" t="str">
        <f t="shared" si="12"/>
        <v>Error?</v>
      </c>
    </row>
    <row r="871" spans="1:4" x14ac:dyDescent="0.2">
      <c r="A871" s="5">
        <v>810</v>
      </c>
      <c r="B871" s="138">
        <f>'Expenditures 15-22'!E74</f>
        <v>461857</v>
      </c>
      <c r="C871" s="2" t="s">
        <v>573</v>
      </c>
      <c r="D871" s="2" t="str">
        <f t="shared" si="12"/>
        <v>Error?</v>
      </c>
    </row>
    <row r="872" spans="1:4" x14ac:dyDescent="0.2">
      <c r="A872" s="5">
        <v>811</v>
      </c>
      <c r="B872" s="138">
        <f>'Expenditures 15-22'!E75</f>
        <v>2774</v>
      </c>
      <c r="D872" s="2" t="str">
        <f t="shared" si="12"/>
        <v>Error?</v>
      </c>
    </row>
    <row r="873" spans="1:4" x14ac:dyDescent="0.2">
      <c r="A873" s="5">
        <v>812</v>
      </c>
      <c r="B873" s="138">
        <f>'Expenditures 15-22'!E114</f>
        <v>640900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208964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2461</v>
      </c>
      <c r="D891" s="2" t="str">
        <f t="shared" si="12"/>
        <v>Error?</v>
      </c>
    </row>
    <row r="892" spans="1:4" x14ac:dyDescent="0.2">
      <c r="A892" s="5">
        <v>831</v>
      </c>
      <c r="B892" s="138">
        <f>'Expenditures 15-22'!F14</f>
        <v>11557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252044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328</v>
      </c>
      <c r="D896" s="2" t="str">
        <f t="shared" si="13"/>
        <v>Error?</v>
      </c>
    </row>
    <row r="897" spans="1:4" x14ac:dyDescent="0.2">
      <c r="A897" s="5">
        <v>836</v>
      </c>
      <c r="B897" s="138">
        <f>'Expenditures 15-22'!F38</f>
        <v>97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425</v>
      </c>
      <c r="C901" s="2" t="s">
        <v>573</v>
      </c>
      <c r="D901" s="2" t="str">
        <f t="shared" si="13"/>
        <v>Error?</v>
      </c>
    </row>
    <row r="902" spans="1:4" x14ac:dyDescent="0.2">
      <c r="A902" s="5">
        <v>841</v>
      </c>
      <c r="B902" s="138">
        <f>'Expenditures 15-22'!F44</f>
        <v>30863</v>
      </c>
      <c r="D902" s="2" t="str">
        <f t="shared" si="13"/>
        <v>Error?</v>
      </c>
    </row>
    <row r="903" spans="1:4" x14ac:dyDescent="0.2">
      <c r="A903" s="5">
        <v>842</v>
      </c>
      <c r="B903" s="138">
        <f>'Expenditures 15-22'!F45</f>
        <v>2806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33669</v>
      </c>
      <c r="C905" s="2" t="s">
        <v>573</v>
      </c>
      <c r="D905" s="2" t="str">
        <f t="shared" si="13"/>
        <v>Error?</v>
      </c>
    </row>
    <row r="906" spans="1:4" x14ac:dyDescent="0.2">
      <c r="A906" s="5">
        <v>845</v>
      </c>
      <c r="B906" s="138">
        <f>'Expenditures 15-22'!F49</f>
        <v>5026</v>
      </c>
      <c r="D906" s="2" t="str">
        <f t="shared" si="13"/>
        <v>Error?</v>
      </c>
    </row>
    <row r="907" spans="1:4" x14ac:dyDescent="0.2">
      <c r="A907" s="5">
        <v>846</v>
      </c>
      <c r="B907" s="138">
        <f>'Expenditures 15-22'!F50</f>
        <v>676</v>
      </c>
      <c r="D907" s="2" t="str">
        <f t="shared" si="13"/>
        <v>Error?</v>
      </c>
    </row>
    <row r="908" spans="1:4" x14ac:dyDescent="0.2">
      <c r="A908" s="5">
        <v>847</v>
      </c>
      <c r="B908" s="138">
        <f>'Expenditures 15-22'!F53</f>
        <v>5702</v>
      </c>
      <c r="C908" s="2" t="s">
        <v>573</v>
      </c>
      <c r="D908" s="2" t="str">
        <f t="shared" si="13"/>
        <v>Error?</v>
      </c>
    </row>
    <row r="909" spans="1:4" x14ac:dyDescent="0.2">
      <c r="A909" s="5">
        <v>848</v>
      </c>
      <c r="B909" s="138">
        <f>'Expenditures 15-22'!F55</f>
        <v>40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231131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231131</v>
      </c>
      <c r="C919" s="2" t="s">
        <v>573</v>
      </c>
      <c r="D919" s="2" t="str">
        <f t="shared" si="13"/>
        <v>Error?</v>
      </c>
    </row>
    <row r="920" spans="1:4" x14ac:dyDescent="0.2">
      <c r="A920" s="5">
        <v>859</v>
      </c>
      <c r="B920" s="138">
        <f>'Expenditures 15-22'!F67</f>
        <v>1192</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1192</v>
      </c>
      <c r="C927" s="2" t="s">
        <v>573</v>
      </c>
      <c r="D927" s="2" t="str">
        <f t="shared" si="13"/>
        <v>Error?</v>
      </c>
    </row>
    <row r="928" spans="1:4" x14ac:dyDescent="0.2">
      <c r="A928" s="5">
        <v>867</v>
      </c>
      <c r="B928" s="138">
        <f>'Expenditures 15-22'!F73</f>
        <v>465</v>
      </c>
      <c r="D928" s="2" t="str">
        <f t="shared" si="13"/>
        <v>Error?</v>
      </c>
    </row>
    <row r="929" spans="1:4" x14ac:dyDescent="0.2">
      <c r="A929" s="5">
        <v>868</v>
      </c>
      <c r="B929" s="138">
        <f>'Expenditures 15-22'!F74</f>
        <v>272624</v>
      </c>
      <c r="C929" s="2" t="s">
        <v>573</v>
      </c>
      <c r="D929" s="2" t="str">
        <f t="shared" si="13"/>
        <v>Error?</v>
      </c>
    </row>
    <row r="930" spans="1:4" x14ac:dyDescent="0.2">
      <c r="A930" s="5">
        <v>869</v>
      </c>
      <c r="B930" s="138">
        <f>'Expenditures 15-22'!F75</f>
        <v>17363</v>
      </c>
      <c r="D930" s="2" t="str">
        <f t="shared" si="13"/>
        <v>Error?</v>
      </c>
    </row>
    <row r="931" spans="1:4" x14ac:dyDescent="0.2">
      <c r="A931" s="5">
        <v>870</v>
      </c>
      <c r="B931" s="138">
        <f>'Expenditures 15-22'!F114</f>
        <v>542031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33630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33630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3348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3348</v>
      </c>
      <c r="C963" s="2" t="s">
        <v>573</v>
      </c>
      <c r="D963" s="2" t="str">
        <f t="shared" si="14"/>
        <v>Error?</v>
      </c>
    </row>
    <row r="964" spans="1:4" x14ac:dyDescent="0.2">
      <c r="A964" s="5">
        <v>903</v>
      </c>
      <c r="B964" s="138">
        <f>'Expenditures 15-22'!G49</f>
        <v>690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690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13678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13678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17716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51346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2048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2153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10189</v>
      </c>
      <c r="D1022" s="2" t="str">
        <f t="shared" si="14"/>
        <v>Error?</v>
      </c>
    </row>
    <row r="1023" spans="1:4" x14ac:dyDescent="0.2">
      <c r="A1023" s="5">
        <v>962</v>
      </c>
      <c r="B1023" s="138">
        <f>'Expenditures 15-22'!H50</f>
        <v>2455</v>
      </c>
      <c r="D1023" s="2" t="str">
        <f t="shared" ref="D1023:D1086" si="15">IF(ISBLANK(B1023),"OK",IF(A1023-B1023=0,"OK","Error?"))</f>
        <v>Error?</v>
      </c>
    </row>
    <row r="1024" spans="1:4" x14ac:dyDescent="0.2">
      <c r="A1024" s="5">
        <v>963</v>
      </c>
      <c r="B1024" s="138">
        <f>'Expenditures 15-22'!H53</f>
        <v>12644</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325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155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480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13124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224614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239891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1788890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92724</v>
      </c>
      <c r="C1105" s="2" t="s">
        <v>573</v>
      </c>
      <c r="D1105" s="2" t="str">
        <f t="shared" si="16"/>
        <v>Error?</v>
      </c>
    </row>
    <row r="1106" spans="1:4" x14ac:dyDescent="0.2">
      <c r="A1106" s="5">
        <v>1045</v>
      </c>
      <c r="B1106" s="138">
        <f>'Expenditures 15-22'!K14</f>
        <v>126766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2595738</v>
      </c>
      <c r="C1108" s="2" t="s">
        <v>573</v>
      </c>
      <c r="D1108" s="2" t="str">
        <f t="shared" si="16"/>
        <v>Error?</v>
      </c>
    </row>
    <row r="1109" spans="1:4" x14ac:dyDescent="0.2">
      <c r="A1109" s="5">
        <v>1048</v>
      </c>
      <c r="B1109" s="138">
        <f>'Expenditures 15-22'!K36</f>
        <v>80000</v>
      </c>
      <c r="C1109" s="2" t="s">
        <v>573</v>
      </c>
      <c r="D1109" s="2" t="str">
        <f t="shared" si="16"/>
        <v>Error?</v>
      </c>
    </row>
    <row r="1110" spans="1:4" x14ac:dyDescent="0.2">
      <c r="A1110" s="5">
        <v>1049</v>
      </c>
      <c r="B1110" s="138">
        <f>'Expenditures 15-22'!K37</f>
        <v>121015</v>
      </c>
      <c r="C1110" s="2" t="s">
        <v>573</v>
      </c>
      <c r="D1110" s="2" t="str">
        <f t="shared" si="16"/>
        <v>Error?</v>
      </c>
    </row>
    <row r="1111" spans="1:4" x14ac:dyDescent="0.2">
      <c r="A1111" s="5">
        <v>1050</v>
      </c>
      <c r="B1111" s="138">
        <f>'Expenditures 15-22'!K38</f>
        <v>66750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267765</v>
      </c>
      <c r="C1115" s="2" t="s">
        <v>573</v>
      </c>
      <c r="D1115" s="2" t="str">
        <f t="shared" si="16"/>
        <v>Error?</v>
      </c>
    </row>
    <row r="1116" spans="1:4" x14ac:dyDescent="0.2">
      <c r="A1116" s="5">
        <v>1055</v>
      </c>
      <c r="B1116" s="138">
        <f>'Expenditures 15-22'!K44</f>
        <v>476474</v>
      </c>
      <c r="C1116" s="2" t="s">
        <v>573</v>
      </c>
      <c r="D1116" s="2" t="str">
        <f t="shared" si="16"/>
        <v>Error?</v>
      </c>
    </row>
    <row r="1117" spans="1:4" x14ac:dyDescent="0.2">
      <c r="A1117" s="5">
        <v>1056</v>
      </c>
      <c r="B1117" s="138">
        <f>'Expenditures 15-22'!K45</f>
        <v>50708</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527182</v>
      </c>
      <c r="C1119" s="2" t="s">
        <v>573</v>
      </c>
      <c r="D1119" s="2" t="str">
        <f t="shared" si="16"/>
        <v>Error?</v>
      </c>
    </row>
    <row r="1120" spans="1:4" x14ac:dyDescent="0.2">
      <c r="A1120" s="5">
        <v>1059</v>
      </c>
      <c r="B1120" s="138">
        <f>'Expenditures 15-22'!K49</f>
        <v>153987</v>
      </c>
      <c r="C1120" s="2" t="s">
        <v>573</v>
      </c>
      <c r="D1120" s="2" t="str">
        <f t="shared" si="16"/>
        <v>Error?</v>
      </c>
    </row>
    <row r="1121" spans="1:4" x14ac:dyDescent="0.2">
      <c r="A1121" s="5">
        <v>1060</v>
      </c>
      <c r="B1121" s="138">
        <f>'Expenditures 15-22'!K50</f>
        <v>186347</v>
      </c>
      <c r="C1121" s="2" t="s">
        <v>573</v>
      </c>
      <c r="D1121" s="2" t="str">
        <f t="shared" si="16"/>
        <v>Error?</v>
      </c>
    </row>
    <row r="1122" spans="1:4" x14ac:dyDescent="0.2">
      <c r="A1122" s="5">
        <v>1061</v>
      </c>
      <c r="B1122" s="138">
        <f>'Expenditures 15-22'!K53</f>
        <v>340334</v>
      </c>
      <c r="C1122" s="2" t="s">
        <v>573</v>
      </c>
      <c r="D1122" s="2" t="str">
        <f t="shared" si="16"/>
        <v>Error?</v>
      </c>
    </row>
    <row r="1123" spans="1:4" x14ac:dyDescent="0.2">
      <c r="A1123" s="5">
        <v>1062</v>
      </c>
      <c r="B1123" s="138">
        <f>'Expenditures 15-22'!K55</f>
        <v>316816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316816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62710</v>
      </c>
      <c r="C1127" s="2" t="s">
        <v>573</v>
      </c>
      <c r="D1127" s="2" t="str">
        <f t="shared" si="16"/>
        <v>Error?</v>
      </c>
    </row>
    <row r="1128" spans="1:4" x14ac:dyDescent="0.2">
      <c r="A1128" s="5">
        <v>1067</v>
      </c>
      <c r="B1128" s="138">
        <f>'Expenditures 15-22'!K61</f>
        <v>213493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364291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640494</v>
      </c>
      <c r="C1133" s="2" t="s">
        <v>573</v>
      </c>
      <c r="D1133" s="2" t="str">
        <f t="shared" si="16"/>
        <v>Error?</v>
      </c>
    </row>
    <row r="1134" spans="1:4" x14ac:dyDescent="0.2">
      <c r="A1134" s="5">
        <v>1073</v>
      </c>
      <c r="B1134" s="138">
        <f>'Expenditures 15-22'!K67</f>
        <v>126192</v>
      </c>
      <c r="C1134" s="2" t="s">
        <v>573</v>
      </c>
      <c r="D1134" s="2" t="str">
        <f t="shared" si="16"/>
        <v>Error?</v>
      </c>
    </row>
    <row r="1135" spans="1:4" x14ac:dyDescent="0.2">
      <c r="A1135" s="5">
        <v>1074</v>
      </c>
      <c r="B1135" s="138">
        <f>'Expenditures 15-22'!K68</f>
        <v>2000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7759</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135951</v>
      </c>
      <c r="C1141" s="2" t="s">
        <v>573</v>
      </c>
      <c r="D1141" s="2" t="str">
        <f t="shared" si="16"/>
        <v>Error?</v>
      </c>
    </row>
    <row r="1142" spans="1:4" x14ac:dyDescent="0.2">
      <c r="A1142" s="5">
        <v>1081</v>
      </c>
      <c r="B1142" s="138">
        <f>'Expenditures 15-22'!K73</f>
        <v>17017</v>
      </c>
      <c r="C1142" s="2" t="s">
        <v>573</v>
      </c>
      <c r="D1142" s="2" t="str">
        <f t="shared" si="16"/>
        <v>Error?</v>
      </c>
    </row>
    <row r="1143" spans="1:4" x14ac:dyDescent="0.2">
      <c r="A1143" s="5">
        <v>1082</v>
      </c>
      <c r="B1143" s="138">
        <f>'Expenditures 15-22'!K74</f>
        <v>2245559</v>
      </c>
      <c r="C1143" s="2" t="s">
        <v>573</v>
      </c>
      <c r="D1143" s="2" t="str">
        <f t="shared" si="16"/>
        <v>Error?</v>
      </c>
    </row>
    <row r="1144" spans="1:4" x14ac:dyDescent="0.2">
      <c r="A1144" s="5">
        <v>1083</v>
      </c>
      <c r="B1144" s="138">
        <f>'Expenditures 15-22'!K75</f>
        <v>71152</v>
      </c>
      <c r="C1144" s="2" t="s">
        <v>573</v>
      </c>
      <c r="D1144" s="2" t="str">
        <f t="shared" si="16"/>
        <v>Error?</v>
      </c>
    </row>
    <row r="1145" spans="1:4" x14ac:dyDescent="0.2">
      <c r="A1145" s="5">
        <v>1084</v>
      </c>
      <c r="B1145" s="138">
        <f>'Expenditures 15-22'!K102</f>
        <v>224614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5137063</v>
      </c>
      <c r="C1152" s="2" t="s">
        <v>573</v>
      </c>
      <c r="D1152" s="2" t="str">
        <f t="shared" si="17"/>
        <v>Error?</v>
      </c>
    </row>
    <row r="1153" spans="1:4" x14ac:dyDescent="0.2">
      <c r="A1153" s="5">
        <v>1092</v>
      </c>
      <c r="B1153" s="138">
        <f>'Expenditures 15-22'!K115</f>
        <v>1187531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138892</v>
      </c>
      <c r="D1237" s="2" t="str">
        <f t="shared" si="18"/>
        <v>Error?</v>
      </c>
    </row>
    <row r="1238" spans="1:4" x14ac:dyDescent="0.2">
      <c r="A1238" s="10">
        <v>1177</v>
      </c>
      <c r="D1238" s="2" t="str">
        <f t="shared" si="18"/>
        <v>OK</v>
      </c>
    </row>
    <row r="1239" spans="1:4" x14ac:dyDescent="0.2">
      <c r="A1239" s="5">
        <v>1178</v>
      </c>
      <c r="B1239" s="138">
        <f>'Expenditures 15-22'!E127</f>
        <v>138892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138892</v>
      </c>
      <c r="C1241" s="2" t="s">
        <v>573</v>
      </c>
      <c r="D1241" s="2" t="str">
        <f t="shared" si="18"/>
        <v>Error?</v>
      </c>
    </row>
    <row r="1242" spans="1:4" x14ac:dyDescent="0.2">
      <c r="A1242" s="5">
        <v>1181</v>
      </c>
      <c r="B1242" s="138">
        <f>'Expenditures 15-22'!E151</f>
        <v>138892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175140</v>
      </c>
      <c r="D1245" s="2" t="str">
        <f t="shared" si="18"/>
        <v>Error?</v>
      </c>
    </row>
    <row r="1246" spans="1:4" x14ac:dyDescent="0.2">
      <c r="A1246" s="10">
        <v>1185</v>
      </c>
      <c r="D1246" s="2" t="str">
        <f t="shared" si="18"/>
        <v>OK</v>
      </c>
    </row>
    <row r="1247" spans="1:4" x14ac:dyDescent="0.2">
      <c r="A1247" s="5">
        <v>1186</v>
      </c>
      <c r="B1247" s="138">
        <f>'Expenditures 15-22'!F127</f>
        <v>175140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175140</v>
      </c>
      <c r="C1249" s="2" t="s">
        <v>573</v>
      </c>
      <c r="D1249" s="2" t="str">
        <f t="shared" si="18"/>
        <v>Error?</v>
      </c>
    </row>
    <row r="1250" spans="1:4" x14ac:dyDescent="0.2">
      <c r="A1250" s="5">
        <v>1189</v>
      </c>
      <c r="B1250" s="138">
        <f>'Expenditures 15-22'!F151</f>
        <v>175140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19478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19478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19478</v>
      </c>
      <c r="C1258" s="2" t="s">
        <v>573</v>
      </c>
      <c r="D1258" s="2" t="str">
        <f t="shared" si="18"/>
        <v>Error?</v>
      </c>
    </row>
    <row r="1259" spans="1:4" x14ac:dyDescent="0.2">
      <c r="A1259" s="5">
        <v>1198</v>
      </c>
      <c r="B1259" s="138">
        <f>'Expenditures 15-22'!G151</f>
        <v>19478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6000</v>
      </c>
      <c r="D1262" s="2" t="str">
        <f t="shared" si="18"/>
        <v>Error?</v>
      </c>
    </row>
    <row r="1263" spans="1:4" x14ac:dyDescent="0.2">
      <c r="A1263" s="10">
        <v>1202</v>
      </c>
      <c r="D1263" s="2" t="str">
        <f t="shared" si="18"/>
        <v>OK</v>
      </c>
    </row>
    <row r="1264" spans="1:4" x14ac:dyDescent="0.2">
      <c r="A1264" s="5">
        <v>1203</v>
      </c>
      <c r="B1264" s="138">
        <f>'Expenditures 15-22'!H127</f>
        <v>6000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6000</v>
      </c>
      <c r="C1266" s="2" t="s">
        <v>573</v>
      </c>
      <c r="D1266" s="2" t="str">
        <f t="shared" si="18"/>
        <v>Error?</v>
      </c>
    </row>
    <row r="1267" spans="1:4" x14ac:dyDescent="0.2">
      <c r="A1267" s="5">
        <v>1206</v>
      </c>
      <c r="B1267" s="138">
        <f>'Expenditures 15-22'!H139</f>
        <v>95</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6095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339510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339510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339510</v>
      </c>
      <c r="C1281" s="2" t="s">
        <v>573</v>
      </c>
      <c r="D1281" s="2" t="str">
        <f t="shared" si="19"/>
        <v>Error?</v>
      </c>
    </row>
    <row r="1282" spans="1:4" x14ac:dyDescent="0.2">
      <c r="A1282" s="5">
        <v>1221</v>
      </c>
      <c r="B1282" s="138">
        <f>'Expenditures 15-22'!K139</f>
        <v>95</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339605</v>
      </c>
      <c r="C1288" s="2" t="s">
        <v>573</v>
      </c>
      <c r="D1288" s="2" t="str">
        <f t="shared" si="19"/>
        <v>Error?</v>
      </c>
    </row>
    <row r="1289" spans="1:4" x14ac:dyDescent="0.2">
      <c r="A1289" s="5">
        <v>1228</v>
      </c>
      <c r="B1289" s="138">
        <f>'Expenditures 15-22'!K152</f>
        <v>-27444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98971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180858</v>
      </c>
      <c r="D1315" s="2" t="str">
        <f t="shared" si="19"/>
        <v>Error?</v>
      </c>
    </row>
    <row r="1316" spans="1:4" x14ac:dyDescent="0.2">
      <c r="A1316" s="5">
        <v>1255</v>
      </c>
      <c r="B1316" s="138">
        <f>'Expenditures 15-22'!H171</f>
        <v>92803</v>
      </c>
      <c r="D1316" s="2" t="str">
        <f t="shared" si="19"/>
        <v>Error?</v>
      </c>
    </row>
    <row r="1317" spans="1:4" x14ac:dyDescent="0.2">
      <c r="A1317" s="5">
        <v>1256</v>
      </c>
      <c r="B1317" s="138">
        <f>'Expenditures 15-22'!H172</f>
        <v>372632</v>
      </c>
      <c r="C1317" s="2" t="s">
        <v>573</v>
      </c>
      <c r="D1317" s="2" t="str">
        <f t="shared" si="19"/>
        <v>Error?</v>
      </c>
    </row>
    <row r="1318" spans="1:4" x14ac:dyDescent="0.2">
      <c r="A1318" s="5">
        <v>1257</v>
      </c>
      <c r="B1318" s="138">
        <f>'Expenditures 15-22'!H174</f>
        <v>372632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98971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180858</v>
      </c>
      <c r="C1329" s="2" t="s">
        <v>573</v>
      </c>
      <c r="D1329" s="2" t="str">
        <f t="shared" si="19"/>
        <v>Error?</v>
      </c>
    </row>
    <row r="1330" spans="1:4" x14ac:dyDescent="0.2">
      <c r="A1330" s="5">
        <v>1269</v>
      </c>
      <c r="B1330" s="138">
        <f>'Expenditures 15-22'!K171</f>
        <v>92803</v>
      </c>
      <c r="C1330" s="2" t="s">
        <v>573</v>
      </c>
      <c r="D1330" s="2" t="str">
        <f t="shared" si="19"/>
        <v>Error?</v>
      </c>
    </row>
    <row r="1331" spans="1:4" x14ac:dyDescent="0.2">
      <c r="A1331" s="5">
        <v>1270</v>
      </c>
      <c r="B1331" s="138">
        <f>'Expenditures 15-22'!K172</f>
        <v>372632</v>
      </c>
      <c r="C1331" s="2" t="s">
        <v>573</v>
      </c>
      <c r="D1331" s="2" t="str">
        <f t="shared" si="19"/>
        <v>Error?</v>
      </c>
    </row>
    <row r="1332" spans="1:4" x14ac:dyDescent="0.2">
      <c r="A1332" s="5">
        <v>1271</v>
      </c>
      <c r="B1332" s="138">
        <f>'Expenditures 15-22'!K174</f>
        <v>372632</v>
      </c>
      <c r="C1332" s="2" t="s">
        <v>573</v>
      </c>
      <c r="D1332" s="2" t="str">
        <f t="shared" si="19"/>
        <v>Error?</v>
      </c>
    </row>
    <row r="1333" spans="1:4" x14ac:dyDescent="0.2">
      <c r="A1333" s="5">
        <v>1272</v>
      </c>
      <c r="B1333" s="138">
        <f>'Expenditures 15-22'!K175</f>
        <v>-98418</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519080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519080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519080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519080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519080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519080</v>
      </c>
      <c r="C1388" s="2" t="s">
        <v>573</v>
      </c>
      <c r="D1388" s="2" t="str">
        <f t="shared" si="20"/>
        <v>Error?</v>
      </c>
    </row>
    <row r="1389" spans="1:4" x14ac:dyDescent="0.2">
      <c r="A1389" s="5">
        <v>1328</v>
      </c>
      <c r="B1389" s="138">
        <f>'Expenditures 15-22'!K211</f>
        <v>163449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806</v>
      </c>
      <c r="D1407" s="2" t="str">
        <f t="shared" ref="D1407:D1470" si="21">IF(ISBLANK(B1407),"OK",IF(A1407-B1407=0,"OK","Error?"))</f>
        <v>Error?</v>
      </c>
    </row>
    <row r="1408" spans="1:4" x14ac:dyDescent="0.2">
      <c r="A1408" s="5">
        <v>1347</v>
      </c>
      <c r="B1408" s="138">
        <f>'Expenditures 15-22'!D223</f>
        <v>8793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55655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8979</v>
      </c>
      <c r="D1412" s="2" t="str">
        <f t="shared" si="21"/>
        <v>Error?</v>
      </c>
    </row>
    <row r="1413" spans="1:4" x14ac:dyDescent="0.2">
      <c r="A1413" s="5">
        <v>1352</v>
      </c>
      <c r="B1413" s="138">
        <f>'Expenditures 15-22'!D234</f>
        <v>833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9812</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4342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4342</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4038</v>
      </c>
      <c r="D1423" s="2" t="str">
        <f t="shared" si="21"/>
        <v>Error?</v>
      </c>
    </row>
    <row r="1424" spans="1:4" x14ac:dyDescent="0.2">
      <c r="A1424" s="5">
        <v>1363</v>
      </c>
      <c r="B1424" s="138">
        <f>'Expenditures 15-22'!D257</f>
        <v>4038</v>
      </c>
      <c r="C1424" s="2" t="s">
        <v>573</v>
      </c>
      <c r="D1424" s="2" t="str">
        <f t="shared" si="21"/>
        <v>Error?</v>
      </c>
    </row>
    <row r="1425" spans="1:4" x14ac:dyDescent="0.2">
      <c r="A1425" s="5">
        <v>1364</v>
      </c>
      <c r="B1425" s="138">
        <f>'Expenditures 15-22'!D259</f>
        <v>15220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15220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9569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36121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17776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63466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96878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152533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806</v>
      </c>
      <c r="C1471" s="2" t="s">
        <v>573</v>
      </c>
      <c r="D1471" s="2" t="str">
        <f t="shared" ref="D1471:D1534" si="22">IF(ISBLANK(B1471),"OK",IF(A1471-B1471=0,"OK","Error?"))</f>
        <v>Error?</v>
      </c>
    </row>
    <row r="1472" spans="1:4" x14ac:dyDescent="0.2">
      <c r="A1472" s="5">
        <v>1411</v>
      </c>
      <c r="B1472" s="138">
        <f>'Expenditures 15-22'!K223</f>
        <v>8793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55655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8979</v>
      </c>
      <c r="C1476" s="2" t="s">
        <v>573</v>
      </c>
      <c r="D1476" s="2" t="str">
        <f t="shared" si="22"/>
        <v>Error?</v>
      </c>
    </row>
    <row r="1477" spans="1:4" x14ac:dyDescent="0.2">
      <c r="A1477" s="5">
        <v>1416</v>
      </c>
      <c r="B1477" s="138">
        <f>'Expenditures 15-22'!K234</f>
        <v>833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9812</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4342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4342</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4038</v>
      </c>
      <c r="C1487" s="2" t="s">
        <v>573</v>
      </c>
      <c r="D1487" s="2" t="str">
        <f t="shared" si="22"/>
        <v>Error?</v>
      </c>
    </row>
    <row r="1488" spans="1:4" x14ac:dyDescent="0.2">
      <c r="A1488" s="5">
        <v>1427</v>
      </c>
      <c r="B1488" s="138">
        <f>'Expenditures 15-22'!K257</f>
        <v>4038</v>
      </c>
      <c r="C1488" s="2" t="s">
        <v>573</v>
      </c>
      <c r="D1488" s="2" t="str">
        <f t="shared" si="22"/>
        <v>Error?</v>
      </c>
    </row>
    <row r="1489" spans="1:4" x14ac:dyDescent="0.2">
      <c r="A1489" s="5">
        <v>1428</v>
      </c>
      <c r="B1489" s="138">
        <f>'Expenditures 15-22'!K259</f>
        <v>15220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15220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9569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36121</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17776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63466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96878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152533</v>
      </c>
      <c r="C1517" s="2" t="s">
        <v>573</v>
      </c>
      <c r="D1517" s="2" t="str">
        <f t="shared" si="22"/>
        <v>Error?</v>
      </c>
    </row>
    <row r="1518" spans="1:4" x14ac:dyDescent="0.2">
      <c r="A1518" s="5">
        <v>1457</v>
      </c>
      <c r="B1518" s="138">
        <f>'Expenditures 15-22'!K296</f>
        <v>42486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13222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13222</v>
      </c>
      <c r="C1547" s="2" t="s">
        <v>573</v>
      </c>
      <c r="D1547" s="2" t="str">
        <f t="shared" si="23"/>
        <v>Error?</v>
      </c>
    </row>
    <row r="1548" spans="1:4" x14ac:dyDescent="0.2">
      <c r="A1548" s="5">
        <v>1487</v>
      </c>
      <c r="B1548" s="138">
        <f>'Expenditures 15-22'!G312</f>
        <v>13222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13222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13222</v>
      </c>
      <c r="C1559" s="2" t="s">
        <v>573</v>
      </c>
      <c r="D1559" s="2" t="str">
        <f t="shared" si="23"/>
        <v>Error?</v>
      </c>
    </row>
    <row r="1560" spans="1:4" x14ac:dyDescent="0.2">
      <c r="A1560" s="5">
        <v>1499</v>
      </c>
      <c r="B1560" s="138">
        <f>'Expenditures 15-22'!K312</f>
        <v>13222</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2252851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3432340</v>
      </c>
      <c r="C1630" s="2" t="s">
        <v>573</v>
      </c>
      <c r="D1630" s="2" t="str">
        <f t="shared" si="24"/>
        <v>Error?</v>
      </c>
    </row>
    <row r="1631" spans="1:4" x14ac:dyDescent="0.2">
      <c r="A1631" s="5">
        <v>1570</v>
      </c>
      <c r="B1631" s="138">
        <f>'Acct Summary 7-8'!D79</f>
        <v>269447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348779</v>
      </c>
      <c r="C1644" s="2" t="s">
        <v>573</v>
      </c>
      <c r="D1644" s="2" t="str">
        <f t="shared" si="24"/>
        <v>Error?</v>
      </c>
    </row>
    <row r="1645" spans="1:4" x14ac:dyDescent="0.2">
      <c r="A1645" s="5">
        <v>1584</v>
      </c>
      <c r="B1645" s="138">
        <f>'Acct Summary 7-8'!E79</f>
        <v>189723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197275</v>
      </c>
      <c r="C1658" s="2" t="s">
        <v>573</v>
      </c>
      <c r="D1658" s="2" t="str">
        <f t="shared" si="24"/>
        <v>Error?</v>
      </c>
    </row>
    <row r="1659" spans="1:4" x14ac:dyDescent="0.2">
      <c r="A1659" s="5">
        <v>1598</v>
      </c>
      <c r="B1659" s="138">
        <f>'Acct Summary 7-8'!F79</f>
        <v>170175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333624</v>
      </c>
      <c r="C1672" s="2" t="s">
        <v>573</v>
      </c>
      <c r="D1672" s="2" t="str">
        <f t="shared" si="25"/>
        <v>Error?</v>
      </c>
    </row>
    <row r="1673" spans="1:4" x14ac:dyDescent="0.2">
      <c r="A1673" s="5">
        <v>1612</v>
      </c>
      <c r="B1673" s="138">
        <f>'Acct Summary 7-8'!G79</f>
        <v>109891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152377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464759</v>
      </c>
      <c r="C1744" s="2" t="s">
        <v>573</v>
      </c>
      <c r="D1744" s="2" t="str">
        <f t="shared" si="26"/>
        <v>Error?</v>
      </c>
    </row>
    <row r="1745" spans="1:5" x14ac:dyDescent="0.2">
      <c r="A1745" s="5">
        <v>1684</v>
      </c>
      <c r="B1745" s="138">
        <f>'Tax Sched 23'!B5</f>
        <v>116191</v>
      </c>
      <c r="C1745" s="2" t="s">
        <v>573</v>
      </c>
      <c r="D1745" s="2" t="str">
        <f t="shared" si="26"/>
        <v>Error?</v>
      </c>
    </row>
    <row r="1746" spans="1:5" x14ac:dyDescent="0.2">
      <c r="A1746" s="5">
        <v>1685</v>
      </c>
      <c r="B1746" s="138">
        <f>'Tax Sched 23'!B6</f>
        <v>178323</v>
      </c>
      <c r="C1746" s="2" t="s">
        <v>573</v>
      </c>
      <c r="D1746" s="2" t="str">
        <f t="shared" si="26"/>
        <v>Error?</v>
      </c>
    </row>
    <row r="1747" spans="1:5" x14ac:dyDescent="0.2">
      <c r="A1747" s="5">
        <v>1686</v>
      </c>
      <c r="B1747" s="138">
        <f>'Tax Sched 23'!B7</f>
        <v>46477</v>
      </c>
      <c r="C1747" s="2" t="s">
        <v>573</v>
      </c>
      <c r="D1747" s="2" t="str">
        <f t="shared" si="26"/>
        <v>Error?</v>
      </c>
    </row>
    <row r="1748" spans="1:5" x14ac:dyDescent="0.2">
      <c r="A1748" s="5">
        <v>1687</v>
      </c>
      <c r="B1748" s="138">
        <f>'Tax Sched 23'!B8</f>
        <v>96756</v>
      </c>
      <c r="C1748" s="2" t="s">
        <v>573</v>
      </c>
      <c r="D1748" s="2" t="str">
        <f t="shared" si="26"/>
        <v>Error?</v>
      </c>
    </row>
    <row r="1749" spans="1:5" x14ac:dyDescent="0.2">
      <c r="A1749" s="5">
        <v>1688</v>
      </c>
      <c r="B1749" s="138">
        <f>'Tax Sched 23'!B10</f>
        <v>11622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21575</v>
      </c>
      <c r="C1752" s="2" t="s">
        <v>573</v>
      </c>
      <c r="D1752" s="2" t="str">
        <f t="shared" si="26"/>
        <v>Error?</v>
      </c>
    </row>
    <row r="1753" spans="1:5" x14ac:dyDescent="0.2">
      <c r="A1753" s="5">
        <v>1692</v>
      </c>
      <c r="B1753" s="138">
        <f>'Tax Sched 23'!B12</f>
        <v>3523</v>
      </c>
      <c r="C1753" s="2" t="s">
        <v>573</v>
      </c>
      <c r="D1753" s="2" t="str">
        <f t="shared" si="26"/>
        <v>Error?</v>
      </c>
    </row>
    <row r="1754" spans="1:5" x14ac:dyDescent="0.2">
      <c r="A1754" s="5">
        <v>1693</v>
      </c>
      <c r="B1754" s="138">
        <f>'Tax Sched 23'!B14</f>
        <v>75422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1026270</v>
      </c>
      <c r="C1759" s="2" t="s">
        <v>573</v>
      </c>
      <c r="D1759" s="2" t="str">
        <f t="shared" si="26"/>
        <v>Error?</v>
      </c>
    </row>
    <row r="1760" spans="1:5" x14ac:dyDescent="0.2">
      <c r="A1760" s="5">
        <v>1699</v>
      </c>
      <c r="B1760" s="138">
        <f>'Tax Sched 23'!D4</f>
        <v>464759</v>
      </c>
      <c r="C1760" s="2" t="s">
        <v>573</v>
      </c>
      <c r="D1760" s="2" t="str">
        <f t="shared" si="26"/>
        <v>Error?</v>
      </c>
    </row>
    <row r="1761" spans="1:5" x14ac:dyDescent="0.2">
      <c r="A1761" s="5">
        <v>1700</v>
      </c>
      <c r="B1761" s="138">
        <f>'Tax Sched 23'!D5</f>
        <v>116191</v>
      </c>
      <c r="C1761" s="2" t="s">
        <v>573</v>
      </c>
      <c r="D1761" s="2" t="str">
        <f t="shared" si="26"/>
        <v>Error?</v>
      </c>
    </row>
    <row r="1762" spans="1:5" s="8" customFormat="1" x14ac:dyDescent="0.2">
      <c r="A1762" s="5">
        <v>1701</v>
      </c>
      <c r="B1762" s="138">
        <f>'Tax Sched 23'!D6</f>
        <v>178323</v>
      </c>
      <c r="C1762" s="2" t="s">
        <v>573</v>
      </c>
      <c r="D1762" s="2" t="str">
        <f t="shared" si="26"/>
        <v>Error?</v>
      </c>
      <c r="E1762" s="9"/>
    </row>
    <row r="1763" spans="1:5" x14ac:dyDescent="0.2">
      <c r="A1763" s="5">
        <v>1702</v>
      </c>
      <c r="B1763" s="138">
        <f>'Tax Sched 23'!D7</f>
        <v>46477</v>
      </c>
      <c r="C1763" s="2" t="s">
        <v>573</v>
      </c>
      <c r="D1763" s="2" t="str">
        <f t="shared" si="26"/>
        <v>Error?</v>
      </c>
    </row>
    <row r="1764" spans="1:5" x14ac:dyDescent="0.2">
      <c r="A1764" s="5">
        <v>1703</v>
      </c>
      <c r="B1764" s="138">
        <f>'Tax Sched 23'!D8</f>
        <v>96756</v>
      </c>
      <c r="C1764" s="2" t="s">
        <v>573</v>
      </c>
      <c r="D1764" s="2" t="str">
        <f t="shared" si="26"/>
        <v>Error?</v>
      </c>
    </row>
    <row r="1765" spans="1:5" x14ac:dyDescent="0.2">
      <c r="A1765" s="5">
        <v>1704</v>
      </c>
      <c r="B1765" s="138">
        <f>'Tax Sched 23'!D10</f>
        <v>11622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21575</v>
      </c>
      <c r="C1768" s="2" t="s">
        <v>573</v>
      </c>
      <c r="D1768" s="2" t="str">
        <f t="shared" si="26"/>
        <v>Error?</v>
      </c>
    </row>
    <row r="1769" spans="1:5" x14ac:dyDescent="0.2">
      <c r="A1769" s="5">
        <v>1708</v>
      </c>
      <c r="B1769" s="138">
        <f>'Tax Sched 23'!D12</f>
        <v>3523</v>
      </c>
      <c r="C1769" s="2" t="s">
        <v>573</v>
      </c>
      <c r="D1769" s="2" t="str">
        <f t="shared" si="26"/>
        <v>Error?</v>
      </c>
    </row>
    <row r="1770" spans="1:5" x14ac:dyDescent="0.2">
      <c r="A1770" s="5">
        <v>1709</v>
      </c>
      <c r="B1770" s="138">
        <f>'Tax Sched 23'!D14</f>
        <v>75422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1026270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513939</v>
      </c>
      <c r="C1792" s="2" t="s">
        <v>573</v>
      </c>
      <c r="D1792" s="2" t="str">
        <f t="shared" si="27"/>
        <v>Error?</v>
      </c>
    </row>
    <row r="1793" spans="1:4" x14ac:dyDescent="0.2">
      <c r="A1793" s="5">
        <v>1732</v>
      </c>
      <c r="B1793" s="138">
        <f>'Tax Sched 23'!F5</f>
        <v>128235</v>
      </c>
      <c r="C1793" s="2" t="s">
        <v>573</v>
      </c>
      <c r="D1793" s="2" t="str">
        <f t="shared" si="27"/>
        <v>Error?</v>
      </c>
    </row>
    <row r="1794" spans="1:4" x14ac:dyDescent="0.2">
      <c r="A1794" s="5">
        <v>1733</v>
      </c>
      <c r="B1794" s="138">
        <f>'Tax Sched 23'!F6</f>
        <v>178282</v>
      </c>
      <c r="C1794" s="2" t="s">
        <v>573</v>
      </c>
      <c r="D1794" s="2" t="str">
        <f t="shared" si="27"/>
        <v>Error?</v>
      </c>
    </row>
    <row r="1795" spans="1:4" x14ac:dyDescent="0.2">
      <c r="A1795" s="5">
        <v>1734</v>
      </c>
      <c r="B1795" s="138">
        <f>'Tax Sched 23'!F7</f>
        <v>51294</v>
      </c>
      <c r="C1795" s="2" t="s">
        <v>573</v>
      </c>
      <c r="D1795" s="2" t="str">
        <f t="shared" si="27"/>
        <v>Error?</v>
      </c>
    </row>
    <row r="1796" spans="1:4" x14ac:dyDescent="0.2">
      <c r="A1796" s="5">
        <v>1735</v>
      </c>
      <c r="B1796" s="138">
        <f>'Tax Sched 23'!F8</f>
        <v>70355</v>
      </c>
      <c r="C1796" s="2" t="s">
        <v>573</v>
      </c>
      <c r="D1796" s="2" t="str">
        <f t="shared" si="27"/>
        <v>Error?</v>
      </c>
    </row>
    <row r="1797" spans="1:4" x14ac:dyDescent="0.2">
      <c r="A1797" s="5">
        <v>1736</v>
      </c>
      <c r="B1797" s="138">
        <f>'Tax Sched 23'!F10</f>
        <v>13161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26786</v>
      </c>
      <c r="C1800" s="2" t="s">
        <v>573</v>
      </c>
      <c r="D1800" s="2" t="str">
        <f t="shared" si="27"/>
        <v>Error?</v>
      </c>
    </row>
    <row r="1801" spans="1:4" x14ac:dyDescent="0.2">
      <c r="A1801" s="5">
        <v>1740</v>
      </c>
      <c r="B1801" s="138">
        <f>'Tax Sched 23'!F12</f>
        <v>12823</v>
      </c>
      <c r="C1801" s="2" t="s">
        <v>573</v>
      </c>
      <c r="D1801" s="2" t="str">
        <f t="shared" si="27"/>
        <v>Error?</v>
      </c>
    </row>
    <row r="1802" spans="1:4" x14ac:dyDescent="0.2">
      <c r="A1802" s="5">
        <v>1741</v>
      </c>
      <c r="B1802" s="138">
        <f>'Tax Sched 23'!F14</f>
        <v>5266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1083319</v>
      </c>
      <c r="C1807" s="2" t="s">
        <v>573</v>
      </c>
      <c r="D1807" s="2" t="str">
        <f t="shared" si="27"/>
        <v>Error?</v>
      </c>
    </row>
    <row r="1808" spans="1:4" x14ac:dyDescent="0.2">
      <c r="A1808" s="5">
        <v>1747</v>
      </c>
      <c r="B1808" s="138">
        <f>'Tax Sched 23'!E4</f>
        <v>513939</v>
      </c>
      <c r="D1808" s="2" t="str">
        <f t="shared" si="27"/>
        <v>Error?</v>
      </c>
    </row>
    <row r="1809" spans="1:4" x14ac:dyDescent="0.2">
      <c r="A1809" s="5">
        <v>1748</v>
      </c>
      <c r="B1809" s="138">
        <f>'Tax Sched 23'!E5</f>
        <v>128235</v>
      </c>
      <c r="D1809" s="2" t="str">
        <f t="shared" si="27"/>
        <v>Error?</v>
      </c>
    </row>
    <row r="1810" spans="1:4" x14ac:dyDescent="0.2">
      <c r="A1810" s="5">
        <v>1749</v>
      </c>
      <c r="B1810" s="138">
        <f>'Tax Sched 23'!E6</f>
        <v>178282</v>
      </c>
      <c r="D1810" s="2" t="str">
        <f t="shared" si="27"/>
        <v>Error?</v>
      </c>
    </row>
    <row r="1811" spans="1:4" x14ac:dyDescent="0.2">
      <c r="A1811" s="5">
        <v>1750</v>
      </c>
      <c r="B1811" s="138">
        <f>'Tax Sched 23'!E7</f>
        <v>51294</v>
      </c>
      <c r="D1811" s="2" t="str">
        <f t="shared" si="27"/>
        <v>Error?</v>
      </c>
    </row>
    <row r="1812" spans="1:4" x14ac:dyDescent="0.2">
      <c r="A1812" s="5">
        <v>1751</v>
      </c>
      <c r="B1812" s="138">
        <f>'Tax Sched 23'!E8</f>
        <v>70355</v>
      </c>
      <c r="D1812" s="2" t="str">
        <f t="shared" si="27"/>
        <v>Error?</v>
      </c>
    </row>
    <row r="1813" spans="1:4" x14ac:dyDescent="0.2">
      <c r="A1813" s="5">
        <v>1752</v>
      </c>
      <c r="B1813" s="138">
        <f>'Tax Sched 23'!E10</f>
        <v>13161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26786</v>
      </c>
      <c r="D1816" s="2" t="str">
        <f t="shared" si="27"/>
        <v>Error?</v>
      </c>
    </row>
    <row r="1817" spans="1:4" x14ac:dyDescent="0.2">
      <c r="A1817" s="5">
        <v>1756</v>
      </c>
      <c r="B1817" s="138">
        <f>'Tax Sched 23'!E12</f>
        <v>12823</v>
      </c>
      <c r="D1817" s="2" t="str">
        <f t="shared" si="27"/>
        <v>Error?</v>
      </c>
    </row>
    <row r="1818" spans="1:4" x14ac:dyDescent="0.2">
      <c r="A1818" s="5">
        <v>1757</v>
      </c>
      <c r="B1818" s="138">
        <f>'Tax Sched 23'!E14</f>
        <v>5266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1083319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2384772</v>
      </c>
      <c r="C1939" s="2" t="s">
        <v>573</v>
      </c>
      <c r="D1939" s="2" t="str">
        <f t="shared" si="29"/>
        <v>Error?</v>
      </c>
    </row>
    <row r="1940" spans="1:5" x14ac:dyDescent="0.2">
      <c r="A1940" s="5">
        <v>1879</v>
      </c>
      <c r="B1940" s="138">
        <f>'Short-Term Long-Term Debt 24'!F49</f>
        <v>1100000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57109</v>
      </c>
      <c r="D2008" s="2" t="str">
        <f t="shared" si="30"/>
        <v>Error?</v>
      </c>
    </row>
    <row r="2009" spans="1:4" x14ac:dyDescent="0.2">
      <c r="A2009" s="5">
        <v>1948</v>
      </c>
      <c r="B2009" s="138">
        <f>'Cap Outlay Deprec 26'!C8</f>
        <v>12747021</v>
      </c>
      <c r="D2009" s="2" t="str">
        <f t="shared" si="30"/>
        <v>Error?</v>
      </c>
    </row>
    <row r="2010" spans="1:4" x14ac:dyDescent="0.2">
      <c r="A2010" s="5">
        <v>1949</v>
      </c>
      <c r="B2010" s="138">
        <f>'Cap Outlay Deprec 26'!C10</f>
        <v>1179666</v>
      </c>
      <c r="D2010" s="2" t="str">
        <f t="shared" si="30"/>
        <v>Error?</v>
      </c>
    </row>
    <row r="2011" spans="1:4" x14ac:dyDescent="0.2">
      <c r="A2011" s="5">
        <v>1950</v>
      </c>
      <c r="B2011" s="138">
        <f>'Cap Outlay Deprec 26'!C12</f>
        <v>3032486</v>
      </c>
      <c r="D2011" s="2" t="str">
        <f t="shared" si="30"/>
        <v>Error?</v>
      </c>
    </row>
    <row r="2012" spans="1:4" x14ac:dyDescent="0.2">
      <c r="A2012" s="5">
        <v>1951</v>
      </c>
      <c r="B2012" s="138">
        <f>'Cap Outlay Deprec 26'!C13</f>
        <v>741489</v>
      </c>
      <c r="D2012" s="2" t="str">
        <f t="shared" si="30"/>
        <v>Error?</v>
      </c>
    </row>
    <row r="2013" spans="1:4" x14ac:dyDescent="0.2">
      <c r="A2013" s="5">
        <v>1952</v>
      </c>
      <c r="B2013" s="138">
        <f>'Cap Outlay Deprec 26'!C16</f>
        <v>17757771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212823</v>
      </c>
      <c r="D2016" s="2" t="str">
        <f t="shared" si="30"/>
        <v>Error?</v>
      </c>
    </row>
    <row r="2017" spans="1:4" x14ac:dyDescent="0.2">
      <c r="A2017" s="5">
        <v>1956</v>
      </c>
      <c r="B2017" s="138">
        <f>'Cap Outlay Deprec 26'!D12</f>
        <v>30602</v>
      </c>
      <c r="D2017" s="2" t="str">
        <f t="shared" si="30"/>
        <v>Error?</v>
      </c>
    </row>
    <row r="2018" spans="1:4" x14ac:dyDescent="0.2">
      <c r="A2018" s="5">
        <v>1957</v>
      </c>
      <c r="B2018" s="138">
        <f>'Cap Outlay Deprec 26'!D13</f>
        <v>45472</v>
      </c>
      <c r="D2018" s="2" t="str">
        <f t="shared" si="30"/>
        <v>Error?</v>
      </c>
    </row>
    <row r="2019" spans="1:4" x14ac:dyDescent="0.2">
      <c r="A2019" s="5">
        <v>1958</v>
      </c>
      <c r="B2019" s="138">
        <f>'Cap Outlay Deprec 26'!D16</f>
        <v>476663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57109</v>
      </c>
      <c r="C2026" s="2" t="s">
        <v>573</v>
      </c>
      <c r="D2026" s="2" t="str">
        <f t="shared" si="30"/>
        <v>Error?</v>
      </c>
    </row>
    <row r="2027" spans="1:4" x14ac:dyDescent="0.2">
      <c r="A2027" s="5">
        <v>1966</v>
      </c>
      <c r="B2027" s="138">
        <f>'Cap Outlay Deprec 26'!F8</f>
        <v>12747021</v>
      </c>
      <c r="C2027" s="2" t="s">
        <v>573</v>
      </c>
      <c r="D2027" s="2" t="str">
        <f t="shared" si="30"/>
        <v>Error?</v>
      </c>
    </row>
    <row r="2028" spans="1:4" x14ac:dyDescent="0.2">
      <c r="A2028" s="5">
        <v>1967</v>
      </c>
      <c r="B2028" s="138">
        <f>'Cap Outlay Deprec 26'!F10</f>
        <v>1392489</v>
      </c>
      <c r="C2028" s="2" t="s">
        <v>573</v>
      </c>
      <c r="D2028" s="2" t="str">
        <f t="shared" si="30"/>
        <v>Error?</v>
      </c>
    </row>
    <row r="2029" spans="1:4" x14ac:dyDescent="0.2">
      <c r="A2029" s="5">
        <v>1968</v>
      </c>
      <c r="B2029" s="138">
        <f>'Cap Outlay Deprec 26'!F12</f>
        <v>3063088</v>
      </c>
      <c r="C2029" s="2" t="s">
        <v>573</v>
      </c>
      <c r="D2029" s="2" t="str">
        <f t="shared" si="30"/>
        <v>Error?</v>
      </c>
    </row>
    <row r="2030" spans="1:4" x14ac:dyDescent="0.2">
      <c r="A2030" s="5">
        <v>1969</v>
      </c>
      <c r="B2030" s="138">
        <f>'Cap Outlay Deprec 26'!F13</f>
        <v>786961</v>
      </c>
      <c r="C2030" s="2" t="s">
        <v>573</v>
      </c>
      <c r="D2030" s="2" t="str">
        <f t="shared" si="30"/>
        <v>Error?</v>
      </c>
    </row>
    <row r="2031" spans="1:4" x14ac:dyDescent="0.2">
      <c r="A2031" s="5">
        <v>1970</v>
      </c>
      <c r="B2031" s="138">
        <f>'Cap Outlay Deprec 26'!F16</f>
        <v>18234434</v>
      </c>
      <c r="C2031" s="2" t="s">
        <v>573</v>
      </c>
      <c r="D2031" s="2" t="str">
        <f t="shared" si="30"/>
        <v>Error?</v>
      </c>
    </row>
    <row r="2032" spans="1:4" x14ac:dyDescent="0.2">
      <c r="A2032" s="10">
        <v>1971</v>
      </c>
      <c r="D2032" s="2" t="str">
        <f t="shared" si="30"/>
        <v>OK</v>
      </c>
    </row>
    <row r="2033" spans="1:4" x14ac:dyDescent="0.2">
      <c r="A2033" s="5">
        <v>1972</v>
      </c>
      <c r="B2033" s="138">
        <f>'Cap Outlay Deprec 26'!H8</f>
        <v>2933714</v>
      </c>
      <c r="D2033" s="2" t="str">
        <f t="shared" si="30"/>
        <v>Error?</v>
      </c>
    </row>
    <row r="2034" spans="1:4" x14ac:dyDescent="0.2">
      <c r="A2034" s="5">
        <v>1973</v>
      </c>
      <c r="B2034" s="138">
        <f>'Cap Outlay Deprec 26'!H10</f>
        <v>430601</v>
      </c>
      <c r="D2034" s="2" t="str">
        <f t="shared" si="30"/>
        <v>Error?</v>
      </c>
    </row>
    <row r="2035" spans="1:4" x14ac:dyDescent="0.2">
      <c r="A2035" s="5">
        <v>1974</v>
      </c>
      <c r="B2035" s="138">
        <f>'Cap Outlay Deprec 26'!H12</f>
        <v>2803935</v>
      </c>
      <c r="D2035" s="2" t="str">
        <f t="shared" si="30"/>
        <v>Error?</v>
      </c>
    </row>
    <row r="2036" spans="1:4" x14ac:dyDescent="0.2">
      <c r="A2036" s="5">
        <v>1975</v>
      </c>
      <c r="B2036" s="138">
        <f>'Cap Outlay Deprec 26'!H13</f>
        <v>618275</v>
      </c>
      <c r="D2036" s="2" t="str">
        <f t="shared" si="30"/>
        <v>Error?</v>
      </c>
    </row>
    <row r="2037" spans="1:4" x14ac:dyDescent="0.2">
      <c r="A2037" s="5">
        <v>1976</v>
      </c>
      <c r="B2037" s="138">
        <f>'Cap Outlay Deprec 26'!H16</f>
        <v>6786525</v>
      </c>
      <c r="C2037" s="2" t="s">
        <v>573</v>
      </c>
      <c r="D2037" s="2" t="str">
        <f t="shared" si="30"/>
        <v>Error?</v>
      </c>
    </row>
    <row r="2038" spans="1:4" x14ac:dyDescent="0.2">
      <c r="A2038" s="10">
        <v>1977</v>
      </c>
      <c r="D2038" s="2" t="str">
        <f t="shared" si="30"/>
        <v>OK</v>
      </c>
    </row>
    <row r="2039" spans="1:4" x14ac:dyDescent="0.2">
      <c r="A2039" s="5">
        <v>1978</v>
      </c>
      <c r="B2039" s="138">
        <f>'Cap Outlay Deprec 26'!I8</f>
        <v>255523</v>
      </c>
      <c r="D2039" s="2" t="str">
        <f t="shared" si="30"/>
        <v>Error?</v>
      </c>
    </row>
    <row r="2040" spans="1:4" x14ac:dyDescent="0.2">
      <c r="A2040" s="5">
        <v>1979</v>
      </c>
      <c r="B2040" s="138">
        <f>'Cap Outlay Deprec 26'!I10</f>
        <v>68214</v>
      </c>
      <c r="D2040" s="2" t="str">
        <f t="shared" si="30"/>
        <v>Error?</v>
      </c>
    </row>
    <row r="2041" spans="1:4" x14ac:dyDescent="0.2">
      <c r="A2041" s="5">
        <v>1980</v>
      </c>
      <c r="B2041" s="138">
        <f>'Cap Outlay Deprec 26'!I12</f>
        <v>41549</v>
      </c>
      <c r="D2041" s="2" t="str">
        <f t="shared" si="30"/>
        <v>Error?</v>
      </c>
    </row>
    <row r="2042" spans="1:4" x14ac:dyDescent="0.2">
      <c r="A2042" s="5">
        <v>1981</v>
      </c>
      <c r="B2042" s="138">
        <f>'Cap Outlay Deprec 26'!I13</f>
        <v>48927</v>
      </c>
      <c r="D2042" s="2" t="str">
        <f t="shared" si="30"/>
        <v>Error?</v>
      </c>
    </row>
    <row r="2043" spans="1:4" x14ac:dyDescent="0.2">
      <c r="A2043" s="5">
        <v>1982</v>
      </c>
      <c r="B2043" s="138">
        <f>'Cap Outlay Deprec 26'!I16</f>
        <v>414213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3189237</v>
      </c>
      <c r="C2051" s="2" t="s">
        <v>573</v>
      </c>
      <c r="D2051" s="2" t="str">
        <f t="shared" si="31"/>
        <v>Error?</v>
      </c>
    </row>
    <row r="2052" spans="1:4" x14ac:dyDescent="0.2">
      <c r="A2052" s="5">
        <v>1991</v>
      </c>
      <c r="B2052" s="138">
        <f>'Cap Outlay Deprec 26'!K10</f>
        <v>498815</v>
      </c>
      <c r="C2052" s="2" t="s">
        <v>573</v>
      </c>
      <c r="D2052" s="2" t="str">
        <f t="shared" si="31"/>
        <v>Error?</v>
      </c>
    </row>
    <row r="2053" spans="1:4" x14ac:dyDescent="0.2">
      <c r="A2053" s="5">
        <v>1992</v>
      </c>
      <c r="B2053" s="138">
        <f>'Cap Outlay Deprec 26'!K12</f>
        <v>2845484</v>
      </c>
      <c r="C2053" s="2" t="s">
        <v>573</v>
      </c>
      <c r="D2053" s="2" t="str">
        <f t="shared" si="31"/>
        <v>Error?</v>
      </c>
    </row>
    <row r="2054" spans="1:4" x14ac:dyDescent="0.2">
      <c r="A2054" s="5">
        <v>1993</v>
      </c>
      <c r="B2054" s="138">
        <f>'Cap Outlay Deprec 26'!K13</f>
        <v>667202</v>
      </c>
      <c r="C2054" s="2" t="s">
        <v>573</v>
      </c>
      <c r="D2054" s="2" t="str">
        <f t="shared" si="31"/>
        <v>Error?</v>
      </c>
    </row>
    <row r="2055" spans="1:4" x14ac:dyDescent="0.2">
      <c r="A2055" s="5">
        <v>1994</v>
      </c>
      <c r="B2055" s="138">
        <f>'Cap Outlay Deprec 26'!K16</f>
        <v>7200738</v>
      </c>
      <c r="C2055" s="2" t="s">
        <v>573</v>
      </c>
      <c r="D2055" s="2" t="str">
        <f t="shared" si="31"/>
        <v>Error?</v>
      </c>
    </row>
    <row r="2056" spans="1:4" x14ac:dyDescent="0.2">
      <c r="A2056" s="5">
        <v>1995</v>
      </c>
      <c r="B2056" s="138">
        <f>'Cap Outlay Deprec 26'!L5</f>
        <v>57109</v>
      </c>
      <c r="C2056" s="2" t="s">
        <v>573</v>
      </c>
      <c r="D2056" s="2" t="str">
        <f t="shared" si="31"/>
        <v>Error?</v>
      </c>
    </row>
    <row r="2057" spans="1:4" x14ac:dyDescent="0.2">
      <c r="A2057" s="5">
        <v>1996</v>
      </c>
      <c r="B2057" s="138">
        <f>'Cap Outlay Deprec 26'!L8</f>
        <v>9557784</v>
      </c>
      <c r="C2057" s="2" t="s">
        <v>573</v>
      </c>
      <c r="D2057" s="2" t="str">
        <f t="shared" si="31"/>
        <v>Error?</v>
      </c>
    </row>
    <row r="2058" spans="1:4" x14ac:dyDescent="0.2">
      <c r="A2058" s="5">
        <v>1997</v>
      </c>
      <c r="B2058" s="138">
        <f>'Cap Outlay Deprec 26'!L10</f>
        <v>893674</v>
      </c>
      <c r="C2058" s="2" t="s">
        <v>573</v>
      </c>
      <c r="D2058" s="2" t="str">
        <f t="shared" si="31"/>
        <v>Error?</v>
      </c>
    </row>
    <row r="2059" spans="1:4" x14ac:dyDescent="0.2">
      <c r="A2059" s="5">
        <v>1998</v>
      </c>
      <c r="B2059" s="138">
        <f>'Cap Outlay Deprec 26'!L12</f>
        <v>217604</v>
      </c>
      <c r="C2059" s="2" t="s">
        <v>573</v>
      </c>
      <c r="D2059" s="2" t="str">
        <f t="shared" si="31"/>
        <v>Error?</v>
      </c>
    </row>
    <row r="2060" spans="1:4" x14ac:dyDescent="0.2">
      <c r="A2060" s="5">
        <v>1999</v>
      </c>
      <c r="B2060" s="138">
        <f>'Cap Outlay Deprec 26'!L13</f>
        <v>119759</v>
      </c>
      <c r="C2060" s="2" t="s">
        <v>573</v>
      </c>
      <c r="D2060" s="2" t="str">
        <f t="shared" si="31"/>
        <v>Error?</v>
      </c>
    </row>
    <row r="2061" spans="1:4" x14ac:dyDescent="0.2">
      <c r="A2061" s="5">
        <v>2000</v>
      </c>
      <c r="B2061" s="138">
        <f>'Cap Outlay Deprec 26'!L16</f>
        <v>11033696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224614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224614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95</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95</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30073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152377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197275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689227</v>
      </c>
      <c r="C2551" s="2" t="s">
        <v>573</v>
      </c>
      <c r="D2551" s="2" t="str">
        <f t="shared" si="38"/>
        <v>Error?</v>
      </c>
    </row>
    <row r="2552" spans="1:4" x14ac:dyDescent="0.2">
      <c r="A2552" s="10">
        <v>2491</v>
      </c>
      <c r="D2552" s="2" t="str">
        <f t="shared" si="38"/>
        <v>OK</v>
      </c>
    </row>
    <row r="2553" spans="1:4" x14ac:dyDescent="0.2">
      <c r="A2553" s="5">
        <v>2492</v>
      </c>
      <c r="B2553" s="138">
        <f>'Acct Summary 7-8'!C6</f>
        <v>3448328</v>
      </c>
      <c r="C2553" s="2" t="s">
        <v>573</v>
      </c>
      <c r="D2553" s="2" t="str">
        <f t="shared" si="38"/>
        <v>Error?</v>
      </c>
    </row>
    <row r="2554" spans="1:4" x14ac:dyDescent="0.2">
      <c r="A2554" s="5">
        <v>2493</v>
      </c>
      <c r="B2554" s="138">
        <f>'Acct Summary 7-8'!C7</f>
        <v>2128883</v>
      </c>
      <c r="C2554" s="2" t="s">
        <v>573</v>
      </c>
      <c r="D2554" s="2" t="str">
        <f t="shared" si="38"/>
        <v>Error?</v>
      </c>
    </row>
    <row r="2555" spans="1:4" x14ac:dyDescent="0.2">
      <c r="A2555" s="5">
        <v>2494</v>
      </c>
      <c r="B2555" s="138">
        <f>'Acct Summary 7-8'!C8</f>
        <v>6324594</v>
      </c>
      <c r="C2555" s="2" t="s">
        <v>573</v>
      </c>
      <c r="D2555" s="2" t="str">
        <f t="shared" si="38"/>
        <v>Error?</v>
      </c>
    </row>
    <row r="2556" spans="1:4" x14ac:dyDescent="0.2">
      <c r="A2556" s="5">
        <v>2495</v>
      </c>
      <c r="B2556" s="138">
        <f>'Acct Summary 7-8'!C12</f>
        <v>2595738</v>
      </c>
      <c r="C2556" s="2" t="s">
        <v>573</v>
      </c>
      <c r="D2556" s="2" t="str">
        <f t="shared" si="38"/>
        <v>Error?</v>
      </c>
    </row>
    <row r="2557" spans="1:4" x14ac:dyDescent="0.2">
      <c r="A2557" s="5">
        <v>2496</v>
      </c>
      <c r="B2557" s="138">
        <f>'Acct Summary 7-8'!C13</f>
        <v>2245559</v>
      </c>
      <c r="C2557" s="2" t="s">
        <v>573</v>
      </c>
      <c r="D2557" s="2" t="str">
        <f t="shared" si="38"/>
        <v>Error?</v>
      </c>
    </row>
    <row r="2558" spans="1:4" x14ac:dyDescent="0.2">
      <c r="A2558" s="5">
        <v>2497</v>
      </c>
      <c r="B2558" s="138">
        <f>'Acct Summary 7-8'!C14</f>
        <v>71152</v>
      </c>
      <c r="C2558" s="2" t="s">
        <v>573</v>
      </c>
      <c r="D2558" s="2" t="str">
        <f t="shared" si="38"/>
        <v>Error?</v>
      </c>
    </row>
    <row r="2559" spans="1:4" x14ac:dyDescent="0.2">
      <c r="A2559" s="5">
        <v>2498</v>
      </c>
      <c r="B2559" s="138">
        <f>'Acct Summary 7-8'!C15</f>
        <v>224614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5137063</v>
      </c>
      <c r="C2561" s="2" t="s">
        <v>573</v>
      </c>
      <c r="D2561" s="2" t="str">
        <f t="shared" si="39"/>
        <v>Error?</v>
      </c>
    </row>
    <row r="2562" spans="1:4" x14ac:dyDescent="0.2">
      <c r="A2562" s="5">
        <v>2501</v>
      </c>
      <c r="B2562" s="138">
        <f>'Acct Summary 7-8'!C20</f>
        <v>1187531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116191</v>
      </c>
      <c r="C2564" s="2" t="s">
        <v>573</v>
      </c>
      <c r="D2564" s="2" t="str">
        <f t="shared" si="39"/>
        <v>Error?</v>
      </c>
    </row>
    <row r="2565" spans="1:4" x14ac:dyDescent="0.2">
      <c r="A2565" s="10">
        <v>2504</v>
      </c>
      <c r="D2565" s="2" t="str">
        <f t="shared" si="39"/>
        <v>OK</v>
      </c>
    </row>
    <row r="2566" spans="1:4" x14ac:dyDescent="0.2">
      <c r="A2566" s="5">
        <v>2505</v>
      </c>
      <c r="B2566" s="138">
        <f>'Acct Summary 7-8'!D6</f>
        <v>195970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312161</v>
      </c>
      <c r="C2568" s="2" t="s">
        <v>573</v>
      </c>
      <c r="D2568" s="2" t="str">
        <f t="shared" si="39"/>
        <v>Error?</v>
      </c>
    </row>
    <row r="2569" spans="1:4" x14ac:dyDescent="0.2">
      <c r="A2569" s="5">
        <v>2508</v>
      </c>
      <c r="B2569" s="138">
        <f>'Acct Summary 7-8'!D13</f>
        <v>339510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95</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339605</v>
      </c>
      <c r="C2573" s="2" t="s">
        <v>573</v>
      </c>
      <c r="D2573" s="2" t="str">
        <f t="shared" si="39"/>
        <v>Error?</v>
      </c>
    </row>
    <row r="2574" spans="1:4" x14ac:dyDescent="0.2">
      <c r="A2574" s="5">
        <v>2513</v>
      </c>
      <c r="B2574" s="138">
        <f>'Acct Summary 7-8'!D20</f>
        <v>-27444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46477</v>
      </c>
      <c r="C2591" s="2" t="s">
        <v>573</v>
      </c>
      <c r="D2591" s="2" t="str">
        <f t="shared" si="39"/>
        <v>Error?</v>
      </c>
    </row>
    <row r="2592" spans="1:4" x14ac:dyDescent="0.2">
      <c r="A2592" s="10">
        <v>2531</v>
      </c>
      <c r="D2592" s="2" t="str">
        <f t="shared" si="39"/>
        <v>OK</v>
      </c>
    </row>
    <row r="2593" spans="1:4" x14ac:dyDescent="0.2">
      <c r="A2593" s="5">
        <v>2532</v>
      </c>
      <c r="B2593" s="138">
        <f>'Acct Summary 7-8'!F6</f>
        <v>636052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682529</v>
      </c>
      <c r="C2595" s="2" t="s">
        <v>573</v>
      </c>
      <c r="D2595" s="2" t="str">
        <f t="shared" si="39"/>
        <v>Error?</v>
      </c>
    </row>
    <row r="2596" spans="1:4" x14ac:dyDescent="0.2">
      <c r="A2596" s="5">
        <v>2535</v>
      </c>
      <c r="B2596" s="138">
        <f>'Acct Summary 7-8'!F13</f>
        <v>519080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519080</v>
      </c>
      <c r="C2600" s="2" t="s">
        <v>573</v>
      </c>
      <c r="D2600" s="2" t="str">
        <f t="shared" si="39"/>
        <v>Error?</v>
      </c>
    </row>
    <row r="2601" spans="1:4" x14ac:dyDescent="0.2">
      <c r="A2601" s="5">
        <v>2540</v>
      </c>
      <c r="B2601" s="138">
        <f>'Acct Summary 7-8'!F20</f>
        <v>163449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195019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195019</v>
      </c>
      <c r="C2606" s="2" t="s">
        <v>573</v>
      </c>
      <c r="D2606" s="2" t="str">
        <f t="shared" si="39"/>
        <v>Error?</v>
      </c>
    </row>
    <row r="2607" spans="1:4" x14ac:dyDescent="0.2">
      <c r="A2607" s="5">
        <v>2546</v>
      </c>
      <c r="B2607" s="138">
        <f>'Acct Summary 7-8'!G12</f>
        <v>55655</v>
      </c>
      <c r="C2607" s="2" t="s">
        <v>573</v>
      </c>
      <c r="D2607" s="2" t="str">
        <f t="shared" si="39"/>
        <v>Error?</v>
      </c>
    </row>
    <row r="2608" spans="1:4" x14ac:dyDescent="0.2">
      <c r="A2608" s="5">
        <v>2547</v>
      </c>
      <c r="B2608" s="138">
        <f>'Acct Summary 7-8'!G13</f>
        <v>96878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152533</v>
      </c>
      <c r="C2612" s="2" t="s">
        <v>573</v>
      </c>
      <c r="D2612" s="2" t="str">
        <f t="shared" si="39"/>
        <v>Error?</v>
      </c>
    </row>
    <row r="2613" spans="1:4" x14ac:dyDescent="0.2">
      <c r="A2613" s="5">
        <v>2552</v>
      </c>
      <c r="B2613" s="138">
        <f>'Acct Summary 7-8'!G20</f>
        <v>42486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194214</v>
      </c>
      <c r="C2630" s="2" t="s">
        <v>573</v>
      </c>
      <c r="D2630" s="2" t="str">
        <f t="shared" si="40"/>
        <v>Error?</v>
      </c>
    </row>
    <row r="2631" spans="1:4" x14ac:dyDescent="0.2">
      <c r="A2631" s="5">
        <v>2570</v>
      </c>
      <c r="B2631" s="138">
        <f>'Acct Summary 7-8'!E6</f>
        <v>80000</v>
      </c>
      <c r="C2631" s="2" t="s">
        <v>573</v>
      </c>
      <c r="D2631" s="2" t="str">
        <f t="shared" si="40"/>
        <v>Error?</v>
      </c>
    </row>
    <row r="2632" spans="1:4" x14ac:dyDescent="0.2">
      <c r="A2632" s="5">
        <v>2571</v>
      </c>
      <c r="B2632" s="138">
        <f>'Acct Summary 7-8'!E8</f>
        <v>274214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372632</v>
      </c>
      <c r="C2634" s="2" t="s">
        <v>573</v>
      </c>
      <c r="D2634" s="2" t="str">
        <f t="shared" si="40"/>
        <v>Error?</v>
      </c>
    </row>
    <row r="2635" spans="1:4" x14ac:dyDescent="0.2">
      <c r="A2635" s="5">
        <v>2574</v>
      </c>
      <c r="B2635" s="138">
        <f>'Acct Summary 7-8'!E17</f>
        <v>372632</v>
      </c>
      <c r="C2635" s="2" t="s">
        <v>573</v>
      </c>
      <c r="D2635" s="2" t="str">
        <f t="shared" si="40"/>
        <v>Error?</v>
      </c>
    </row>
    <row r="2636" spans="1:4" x14ac:dyDescent="0.2">
      <c r="A2636" s="5">
        <v>2575</v>
      </c>
      <c r="B2636" s="138">
        <f>'Acct Summary 7-8'!E20</f>
        <v>-98418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13222</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13222</v>
      </c>
      <c r="C2658" s="2" t="s">
        <v>573</v>
      </c>
      <c r="D2658" s="2" t="str">
        <f t="shared" si="40"/>
        <v>Error?</v>
      </c>
    </row>
    <row r="2659" spans="1:4" x14ac:dyDescent="0.2">
      <c r="A2659" s="5">
        <v>2598</v>
      </c>
      <c r="B2659" s="138">
        <f>'Acct Summary 7-8'!H13</f>
        <v>13222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13222</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6209</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7759</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10917</v>
      </c>
      <c r="D2862" s="2" t="str">
        <f t="shared" si="43"/>
        <v>Error?</v>
      </c>
    </row>
    <row r="2863" spans="1:4" x14ac:dyDescent="0.2">
      <c r="A2863" s="10">
        <v>2802</v>
      </c>
      <c r="D2863" s="2" t="str">
        <f t="shared" si="43"/>
        <v>OK</v>
      </c>
    </row>
    <row r="2864" spans="1:4" x14ac:dyDescent="0.2">
      <c r="A2864" s="5">
        <v>2803</v>
      </c>
      <c r="B2864" s="138">
        <f>'Assets-Liab 5-6'!M20</f>
        <v>187766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124162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74948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124162</v>
      </c>
      <c r="D2912" s="2" t="str">
        <f t="shared" si="44"/>
        <v>Error?</v>
      </c>
    </row>
    <row r="2913" spans="1:4" x14ac:dyDescent="0.2">
      <c r="A2913" s="5">
        <v>2852</v>
      </c>
      <c r="B2913" s="138">
        <f>'Assets-Liab 5-6'!I41</f>
        <v>124162</v>
      </c>
      <c r="C2913" s="2" t="s">
        <v>573</v>
      </c>
      <c r="D2913" s="2" t="str">
        <f t="shared" si="44"/>
        <v>Error?</v>
      </c>
    </row>
    <row r="2914" spans="1:4" x14ac:dyDescent="0.2">
      <c r="A2914" s="5">
        <v>2853</v>
      </c>
      <c r="B2914" s="138">
        <f>'Assets-Liab 5-6'!L33</f>
        <v>74948</v>
      </c>
      <c r="D2914" s="2" t="str">
        <f t="shared" si="44"/>
        <v>Error?</v>
      </c>
    </row>
    <row r="2915" spans="1:4" x14ac:dyDescent="0.2">
      <c r="A2915" s="10">
        <v>2854</v>
      </c>
      <c r="D2915" s="2" t="str">
        <f t="shared" si="44"/>
        <v>OK</v>
      </c>
    </row>
    <row r="2916" spans="1:4" x14ac:dyDescent="0.2">
      <c r="A2916" s="5">
        <v>2855</v>
      </c>
      <c r="B2916" s="138">
        <f>'Assets-Liab 5-6'!L34</f>
        <v>74948</v>
      </c>
      <c r="C2916" s="2" t="s">
        <v>573</v>
      </c>
      <c r="D2916" s="2" t="str">
        <f t="shared" si="44"/>
        <v>Error?</v>
      </c>
    </row>
    <row r="2917" spans="1:4" x14ac:dyDescent="0.2">
      <c r="A2917" s="5">
        <v>2856</v>
      </c>
      <c r="B2917" s="138">
        <f>'Assets-Liab 5-6'!L41</f>
        <v>74948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3754</v>
      </c>
      <c r="D2955" s="2" t="str">
        <f t="shared" si="45"/>
        <v>Error?</v>
      </c>
    </row>
    <row r="2956" spans="1:4" x14ac:dyDescent="0.2">
      <c r="A2956" s="5">
        <v>2895</v>
      </c>
      <c r="B2956" s="138">
        <f>'Expenditures 15-22'!H79</f>
        <v>220860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3754</v>
      </c>
      <c r="C2973" s="2" t="s">
        <v>573</v>
      </c>
      <c r="D2973" s="2" t="str">
        <f t="shared" si="45"/>
        <v>Error?</v>
      </c>
    </row>
    <row r="2974" spans="1:4" x14ac:dyDescent="0.2">
      <c r="A2974" s="5">
        <v>2913</v>
      </c>
      <c r="B2974" s="138">
        <f>'Expenditures 15-22'!K79</f>
        <v>220860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95</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95</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9500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11835</v>
      </c>
      <c r="C3225" s="2" t="s">
        <v>573</v>
      </c>
      <c r="D3225" s="2" t="str">
        <f t="shared" si="49"/>
        <v>Error?</v>
      </c>
    </row>
    <row r="3226" spans="1:4" x14ac:dyDescent="0.2">
      <c r="A3226" s="5">
        <v>3165</v>
      </c>
      <c r="B3226" s="138">
        <f>'Acct Summary 7-8'!I8</f>
        <v>11835</v>
      </c>
      <c r="C3226" s="2" t="s">
        <v>573</v>
      </c>
      <c r="D3226" s="2" t="str">
        <f t="shared" si="49"/>
        <v>Error?</v>
      </c>
    </row>
    <row r="3227" spans="1:4" x14ac:dyDescent="0.2">
      <c r="A3227" s="5">
        <v>3166</v>
      </c>
      <c r="B3227" s="138">
        <f>'Acct Summary 7-8'!I20</f>
        <v>11835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3575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11617</v>
      </c>
      <c r="C3231" s="2" t="s">
        <v>573</v>
      </c>
      <c r="D3231" s="2" t="str">
        <f t="shared" si="49"/>
        <v>Error?</v>
      </c>
    </row>
    <row r="3232" spans="1:4" x14ac:dyDescent="0.2">
      <c r="A3232" s="5">
        <v>3171</v>
      </c>
      <c r="B3232" s="138">
        <f>'Acct Summary 7-8'!C77</f>
        <v>-8042</v>
      </c>
      <c r="C3232" s="2" t="s">
        <v>573</v>
      </c>
      <c r="D3232" s="2" t="str">
        <f t="shared" si="49"/>
        <v>Error?</v>
      </c>
    </row>
    <row r="3233" spans="1:4" x14ac:dyDescent="0.2">
      <c r="A3233" s="5">
        <v>3172</v>
      </c>
      <c r="B3233" s="138">
        <f>'Acct Summary 7-8'!C78</f>
        <v>1179489</v>
      </c>
      <c r="C3233" s="2" t="s">
        <v>573</v>
      </c>
      <c r="D3233" s="2" t="str">
        <f t="shared" si="49"/>
        <v>Error?</v>
      </c>
    </row>
    <row r="3234" spans="1:4" x14ac:dyDescent="0.2">
      <c r="A3234" s="5">
        <v>3173</v>
      </c>
      <c r="B3234" s="138">
        <f>'Acct Summary 7-8'!D43</f>
        <v>106776</v>
      </c>
      <c r="D3234" s="2" t="str">
        <f t="shared" si="49"/>
        <v>Error?</v>
      </c>
    </row>
    <row r="3235" spans="1:4" x14ac:dyDescent="0.2">
      <c r="A3235" s="5">
        <v>3174</v>
      </c>
      <c r="B3235" s="138">
        <f>'Acct Summary 7-8'!D44</f>
        <v>106776</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106776</v>
      </c>
      <c r="C3238" s="2" t="s">
        <v>573</v>
      </c>
      <c r="D3238" s="2" t="str">
        <f t="shared" si="49"/>
        <v>Error?</v>
      </c>
    </row>
    <row r="3239" spans="1:4" x14ac:dyDescent="0.2">
      <c r="A3239" s="5">
        <v>3178</v>
      </c>
      <c r="B3239" s="138">
        <f>'Acct Summary 7-8'!D78</f>
        <v>79332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163449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42486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105970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105970</v>
      </c>
      <c r="C3277" s="2" t="s">
        <v>573</v>
      </c>
      <c r="D3277" s="2" t="str">
        <f t="shared" si="50"/>
        <v>Error?</v>
      </c>
    </row>
    <row r="3278" spans="1:4" x14ac:dyDescent="0.2">
      <c r="A3278" s="5">
        <v>3217</v>
      </c>
      <c r="B3278" s="138">
        <f>'Acct Summary 7-8'!E78</f>
        <v>7552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11835</v>
      </c>
      <c r="C3320" s="2" t="s">
        <v>573</v>
      </c>
      <c r="D3320" s="2" t="str">
        <f t="shared" si="50"/>
        <v>Error?</v>
      </c>
    </row>
    <row r="3321" spans="1:4" x14ac:dyDescent="0.2">
      <c r="A3321" s="5">
        <v>3260</v>
      </c>
      <c r="B3321" s="138">
        <f>'Acct Summary 7-8'!I79</f>
        <v>112327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124162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305424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59292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5097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369823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30158</v>
      </c>
      <c r="D3387" s="2" t="str">
        <f t="shared" si="51"/>
        <v>Error?</v>
      </c>
    </row>
    <row r="3388" spans="1:4" x14ac:dyDescent="0.2">
      <c r="A3388" s="5">
        <v>3327</v>
      </c>
      <c r="B3388" s="138">
        <f>'Expenditures 15-22'!D217</f>
        <v>15898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30158</v>
      </c>
      <c r="C3390" s="2" t="s">
        <v>573</v>
      </c>
      <c r="D3390" s="2" t="str">
        <f t="shared" si="51"/>
        <v>Error?</v>
      </c>
    </row>
    <row r="3391" spans="1:4" x14ac:dyDescent="0.2">
      <c r="A3391" s="5">
        <v>3330</v>
      </c>
      <c r="B3391" s="138">
        <f>'Expenditures 15-22'!K217</f>
        <v>15898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58156</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3410881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348779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197275</v>
      </c>
      <c r="D3417" s="2" t="str">
        <f t="shared" si="52"/>
        <v>Error?</v>
      </c>
    </row>
    <row r="3418" spans="1:4" x14ac:dyDescent="0.2">
      <c r="A3418" s="10">
        <v>3357</v>
      </c>
      <c r="D3418" s="2" t="str">
        <f t="shared" si="52"/>
        <v>OK</v>
      </c>
    </row>
    <row r="3419" spans="1:4" x14ac:dyDescent="0.2">
      <c r="A3419" s="5">
        <v>3358</v>
      </c>
      <c r="B3419" s="138">
        <f>'Assets-Liab 5-6'!F4</f>
        <v>333624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152377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124162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74948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70355</v>
      </c>
      <c r="C3449" s="2" t="s">
        <v>573</v>
      </c>
      <c r="D3449" s="2" t="str">
        <f t="shared" si="52"/>
        <v>Error?</v>
      </c>
    </row>
    <row r="3450" spans="1:4" x14ac:dyDescent="0.2">
      <c r="A3450" s="5">
        <v>3389</v>
      </c>
      <c r="B3450" s="138">
        <f>'Tax Sched 23'!E16</f>
        <v>70355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187766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187766</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187766</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3575</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980936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980936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980936</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980936</v>
      </c>
      <c r="C3568" s="2" t="s">
        <v>573</v>
      </c>
      <c r="D3568" s="2" t="str">
        <f t="shared" si="54"/>
        <v>Error?</v>
      </c>
    </row>
    <row r="3569" spans="1:4" x14ac:dyDescent="0.2">
      <c r="A3569" s="5">
        <v>3508</v>
      </c>
      <c r="B3569" s="138">
        <f>'Acct Summary 7-8'!K4</f>
        <v>3523</v>
      </c>
      <c r="C3569" s="2" t="s">
        <v>573</v>
      </c>
      <c r="D3569" s="2" t="str">
        <f t="shared" si="54"/>
        <v>Error?</v>
      </c>
    </row>
    <row r="3570" spans="1:4" x14ac:dyDescent="0.2">
      <c r="A3570" s="5">
        <v>3509</v>
      </c>
      <c r="B3570" s="138">
        <f>'Acct Summary 7-8'!K6</f>
        <v>275935</v>
      </c>
      <c r="C3570" s="2" t="s">
        <v>573</v>
      </c>
      <c r="D3570" s="2" t="str">
        <f t="shared" si="54"/>
        <v>Error?</v>
      </c>
    </row>
    <row r="3571" spans="1:4" x14ac:dyDescent="0.2">
      <c r="A3571" s="5">
        <v>3510</v>
      </c>
      <c r="B3571" s="138">
        <f>'Acct Summary 7-8'!K8</f>
        <v>279458</v>
      </c>
      <c r="C3571" s="2" t="s">
        <v>573</v>
      </c>
      <c r="D3571" s="2" t="str">
        <f t="shared" si="54"/>
        <v>Error?</v>
      </c>
    </row>
    <row r="3572" spans="1:4" x14ac:dyDescent="0.2">
      <c r="A3572" s="5">
        <v>3511</v>
      </c>
      <c r="B3572" s="138">
        <f>'Acct Summary 7-8'!K13</f>
        <v>402041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402041</v>
      </c>
      <c r="C3575" s="2" t="s">
        <v>573</v>
      </c>
      <c r="D3575" s="2" t="str">
        <f t="shared" si="54"/>
        <v>Error?</v>
      </c>
    </row>
    <row r="3576" spans="1:4" x14ac:dyDescent="0.2">
      <c r="A3576" s="5">
        <v>3515</v>
      </c>
      <c r="B3576" s="138">
        <f>'Acct Summary 7-8'!K20</f>
        <v>-122583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1090500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1090500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1090500</v>
      </c>
      <c r="C3587" s="2" t="s">
        <v>573</v>
      </c>
      <c r="D3587" s="2" t="str">
        <f t="shared" si="55"/>
        <v>Error?</v>
      </c>
    </row>
    <row r="3588" spans="1:4" x14ac:dyDescent="0.2">
      <c r="A3588" s="5">
        <v>3527</v>
      </c>
      <c r="B3588" s="138">
        <f>'Acct Summary 7-8'!K78</f>
        <v>967917</v>
      </c>
      <c r="C3588" s="2" t="s">
        <v>573</v>
      </c>
      <c r="D3588" s="2" t="str">
        <f t="shared" si="55"/>
        <v>Error?</v>
      </c>
    </row>
    <row r="3589" spans="1:4" x14ac:dyDescent="0.2">
      <c r="A3589" s="5">
        <v>3528</v>
      </c>
      <c r="B3589" s="138">
        <f>'Acct Summary 7-8'!K79</f>
        <v>13019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980936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14766</v>
      </c>
      <c r="D3632" s="2" t="str">
        <f t="shared" si="55"/>
        <v>Error?</v>
      </c>
    </row>
    <row r="3633" spans="1:4" x14ac:dyDescent="0.2">
      <c r="A3633" s="5">
        <v>3572</v>
      </c>
      <c r="B3633" s="138">
        <f>'Expenditures 15-22'!E350</f>
        <v>14766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14766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387275</v>
      </c>
      <c r="D3646" s="2" t="str">
        <f t="shared" si="55"/>
        <v>Error?</v>
      </c>
    </row>
    <row r="3647" spans="1:4" x14ac:dyDescent="0.2">
      <c r="A3647" s="5">
        <v>3586</v>
      </c>
      <c r="B3647" s="138">
        <f>'Expenditures 15-22'!G350</f>
        <v>387275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387275</v>
      </c>
      <c r="C3649" s="2" t="s">
        <v>573</v>
      </c>
      <c r="D3649" s="2" t="str">
        <f t="shared" si="56"/>
        <v>Error?</v>
      </c>
    </row>
    <row r="3650" spans="1:4" x14ac:dyDescent="0.2">
      <c r="A3650" s="5">
        <v>3589</v>
      </c>
      <c r="B3650" s="138">
        <f>'Expenditures 15-22'!G367</f>
        <v>387275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402041</v>
      </c>
      <c r="C3669" s="2" t="s">
        <v>573</v>
      </c>
      <c r="D3669" s="2" t="str">
        <f t="shared" si="56"/>
        <v>Error?</v>
      </c>
    </row>
    <row r="3670" spans="1:4" x14ac:dyDescent="0.2">
      <c r="A3670" s="5">
        <v>3609</v>
      </c>
      <c r="B3670" s="138">
        <f>'Expenditures 15-22'!K350</f>
        <v>402041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402041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402041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-122583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11622</v>
      </c>
      <c r="C3725" s="2" t="s">
        <v>573</v>
      </c>
      <c r="D3725" s="2" t="str">
        <f t="shared" si="57"/>
        <v>Error?</v>
      </c>
    </row>
    <row r="3726" spans="1:4" x14ac:dyDescent="0.2">
      <c r="A3726" s="5">
        <v>3665</v>
      </c>
      <c r="B3726" s="138">
        <f>'Tax Sched 23'!D13</f>
        <v>11622</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12823</v>
      </c>
      <c r="C3728" s="2" t="s">
        <v>573</v>
      </c>
      <c r="D3728" s="2" t="str">
        <f t="shared" si="57"/>
        <v>Error?</v>
      </c>
    </row>
    <row r="3729" spans="1:4" x14ac:dyDescent="0.2">
      <c r="A3729" s="5">
        <v>3668</v>
      </c>
      <c r="B3729" s="138">
        <f>'Tax Sched 23'!E13</f>
        <v>12823</v>
      </c>
      <c r="D3729" s="2" t="str">
        <f t="shared" si="57"/>
        <v>Error?</v>
      </c>
    </row>
    <row r="3730" spans="1:4" x14ac:dyDescent="0.2">
      <c r="A3730" s="5">
        <v>3669</v>
      </c>
      <c r="B3730" s="138">
        <f>'ICR Computation 30'!E10</f>
        <v>236535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1802662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8127256</v>
      </c>
      <c r="C4122" s="2" t="s">
        <v>573</v>
      </c>
      <c r="D4122" s="2" t="str">
        <f t="shared" si="63"/>
        <v>Error?</v>
      </c>
    </row>
    <row r="4123" spans="1:4" x14ac:dyDescent="0.2">
      <c r="A4123" s="5">
        <v>4062</v>
      </c>
      <c r="B4123" s="138">
        <f>'Acct Summary 7-8'!D10</f>
        <v>312161</v>
      </c>
      <c r="C4123" s="2" t="s">
        <v>573</v>
      </c>
      <c r="D4123" s="2" t="str">
        <f t="shared" si="63"/>
        <v>Error?</v>
      </c>
    </row>
    <row r="4124" spans="1:4" x14ac:dyDescent="0.2">
      <c r="A4124" s="5">
        <v>4063</v>
      </c>
      <c r="B4124" s="138">
        <f>'Acct Summary 7-8'!E10</f>
        <v>274214</v>
      </c>
      <c r="C4124" s="2" t="s">
        <v>573</v>
      </c>
      <c r="D4124" s="2" t="str">
        <f t="shared" si="63"/>
        <v>Error?</v>
      </c>
    </row>
    <row r="4125" spans="1:4" x14ac:dyDescent="0.2">
      <c r="A4125" s="5">
        <v>4064</v>
      </c>
      <c r="B4125" s="138">
        <f>'Acct Summary 7-8'!F10</f>
        <v>682529</v>
      </c>
      <c r="C4125" s="2" t="s">
        <v>573</v>
      </c>
      <c r="D4125" s="2" t="str">
        <f t="shared" si="63"/>
        <v>Error?</v>
      </c>
    </row>
    <row r="4126" spans="1:4" x14ac:dyDescent="0.2">
      <c r="A4126" s="5">
        <v>4065</v>
      </c>
      <c r="B4126" s="138">
        <f>'Acct Summary 7-8'!G10</f>
        <v>195019</v>
      </c>
      <c r="C4126" s="2" t="s">
        <v>573</v>
      </c>
      <c r="D4126" s="2" t="str">
        <f t="shared" si="63"/>
        <v>Error?</v>
      </c>
    </row>
    <row r="4127" spans="1:4" x14ac:dyDescent="0.2">
      <c r="A4127" s="5">
        <v>4066</v>
      </c>
      <c r="B4127" s="138">
        <f>'Acct Summary 7-8'!H10</f>
        <v>13222</v>
      </c>
      <c r="C4127" s="2" t="s">
        <v>573</v>
      </c>
      <c r="D4127" s="2" t="str">
        <f t="shared" si="63"/>
        <v>Error?</v>
      </c>
    </row>
    <row r="4128" spans="1:4" x14ac:dyDescent="0.2">
      <c r="A4128" s="5">
        <v>4067</v>
      </c>
      <c r="B4128" s="138">
        <f>'Acct Summary 7-8'!I10</f>
        <v>11835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279458</v>
      </c>
      <c r="C4130" s="2" t="s">
        <v>573</v>
      </c>
      <c r="D4130" s="2" t="str">
        <f t="shared" si="63"/>
        <v>Error?</v>
      </c>
    </row>
    <row r="4131" spans="1:4" x14ac:dyDescent="0.2">
      <c r="A4131" s="5">
        <v>4070</v>
      </c>
      <c r="B4131" s="138">
        <f>'Acct Summary 7-8'!C18</f>
        <v>1802662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6939725</v>
      </c>
      <c r="C4136" s="2" t="s">
        <v>573</v>
      </c>
      <c r="D4136" s="2" t="str">
        <f t="shared" si="63"/>
        <v>Error?</v>
      </c>
    </row>
    <row r="4137" spans="1:4" x14ac:dyDescent="0.2">
      <c r="A4137" s="5">
        <v>4076</v>
      </c>
      <c r="B4137" s="138">
        <f>'Acct Summary 7-8'!D19</f>
        <v>339605</v>
      </c>
      <c r="C4137" s="2" t="s">
        <v>573</v>
      </c>
      <c r="D4137" s="2" t="str">
        <f t="shared" si="63"/>
        <v>Error?</v>
      </c>
    </row>
    <row r="4138" spans="1:4" x14ac:dyDescent="0.2">
      <c r="A4138" s="5">
        <v>4077</v>
      </c>
      <c r="B4138" s="138">
        <f>'Acct Summary 7-8'!E19</f>
        <v>372632</v>
      </c>
      <c r="C4138" s="2" t="s">
        <v>573</v>
      </c>
      <c r="D4138" s="2" t="str">
        <f t="shared" si="63"/>
        <v>Error?</v>
      </c>
    </row>
    <row r="4139" spans="1:4" x14ac:dyDescent="0.2">
      <c r="A4139" s="5">
        <v>4078</v>
      </c>
      <c r="B4139" s="138">
        <f>'Acct Summary 7-8'!F19</f>
        <v>519080</v>
      </c>
      <c r="C4139" s="2" t="s">
        <v>573</v>
      </c>
      <c r="D4139" s="2" t="str">
        <f t="shared" si="63"/>
        <v>Error?</v>
      </c>
    </row>
    <row r="4140" spans="1:4" x14ac:dyDescent="0.2">
      <c r="A4140" s="5">
        <v>4079</v>
      </c>
      <c r="B4140" s="138">
        <f>'Acct Summary 7-8'!G19</f>
        <v>152533</v>
      </c>
      <c r="C4140" s="2" t="s">
        <v>573</v>
      </c>
      <c r="D4140" s="2" t="str">
        <f t="shared" si="63"/>
        <v>Error?</v>
      </c>
    </row>
    <row r="4141" spans="1:4" x14ac:dyDescent="0.2">
      <c r="A4141" s="5">
        <v>4080</v>
      </c>
      <c r="B4141" s="138">
        <f>'Acct Summary 7-8'!H19</f>
        <v>13222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402041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3303914</v>
      </c>
      <c r="C4171" s="2" t="s">
        <v>573</v>
      </c>
      <c r="D4171" s="2" t="str">
        <f t="shared" si="64"/>
        <v>Error?</v>
      </c>
    </row>
    <row r="4172" spans="1:4" x14ac:dyDescent="0.2">
      <c r="A4172" s="5">
        <v>4111</v>
      </c>
      <c r="B4172" s="138">
        <f>'Short-Term Long-Term Debt 24'!J49</f>
        <v>3106639</v>
      </c>
      <c r="C4172" s="2" t="s">
        <v>573</v>
      </c>
      <c r="D4172" s="2" t="str">
        <f t="shared" si="64"/>
        <v>Error?</v>
      </c>
    </row>
    <row r="4173" spans="1:4" x14ac:dyDescent="0.2">
      <c r="A4173" s="5">
        <v>4112</v>
      </c>
      <c r="B4173" s="138">
        <f>'Short-Term Long-Term Debt 24'!H49</f>
        <v>180858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2700</v>
      </c>
      <c r="C4268" s="2" t="s">
        <v>573</v>
      </c>
      <c r="D4268" s="2" t="str">
        <f t="shared" si="65"/>
        <v>Error?</v>
      </c>
    </row>
    <row r="4269" spans="1:5" x14ac:dyDescent="0.2">
      <c r="A4269" s="12">
        <v>4208</v>
      </c>
      <c r="B4269" s="138">
        <f>'FP Info 3'!J16</f>
        <v>4238905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13678</v>
      </c>
      <c r="D4331" s="2" t="str">
        <f t="shared" si="66"/>
        <v>Error?</v>
      </c>
    </row>
    <row r="4332" spans="1:4" x14ac:dyDescent="0.2">
      <c r="A4332" s="5">
        <v>4271</v>
      </c>
      <c r="B4332" s="138">
        <f>'Revenues 9-14'!C203</f>
        <v>991728</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5822</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5822</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311289</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359749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35123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51.34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66823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25731708</v>
      </c>
      <c r="D4995" s="2" t="str">
        <f t="shared" si="77"/>
        <v>Error?</v>
      </c>
    </row>
    <row r="4996" spans="1:4" x14ac:dyDescent="0.2">
      <c r="A4996" s="12">
        <v>4935</v>
      </c>
      <c r="B4996" s="138">
        <f>'FP Info 3'!H31</f>
        <v>3550975.7040000004</v>
      </c>
      <c r="D4996" s="2" t="str">
        <f t="shared" si="77"/>
        <v>Error?</v>
      </c>
    </row>
    <row r="4997" spans="1:4" x14ac:dyDescent="0.2">
      <c r="A4997" s="12">
        <v>4936</v>
      </c>
      <c r="B4997" s="138">
        <f>'FP Info 3'!H37</f>
        <v>3303914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11622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464759</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476381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90204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90204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8509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8509</v>
      </c>
      <c r="C5090" s="2" t="s">
        <v>573</v>
      </c>
      <c r="D5090" s="2" t="str">
        <f t="shared" si="78"/>
        <v>Error?</v>
      </c>
    </row>
    <row r="5091" spans="1:4" x14ac:dyDescent="0.2">
      <c r="A5091" s="5">
        <v>5030</v>
      </c>
      <c r="B5091" s="138">
        <f>'Revenues 9-14'!C70</f>
        <v>746</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11771</v>
      </c>
      <c r="D5094" s="2" t="str">
        <f t="shared" si="78"/>
        <v>Error?</v>
      </c>
    </row>
    <row r="5095" spans="1:4" x14ac:dyDescent="0.2">
      <c r="A5095" s="5">
        <v>5034</v>
      </c>
      <c r="B5095" s="138">
        <f>'Revenues 9-14'!C74</f>
        <v>3972</v>
      </c>
      <c r="D5095" s="2" t="str">
        <f t="shared" si="78"/>
        <v>Error?</v>
      </c>
    </row>
    <row r="5096" spans="1:4" x14ac:dyDescent="0.2">
      <c r="A5096" s="5">
        <v>5035</v>
      </c>
      <c r="B5096" s="138">
        <f>'Revenues 9-14'!C75</f>
        <v>16489</v>
      </c>
      <c r="C5096" s="2" t="s">
        <v>573</v>
      </c>
      <c r="D5096" s="2" t="str">
        <f t="shared" si="78"/>
        <v>Error?</v>
      </c>
    </row>
    <row r="5097" spans="1:4" x14ac:dyDescent="0.2">
      <c r="A5097" s="5">
        <v>5036</v>
      </c>
      <c r="B5097" s="138">
        <f>'Revenues 9-14'!C77</f>
        <v>7287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7287</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76123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14234</v>
      </c>
      <c r="D5119" s="2" t="str">
        <f t="shared" ref="D5119:D5182" si="79">IF(ISBLANK(B5119),"OK",IF(A5119-B5119=0,"OK","Error?"))</f>
        <v>Error?</v>
      </c>
    </row>
    <row r="5120" spans="1:4" x14ac:dyDescent="0.2">
      <c r="A5120" s="5">
        <v>5059</v>
      </c>
      <c r="B5120" s="138">
        <f>'Revenues 9-14'!C108</f>
        <v>90357</v>
      </c>
      <c r="C5120" s="2" t="s">
        <v>573</v>
      </c>
      <c r="D5120" s="2" t="str">
        <f t="shared" si="79"/>
        <v>Error?</v>
      </c>
    </row>
    <row r="5121" spans="1:4" x14ac:dyDescent="0.2">
      <c r="A5121" s="5">
        <v>5060</v>
      </c>
      <c r="B5121" s="138">
        <f>'Revenues 9-14'!C109</f>
        <v>689227</v>
      </c>
      <c r="C5121" s="2" t="s">
        <v>573</v>
      </c>
      <c r="D5121" s="2" t="str">
        <f t="shared" si="79"/>
        <v>Error?</v>
      </c>
    </row>
    <row r="5122" spans="1:4" x14ac:dyDescent="0.2">
      <c r="A5122" s="5">
        <v>5061</v>
      </c>
      <c r="B5122" s="138">
        <f>'Revenues 9-14'!C111</f>
        <v>51685</v>
      </c>
      <c r="D5122" s="2" t="str">
        <f t="shared" si="79"/>
        <v>Error?</v>
      </c>
    </row>
    <row r="5123" spans="1:4" x14ac:dyDescent="0.2">
      <c r="A5123" s="5">
        <v>5062</v>
      </c>
      <c r="B5123" s="138">
        <f>'Revenues 9-14'!C112</f>
        <v>6471</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58156</v>
      </c>
      <c r="C5125" s="2" t="s">
        <v>573</v>
      </c>
      <c r="D5125" s="2" t="str">
        <f t="shared" si="79"/>
        <v>Error?</v>
      </c>
    </row>
    <row r="5126" spans="1:4" x14ac:dyDescent="0.2">
      <c r="A5126" s="5">
        <v>5065</v>
      </c>
      <c r="B5126" s="138">
        <f>'Revenues 9-14'!C117</f>
        <v>3041351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3041351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6143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6143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2457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6163</v>
      </c>
      <c r="D5167" s="2" t="str">
        <f t="shared" si="79"/>
        <v>Error?</v>
      </c>
    </row>
    <row r="5168" spans="1:4" x14ac:dyDescent="0.2">
      <c r="A5168" s="5">
        <v>5107</v>
      </c>
      <c r="B5168" s="138">
        <f>'Revenues 9-14'!C148</f>
        <v>6467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318924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406977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3448328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219378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103887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349033</v>
      </c>
      <c r="C5246" s="2" t="s">
        <v>573</v>
      </c>
      <c r="D5246" s="2" t="str">
        <f t="shared" si="80"/>
        <v>Error?</v>
      </c>
    </row>
    <row r="5247" spans="1:4" x14ac:dyDescent="0.2">
      <c r="A5247" s="5">
        <v>5186</v>
      </c>
      <c r="B5247" s="138">
        <f>'Revenues 9-14'!C200</f>
        <v>385768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48460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1377496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1660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1660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2128883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2128883</v>
      </c>
      <c r="C5326" s="2" t="s">
        <v>573</v>
      </c>
      <c r="D5326" s="2" t="str">
        <f t="shared" si="82"/>
        <v>Error?</v>
      </c>
    </row>
    <row r="5327" spans="1:5" x14ac:dyDescent="0.2">
      <c r="A5327" s="5">
        <v>5266</v>
      </c>
      <c r="B5327" s="138">
        <f>'Revenues 9-14'!C268</f>
        <v>6324594</v>
      </c>
      <c r="C5327" s="2" t="s">
        <v>573</v>
      </c>
      <c r="D5327" s="2" t="str">
        <f t="shared" si="82"/>
        <v>Error?</v>
      </c>
    </row>
    <row r="5328" spans="1:5" x14ac:dyDescent="0.2">
      <c r="A5328" s="5">
        <v>5267</v>
      </c>
      <c r="B5328" s="138">
        <f>'Revenues 9-14'!D5</f>
        <v>116191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116191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116191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195970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195970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195970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312161</v>
      </c>
      <c r="C5508" s="2" t="s">
        <v>573</v>
      </c>
      <c r="D5508" s="2" t="str">
        <f t="shared" si="85"/>
        <v>Error?</v>
      </c>
    </row>
    <row r="5509" spans="1:4" x14ac:dyDescent="0.2">
      <c r="A5509" s="5">
        <v>5448</v>
      </c>
      <c r="B5509" s="138">
        <f>'Revenues 9-14'!E5</f>
        <v>178323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178323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15891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15891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194214</v>
      </c>
      <c r="C5527" s="2" t="s">
        <v>573</v>
      </c>
      <c r="D5527" s="2" t="str">
        <f t="shared" si="85"/>
        <v>Error?</v>
      </c>
    </row>
    <row r="5528" spans="1:4" x14ac:dyDescent="0.2">
      <c r="A5528" s="5">
        <v>5467</v>
      </c>
      <c r="B5528" s="138">
        <f>'Revenues 9-14'!E117</f>
        <v>80000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80000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80000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274214</v>
      </c>
      <c r="C5552" s="2" t="s">
        <v>573</v>
      </c>
      <c r="D5552" s="2" t="str">
        <f t="shared" si="85"/>
        <v>Error?</v>
      </c>
    </row>
    <row r="5553" spans="1:4" x14ac:dyDescent="0.2">
      <c r="A5553" s="5">
        <v>5492</v>
      </c>
      <c r="B5553" s="138">
        <f>'Revenues 9-14'!F5</f>
        <v>46477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46477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46477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280000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280000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233684</v>
      </c>
      <c r="D5615" s="2" t="str">
        <f t="shared" si="86"/>
        <v>Error?</v>
      </c>
    </row>
    <row r="5616" spans="1:4" x14ac:dyDescent="0.2">
      <c r="A5616" s="10">
        <v>5555</v>
      </c>
      <c r="D5616" s="2" t="str">
        <f t="shared" si="86"/>
        <v>OK</v>
      </c>
    </row>
    <row r="5617" spans="1:5" x14ac:dyDescent="0.2">
      <c r="A5617" s="5">
        <v>5556</v>
      </c>
      <c r="B5617" s="138">
        <f>'Revenues 9-14'!F153</f>
        <v>122368</v>
      </c>
      <c r="D5617" s="2" t="str">
        <f t="shared" si="86"/>
        <v>Error?</v>
      </c>
    </row>
    <row r="5618" spans="1:5" x14ac:dyDescent="0.2">
      <c r="A5618" s="5">
        <v>5557</v>
      </c>
      <c r="B5618" s="138">
        <f>'Revenues 9-14'!F155</f>
        <v>356052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356052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636052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682529</v>
      </c>
      <c r="C5720" s="2" t="s">
        <v>573</v>
      </c>
      <c r="D5720" s="2" t="str">
        <f t="shared" si="88"/>
        <v>Error?</v>
      </c>
    </row>
    <row r="5721" spans="1:4" x14ac:dyDescent="0.2">
      <c r="A5721" s="5">
        <v>5660</v>
      </c>
      <c r="B5721" s="138">
        <f>'Revenues 9-14'!G5</f>
        <v>96756</v>
      </c>
      <c r="D5721" s="2" t="str">
        <f t="shared" si="88"/>
        <v>Error?</v>
      </c>
    </row>
    <row r="5722" spans="1:4" x14ac:dyDescent="0.2">
      <c r="A5722" s="5">
        <v>5661</v>
      </c>
      <c r="B5722" s="138">
        <f>'Revenues 9-14'!G7</f>
        <v>75422</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172178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22551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22551</v>
      </c>
      <c r="C5730" s="2" t="s">
        <v>573</v>
      </c>
      <c r="D5730" s="2" t="str">
        <f t="shared" si="88"/>
        <v>Error?</v>
      </c>
    </row>
    <row r="5731" spans="1:4" x14ac:dyDescent="0.2">
      <c r="A5731" s="5">
        <v>5670</v>
      </c>
      <c r="B5731" s="138">
        <f>'Revenues 9-14'!G65</f>
        <v>290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195019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13222</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13222</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13222</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13222</v>
      </c>
      <c r="C5915" s="2" t="s">
        <v>573</v>
      </c>
      <c r="D5915" s="2" t="str">
        <f t="shared" si="91"/>
        <v>Error?</v>
      </c>
    </row>
    <row r="5916" spans="1:4" x14ac:dyDescent="0.2">
      <c r="A5916" s="5">
        <v>5855</v>
      </c>
      <c r="B5916" s="138">
        <f>'Revenues 9-14'!I5</f>
        <v>11622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11622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213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11835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3523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3523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275935</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275935</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275935</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279458</v>
      </c>
      <c r="C6023" s="2" t="s">
        <v>573</v>
      </c>
      <c r="D6023" s="2" t="str">
        <f t="shared" si="93"/>
        <v>Error?</v>
      </c>
    </row>
    <row r="6024" spans="1:5" x14ac:dyDescent="0.2">
      <c r="A6024" s="5">
        <v>5963</v>
      </c>
      <c r="B6024" s="138">
        <f>'Revenues 9-14'!G109</f>
        <v>195019</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11835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3523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25557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398.8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129329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129329</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129329</v>
      </c>
      <c r="D6216" s="2" t="str">
        <f t="shared" si="96"/>
        <v>Error?</v>
      </c>
      <c r="E6216" s="2" t="s">
        <v>190</v>
      </c>
    </row>
    <row r="6217" spans="1:5" x14ac:dyDescent="0.2">
      <c r="A6217">
        <v>6156</v>
      </c>
      <c r="B6217" s="138">
        <f>'Assets-Liab 5-6'!J4</f>
        <v>129329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21893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21893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21893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21893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11617</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106776</v>
      </c>
      <c r="D6260" s="2" t="str">
        <f t="shared" si="96"/>
        <v>Error?</v>
      </c>
      <c r="E6260" s="2" t="s">
        <v>190</v>
      </c>
    </row>
    <row r="6261" spans="1:5" x14ac:dyDescent="0.2">
      <c r="A6261">
        <v>6200</v>
      </c>
      <c r="B6261" s="138">
        <f>'Acct Summary 7-8'!J76</f>
        <v>106776</v>
      </c>
      <c r="D6261" s="2" t="str">
        <f t="shared" si="96"/>
        <v>Error?</v>
      </c>
      <c r="E6261" s="2" t="s">
        <v>190</v>
      </c>
    </row>
    <row r="6262" spans="1:5" x14ac:dyDescent="0.2">
      <c r="A6262">
        <v>6201</v>
      </c>
      <c r="B6262" s="138">
        <f>'Acct Summary 7-8'!J77</f>
        <v>-106776</v>
      </c>
      <c r="D6262" s="2" t="str">
        <f t="shared" si="96"/>
        <v>Error?</v>
      </c>
      <c r="E6262" s="2" t="s">
        <v>190</v>
      </c>
    </row>
    <row r="6263" spans="1:5" x14ac:dyDescent="0.2">
      <c r="A6263">
        <v>6202</v>
      </c>
      <c r="B6263" s="138">
        <f>'Acct Summary 7-8'!J78</f>
        <v>-84883</v>
      </c>
      <c r="D6263" s="2" t="str">
        <f t="shared" si="96"/>
        <v>Error?</v>
      </c>
      <c r="E6263" s="2" t="s">
        <v>190</v>
      </c>
    </row>
    <row r="6264" spans="1:5" x14ac:dyDescent="0.2">
      <c r="A6264">
        <v>6203</v>
      </c>
      <c r="B6264" s="138">
        <f>'Acct Summary 7-8'!J79</f>
        <v>214212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129329</v>
      </c>
      <c r="D6266" s="2" t="str">
        <f t="shared" si="96"/>
        <v>Error?</v>
      </c>
      <c r="E6266" s="2" t="s">
        <v>190</v>
      </c>
    </row>
    <row r="6267" spans="1:5" x14ac:dyDescent="0.2">
      <c r="A6267">
        <v>6206</v>
      </c>
      <c r="B6267" s="138">
        <f>'Acct Summary 7-8'!C82</f>
        <v>1179489</v>
      </c>
      <c r="D6267" s="2" t="str">
        <f t="shared" si="96"/>
        <v>Error?</v>
      </c>
      <c r="E6267" s="2" t="s">
        <v>190</v>
      </c>
    </row>
    <row r="6268" spans="1:5" x14ac:dyDescent="0.2">
      <c r="A6268">
        <v>6207</v>
      </c>
      <c r="B6268" s="138">
        <f>'Acct Summary 7-8'!D82</f>
        <v>79332</v>
      </c>
      <c r="D6268" s="2" t="str">
        <f t="shared" si="96"/>
        <v>Error?</v>
      </c>
      <c r="E6268" s="2" t="s">
        <v>190</v>
      </c>
    </row>
    <row r="6269" spans="1:5" x14ac:dyDescent="0.2">
      <c r="A6269">
        <v>6208</v>
      </c>
      <c r="B6269" s="138">
        <f>'Acct Summary 7-8'!E82</f>
        <v>7552</v>
      </c>
      <c r="D6269" s="2" t="str">
        <f t="shared" si="96"/>
        <v>Error?</v>
      </c>
      <c r="E6269" s="2" t="s">
        <v>190</v>
      </c>
    </row>
    <row r="6270" spans="1:5" x14ac:dyDescent="0.2">
      <c r="A6270">
        <v>6209</v>
      </c>
      <c r="B6270" s="138">
        <f>'Acct Summary 7-8'!F82</f>
        <v>163449</v>
      </c>
      <c r="D6270" s="2" t="str">
        <f t="shared" si="96"/>
        <v>Error?</v>
      </c>
      <c r="E6270" s="2" t="s">
        <v>190</v>
      </c>
    </row>
    <row r="6271" spans="1:5" x14ac:dyDescent="0.2">
      <c r="A6271">
        <v>6210</v>
      </c>
      <c r="B6271" s="138">
        <f>'Acct Summary 7-8'!G82</f>
        <v>42486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11835</v>
      </c>
      <c r="D6273" s="2" t="str">
        <f t="shared" si="97"/>
        <v>Error?</v>
      </c>
      <c r="E6273" s="2" t="s">
        <v>190</v>
      </c>
    </row>
    <row r="6274" spans="1:5" x14ac:dyDescent="0.2">
      <c r="A6274">
        <v>6213</v>
      </c>
      <c r="B6274" s="138">
        <f>'Acct Summary 7-8'!J82</f>
        <v>-84883</v>
      </c>
      <c r="D6274" s="2" t="str">
        <f t="shared" si="97"/>
        <v>Error?</v>
      </c>
      <c r="E6274" s="2" t="s">
        <v>190</v>
      </c>
    </row>
    <row r="6275" spans="1:5" x14ac:dyDescent="0.2">
      <c r="A6275">
        <v>6214</v>
      </c>
      <c r="B6275" s="138">
        <f>'Acct Summary 7-8'!K82</f>
        <v>967917</v>
      </c>
      <c r="D6275" s="2" t="str">
        <f t="shared" si="97"/>
        <v>Error?</v>
      </c>
      <c r="E6275" s="2" t="s">
        <v>190</v>
      </c>
    </row>
    <row r="6276" spans="1:5" x14ac:dyDescent="0.2">
      <c r="A6276">
        <v>6215</v>
      </c>
      <c r="B6276" s="138">
        <f>'Acct Summary 7-8'!C83</f>
        <v>0.34363990746837436</v>
      </c>
      <c r="D6276" s="2" t="str">
        <f t="shared" si="97"/>
        <v>Error?</v>
      </c>
      <c r="E6276" s="2" t="s">
        <v>190</v>
      </c>
    </row>
    <row r="6277" spans="1:5" x14ac:dyDescent="0.2">
      <c r="A6277">
        <v>6216</v>
      </c>
      <c r="B6277" s="138">
        <f>'Acct Summary 7-8'!D83</f>
        <v>0.2274563548837516</v>
      </c>
      <c r="D6277" s="2" t="str">
        <f t="shared" si="97"/>
        <v>Error?</v>
      </c>
      <c r="E6277" s="2" t="s">
        <v>190</v>
      </c>
    </row>
    <row r="6278" spans="1:5" x14ac:dyDescent="0.2">
      <c r="A6278">
        <v>6217</v>
      </c>
      <c r="B6278" s="138">
        <f>'Acct Summary 7-8'!E83</f>
        <v>3.8281586617665696E-2</v>
      </c>
      <c r="D6278" s="2" t="str">
        <f t="shared" si="97"/>
        <v>Error?</v>
      </c>
      <c r="E6278" s="2" t="s">
        <v>190</v>
      </c>
    </row>
    <row r="6279" spans="1:5" x14ac:dyDescent="0.2">
      <c r="A6279">
        <v>6218</v>
      </c>
      <c r="B6279" s="138">
        <f>'Acct Summary 7-8'!F83</f>
        <v>0.48991978994316954</v>
      </c>
      <c r="D6279" s="2" t="str">
        <f t="shared" si="97"/>
        <v>Error?</v>
      </c>
      <c r="E6279" s="2" t="s">
        <v>190</v>
      </c>
    </row>
    <row r="6280" spans="1:5" x14ac:dyDescent="0.2">
      <c r="A6280">
        <v>6219</v>
      </c>
      <c r="B6280" s="138">
        <f>'Acct Summary 7-8'!G83</f>
        <v>0.2788216069354299</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9.5319018701374006E-2</v>
      </c>
      <c r="D6282" s="2" t="str">
        <f t="shared" si="97"/>
        <v>Error?</v>
      </c>
      <c r="E6282" s="2" t="s">
        <v>190</v>
      </c>
    </row>
    <row r="6283" spans="1:5" x14ac:dyDescent="0.2">
      <c r="A6283">
        <v>6222</v>
      </c>
      <c r="B6283" s="138">
        <f>'Acct Summary 7-8'!J83</f>
        <v>-0.65633384623711621</v>
      </c>
      <c r="D6283" s="2" t="str">
        <f t="shared" si="97"/>
        <v>Error?</v>
      </c>
      <c r="E6283" s="2" t="s">
        <v>190</v>
      </c>
    </row>
    <row r="6284" spans="1:5" x14ac:dyDescent="0.2">
      <c r="A6284">
        <v>6223</v>
      </c>
      <c r="B6284" s="138">
        <f>'Acct Summary 7-8'!K83</f>
        <v>0.98672798225368419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11617</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21575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21575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318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318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21893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2457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140065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217535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21893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21893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33048</v>
      </c>
      <c r="D7246" s="2" t="str">
        <f t="shared" si="112"/>
        <v>Error?</v>
      </c>
    </row>
    <row r="7247" spans="1:4" x14ac:dyDescent="0.2">
      <c r="A7247">
        <f t="shared" si="113"/>
        <v>7186</v>
      </c>
      <c r="B7247" s="138">
        <f>'Expenditures 15-22'!E7</f>
        <v>15370</v>
      </c>
      <c r="D7247" s="2" t="str">
        <f t="shared" si="112"/>
        <v>Error?</v>
      </c>
    </row>
    <row r="7248" spans="1:4" x14ac:dyDescent="0.2">
      <c r="A7248">
        <f t="shared" si="113"/>
        <v>7187</v>
      </c>
      <c r="B7248" s="138">
        <f>'Expenditures 15-22'!F7</f>
        <v>29052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414213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12090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6467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6467</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6467</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748555</v>
      </c>
      <c r="D7797" s="2" t="str">
        <f t="shared" si="127"/>
        <v>Error?</v>
      </c>
      <c r="E7797" s="4" t="s">
        <v>1900</v>
      </c>
    </row>
    <row r="7798" spans="1:5" x14ac:dyDescent="0.2">
      <c r="A7798">
        <v>7737</v>
      </c>
      <c r="B7798" s="138">
        <f>'Contracts Paid in CY 29'!F141</f>
        <v>125000</v>
      </c>
      <c r="D7798" s="2" t="str">
        <f t="shared" si="127"/>
        <v>Error?</v>
      </c>
      <c r="E7798" s="4" t="s">
        <v>1900</v>
      </c>
    </row>
    <row r="7799" spans="1:5" x14ac:dyDescent="0.2">
      <c r="A7799">
        <v>7738</v>
      </c>
      <c r="B7799" s="138">
        <f>'Contracts Paid in CY 29'!G141</f>
        <v>623555</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8" t="s">
        <v>1191</v>
      </c>
      <c r="B2" s="2388"/>
      <c r="C2" s="2388"/>
      <c r="D2" s="2388"/>
      <c r="E2" s="2388"/>
      <c r="F2" s="2388"/>
      <c r="G2" s="2388"/>
      <c r="H2" s="2388"/>
      <c r="I2" s="2388"/>
      <c r="J2" s="2388"/>
      <c r="K2" s="2388"/>
      <c r="L2" s="2388"/>
    </row>
    <row r="3" spans="1:29" ht="13.5" customHeight="1" x14ac:dyDescent="0.2">
      <c r="A3" s="2419" t="s">
        <v>1190</v>
      </c>
      <c r="B3" s="2419"/>
      <c r="C3" s="2419"/>
      <c r="D3" s="2419"/>
      <c r="E3" s="2419"/>
      <c r="F3" s="2419"/>
      <c r="G3" s="2419"/>
      <c r="H3" s="2419"/>
      <c r="I3" s="2419"/>
      <c r="J3" s="2419"/>
      <c r="K3" s="2419"/>
      <c r="L3" s="2419"/>
    </row>
    <row r="4" spans="1:29" ht="13.5" customHeight="1" x14ac:dyDescent="0.2">
      <c r="A4" s="2388" t="s">
        <v>1985</v>
      </c>
      <c r="B4" s="2409"/>
      <c r="C4" s="2409"/>
      <c r="D4" s="2409"/>
      <c r="E4" s="2409"/>
      <c r="F4" s="2409"/>
      <c r="G4" s="2409"/>
      <c r="H4" s="2409"/>
      <c r="I4" s="2409"/>
      <c r="J4" s="2409"/>
      <c r="K4" s="2409"/>
      <c r="L4" s="240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0" t="str">
        <f>COVER!A17</f>
        <v>Meridian CUSD 101</v>
      </c>
      <c r="B7" s="2411"/>
      <c r="C7" s="2411"/>
      <c r="D7" s="2412"/>
      <c r="E7" s="2413">
        <f>COVER!A13</f>
        <v>30077101026</v>
      </c>
      <c r="F7" s="2414"/>
      <c r="G7" s="2420" t="str">
        <f>COVER!T23</f>
        <v>066-003889</v>
      </c>
      <c r="H7" s="2421"/>
      <c r="I7" s="2421"/>
      <c r="J7" s="2421"/>
      <c r="K7" s="2421"/>
      <c r="L7" s="242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3"/>
      <c r="B9" s="2424"/>
      <c r="C9" s="2424"/>
      <c r="D9" s="2424"/>
      <c r="E9" s="2424"/>
      <c r="F9" s="2425"/>
      <c r="G9" s="2394" t="str">
        <f>COVER!T13</f>
        <v>Beussink, Hey, Roe &amp; Stroder, LLC</v>
      </c>
      <c r="H9" s="2426"/>
      <c r="I9" s="2426"/>
      <c r="J9" s="2426"/>
      <c r="K9" s="2426"/>
      <c r="L9" s="2427"/>
    </row>
    <row r="10" spans="1:29" ht="13.5" customHeight="1" x14ac:dyDescent="0.2">
      <c r="A10" s="2400" t="str">
        <f>COVER!A38</f>
        <v>Mr. Jonathan Green</v>
      </c>
      <c r="B10" s="2401"/>
      <c r="C10" s="2401"/>
      <c r="D10" s="2401"/>
      <c r="E10" s="2401"/>
      <c r="F10" s="2402"/>
      <c r="G10" s="2394" t="str">
        <f>COVER!T17</f>
        <v>16 South Silver Springs Road</v>
      </c>
      <c r="H10" s="2395"/>
      <c r="I10" s="2395"/>
      <c r="J10" s="2395"/>
      <c r="K10" s="2395"/>
      <c r="L10" s="2396"/>
    </row>
    <row r="11" spans="1:29" ht="13.5" customHeight="1" x14ac:dyDescent="0.2">
      <c r="A11" s="1184" t="s">
        <v>1519</v>
      </c>
      <c r="B11" s="1185"/>
      <c r="C11" s="1186"/>
      <c r="D11" s="1191"/>
      <c r="E11" s="1186"/>
      <c r="F11" s="1190"/>
      <c r="G11" s="2394" t="str">
        <f>COVER!T19</f>
        <v>Cape Girardeau</v>
      </c>
      <c r="H11" s="2395"/>
      <c r="I11" s="2395"/>
      <c r="J11" s="2395"/>
      <c r="K11" s="2395"/>
      <c r="L11" s="2396"/>
    </row>
    <row r="12" spans="1:29" ht="13.5" customHeight="1" x14ac:dyDescent="0.2">
      <c r="A12" s="2403" t="s">
        <v>1518</v>
      </c>
      <c r="B12" s="2404"/>
      <c r="C12" s="2404"/>
      <c r="D12" s="2404"/>
      <c r="E12" s="2404"/>
      <c r="F12" s="2405"/>
      <c r="G12" s="2397"/>
      <c r="H12" s="2398"/>
      <c r="I12" s="2398"/>
      <c r="J12" s="2398"/>
      <c r="K12" s="2398"/>
      <c r="L12" s="2399"/>
    </row>
    <row r="13" spans="1:29" ht="13.5" customHeight="1" x14ac:dyDescent="0.2">
      <c r="A13" s="2394"/>
      <c r="B13" s="2395"/>
      <c r="C13" s="2395"/>
      <c r="D13" s="2395"/>
      <c r="E13" s="2395"/>
      <c r="F13" s="2396"/>
      <c r="G13" s="2389" t="s">
        <v>1520</v>
      </c>
      <c r="H13" s="2390"/>
      <c r="I13" s="2406" t="str">
        <f>COVER!T25</f>
        <v>jstroder@bhrcpas.com</v>
      </c>
      <c r="J13" s="2407"/>
      <c r="K13" s="2407"/>
      <c r="L13" s="2408"/>
    </row>
    <row r="14" spans="1:29" ht="13.5" customHeight="1" x14ac:dyDescent="0.2">
      <c r="A14" s="2394" t="str">
        <f>COVER!A19</f>
        <v>208 Valley Road</v>
      </c>
      <c r="B14" s="2395"/>
      <c r="C14" s="2395"/>
      <c r="D14" s="2395"/>
      <c r="E14" s="2395"/>
      <c r="F14" s="2396"/>
      <c r="G14" s="1195" t="s">
        <v>1185</v>
      </c>
      <c r="H14" s="1193"/>
      <c r="I14" s="1193"/>
      <c r="J14" s="1193"/>
      <c r="K14" s="1193"/>
      <c r="L14" s="1194"/>
    </row>
    <row r="15" spans="1:29" ht="13.5" customHeight="1" x14ac:dyDescent="0.2">
      <c r="A15" s="2394" t="str">
        <f>COVER!A21</f>
        <v>Mounds</v>
      </c>
      <c r="B15" s="2395"/>
      <c r="C15" s="2395"/>
      <c r="D15" s="2395"/>
      <c r="E15" s="2395"/>
      <c r="F15" s="2396"/>
      <c r="G15" s="2391" t="str">
        <f>COVER!T15</f>
        <v>Jeffrey C. Stroder, CPA</v>
      </c>
      <c r="H15" s="2392"/>
      <c r="I15" s="2392"/>
      <c r="J15" s="2392"/>
      <c r="K15" s="2392"/>
      <c r="L15" s="2393"/>
    </row>
    <row r="16" spans="1:29" ht="12.2" customHeight="1" x14ac:dyDescent="0.2">
      <c r="A16" s="2416">
        <f>COVER!A25</f>
        <v>62964</v>
      </c>
      <c r="B16" s="2417"/>
      <c r="C16" s="2417"/>
      <c r="D16" s="2417"/>
      <c r="E16" s="2417"/>
      <c r="F16" s="2418"/>
      <c r="G16" s="2428"/>
      <c r="H16" s="2429"/>
      <c r="I16" s="2429"/>
      <c r="J16" s="2429"/>
      <c r="K16" s="2429"/>
      <c r="L16" s="2430"/>
    </row>
    <row r="17" spans="1:13" ht="12.2" customHeight="1" x14ac:dyDescent="0.2">
      <c r="A17" s="2431"/>
      <c r="B17" s="2417"/>
      <c r="C17" s="2417"/>
      <c r="D17" s="2417"/>
      <c r="E17" s="2417"/>
      <c r="F17" s="2418"/>
      <c r="G17" s="1195" t="s">
        <v>1184</v>
      </c>
      <c r="H17" s="1193"/>
      <c r="I17" s="1193"/>
      <c r="J17" s="1193"/>
      <c r="K17" s="1197" t="s">
        <v>1183</v>
      </c>
      <c r="L17" s="1190"/>
      <c r="M17" s="1183"/>
    </row>
    <row r="18" spans="1:13" ht="12.2" customHeight="1" x14ac:dyDescent="0.2">
      <c r="A18" s="2400"/>
      <c r="B18" s="2401"/>
      <c r="C18" s="2401"/>
      <c r="D18" s="2401"/>
      <c r="E18" s="2401"/>
      <c r="F18" s="2402"/>
      <c r="G18" s="2410" t="str">
        <f>COVER!T21</f>
        <v>573-334-7971</v>
      </c>
      <c r="H18" s="2411"/>
      <c r="I18" s="2411"/>
      <c r="J18" s="2411"/>
      <c r="K18" s="2410" t="str">
        <f>COVER!X21</f>
        <v>573-334-8875</v>
      </c>
      <c r="L18" s="241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verticalCentered="1"/>
  <pageMargins left="0.32" right="0.32" top="0.68" bottom="1" header="0.26" footer="0.75"/>
  <pageSetup scale="90" firstPageNumber="35" fitToHeight="0" orientation="portrait" useFirstPageNumber="1" r:id="rId1"/>
  <headerFooter alignWithMargins="0">
    <oddHeader>&amp;L&amp;8Page 37&amp;R&amp;8Page 37</oddHeader>
    <oddFooter>&amp;CSee Independent Auditors' Report.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2" t="str">
        <f>'Single Audit Cover'!A7</f>
        <v>Meridian CUSD 101</v>
      </c>
      <c r="B1" s="2409"/>
      <c r="C1" s="2409"/>
      <c r="D1" s="2409"/>
    </row>
    <row r="2" spans="1:11" s="1212" customFormat="1" ht="12.75" x14ac:dyDescent="0.2">
      <c r="A2" s="2433">
        <f>'Single Audit Cover'!E7</f>
        <v>30077101026</v>
      </c>
      <c r="B2" s="2434"/>
      <c r="C2" s="2434"/>
      <c r="D2" s="2434"/>
    </row>
    <row r="3" spans="1:11" s="1212" customFormat="1" ht="12.75" x14ac:dyDescent="0.2">
      <c r="A3" s="2432" t="s">
        <v>1513</v>
      </c>
      <c r="B3" s="2409"/>
      <c r="C3" s="2409"/>
      <c r="D3" s="240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topLeftCell="A16"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6" t="str">
        <f>'Single Audit Cover'!A7</f>
        <v>Meridian CUSD 101</v>
      </c>
      <c r="B1" s="2436"/>
      <c r="C1" s="2436"/>
      <c r="D1" s="2436"/>
      <c r="E1" s="2436"/>
    </row>
    <row r="2" spans="1:5" x14ac:dyDescent="0.2">
      <c r="A2" s="2437">
        <f>'Single Audit Cover'!E7</f>
        <v>30077101026</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7" t="s">
        <v>1243</v>
      </c>
    </row>
    <row r="10" spans="1:5" x14ac:dyDescent="0.2">
      <c r="A10" s="1258" t="s">
        <v>1242</v>
      </c>
      <c r="B10" s="1259" t="s">
        <v>1241</v>
      </c>
      <c r="C10" s="1259"/>
      <c r="D10" s="1260">
        <f>SUM('Acct Summary 7-8'!C7:K7)</f>
        <v>2128883</v>
      </c>
    </row>
    <row r="11" spans="1:5" ht="18" customHeight="1" x14ac:dyDescent="0.2">
      <c r="A11" s="1258" t="s">
        <v>1240</v>
      </c>
      <c r="B11" s="1259"/>
      <c r="C11" s="1259"/>
    </row>
    <row r="12" spans="1:5" x14ac:dyDescent="0.2">
      <c r="A12" s="1258" t="s">
        <v>1239</v>
      </c>
      <c r="B12" s="1259" t="s">
        <v>1238</v>
      </c>
      <c r="C12" s="1259"/>
      <c r="D12" s="1261">
        <f>SUM('Revenues 9-14'!C112:D112,'Revenues 9-14'!F112:G112)</f>
        <v>6471</v>
      </c>
    </row>
    <row r="13" spans="1:5" x14ac:dyDescent="0.2">
      <c r="A13" s="1258" t="s">
        <v>1237</v>
      </c>
      <c r="B13" s="1259"/>
      <c r="C13" s="1259"/>
    </row>
    <row r="14" spans="1:5" x14ac:dyDescent="0.2">
      <c r="A14" s="1258" t="s">
        <v>1727</v>
      </c>
      <c r="B14" s="1259"/>
      <c r="C14" s="1259"/>
      <c r="D14" s="1261">
        <f>'ICR Computation 30'!E11</f>
        <v>25557</v>
      </c>
    </row>
    <row r="15" spans="1:5" x14ac:dyDescent="0.2">
      <c r="A15" s="1258"/>
      <c r="B15" s="1259"/>
      <c r="C15" s="1259"/>
    </row>
    <row r="16" spans="1:5" x14ac:dyDescent="0.2">
      <c r="A16" s="1258" t="s">
        <v>1840</v>
      </c>
      <c r="B16" s="1259"/>
      <c r="C16" s="1259"/>
    </row>
    <row r="17" spans="1:4" x14ac:dyDescent="0.2">
      <c r="A17" s="1258" t="s">
        <v>2057</v>
      </c>
      <c r="B17" s="1259" t="s">
        <v>1236</v>
      </c>
      <c r="C17" s="1259"/>
      <c r="D17" s="1261">
        <f>-SUM('Revenues 9-14'!C264:D264,'Revenues 9-14'!F264:G264)</f>
        <v>0</v>
      </c>
    </row>
    <row r="19" spans="1:4" ht="13.5" thickBot="1" x14ac:dyDescent="0.25">
      <c r="A19" s="1262" t="s">
        <v>1235</v>
      </c>
      <c r="D19" s="1263">
        <f>SUM(D10:D17)</f>
        <v>2160911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8"/>
      <c r="B24" s="2438"/>
      <c r="D24" s="1265"/>
    </row>
    <row r="25" spans="1:4" x14ac:dyDescent="0.2">
      <c r="A25" s="2435"/>
      <c r="B25" s="2435"/>
      <c r="D25" s="1265"/>
    </row>
    <row r="26" spans="1:4" x14ac:dyDescent="0.2">
      <c r="A26" s="2435"/>
      <c r="B26" s="2435"/>
      <c r="D26" s="1265"/>
    </row>
    <row r="27" spans="1:4" x14ac:dyDescent="0.2">
      <c r="A27" s="2435"/>
      <c r="B27" s="2435"/>
      <c r="D27" s="1265"/>
    </row>
    <row r="28" spans="1:4" x14ac:dyDescent="0.2">
      <c r="A28" s="2435"/>
      <c r="B28" s="2435"/>
      <c r="D28" s="1265"/>
    </row>
    <row r="29" spans="1:4" x14ac:dyDescent="0.2">
      <c r="A29" s="2435"/>
      <c r="B29" s="2435"/>
      <c r="D29" s="1265"/>
    </row>
    <row r="30" spans="1:4" x14ac:dyDescent="0.2">
      <c r="A30" s="2435"/>
      <c r="B30" s="2435"/>
      <c r="D30" s="1265"/>
    </row>
    <row r="32" spans="1:4" x14ac:dyDescent="0.2">
      <c r="A32" s="1257" t="s">
        <v>1233</v>
      </c>
      <c r="D32" s="1260">
        <f>SUM(D19:D30)</f>
        <v>2160911</v>
      </c>
    </row>
    <row r="33" spans="1:4" x14ac:dyDescent="0.2">
      <c r="D33" s="1266"/>
    </row>
    <row r="34" spans="1:4" x14ac:dyDescent="0.2">
      <c r="A34" s="317" t="s">
        <v>1232</v>
      </c>
    </row>
    <row r="35" spans="1:4" x14ac:dyDescent="0.2">
      <c r="A35" s="317" t="s">
        <v>1231</v>
      </c>
      <c r="B35" s="1255" t="s">
        <v>1230</v>
      </c>
      <c r="D35" s="1267">
        <v>2160911</v>
      </c>
    </row>
    <row r="37" spans="1:4" x14ac:dyDescent="0.2">
      <c r="A37" s="1257" t="s">
        <v>1229</v>
      </c>
    </row>
    <row r="39" spans="1:4" ht="13.35" customHeight="1" x14ac:dyDescent="0.2">
      <c r="A39" s="1264" t="s">
        <v>1228</v>
      </c>
    </row>
    <row r="40" spans="1:4" x14ac:dyDescent="0.2">
      <c r="A40" s="2435"/>
      <c r="B40" s="2435"/>
      <c r="D40" s="1265"/>
    </row>
    <row r="41" spans="1:4" x14ac:dyDescent="0.2">
      <c r="A41" s="2435"/>
      <c r="B41" s="2435"/>
      <c r="D41" s="1268"/>
    </row>
    <row r="42" spans="1:4" x14ac:dyDescent="0.2">
      <c r="A42" s="2435"/>
      <c r="B42" s="2435"/>
      <c r="D42" s="1268"/>
    </row>
    <row r="43" spans="1:4" x14ac:dyDescent="0.2">
      <c r="A43" s="2435"/>
      <c r="B43" s="2435"/>
      <c r="D43" s="1268"/>
    </row>
    <row r="44" spans="1:4" x14ac:dyDescent="0.2">
      <c r="A44" s="2435"/>
      <c r="B44" s="2435"/>
      <c r="D44" s="1268"/>
    </row>
    <row r="45" spans="1:4" x14ac:dyDescent="0.2">
      <c r="A45" s="2435"/>
      <c r="B45" s="2435"/>
      <c r="D45" s="1268"/>
    </row>
    <row r="47" spans="1:4" x14ac:dyDescent="0.2">
      <c r="B47" s="1269" t="s">
        <v>1227</v>
      </c>
      <c r="C47" s="1269"/>
      <c r="D47" s="1270">
        <f>SUM(D35:D45)</f>
        <v>2160911</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verticalCentered="1"/>
  <pageMargins left="0.65" right="0.5" top="0.79" bottom="1.1100000000000001" header="0.5" footer="0.8"/>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DB106-FDAD-4735-8393-F5E2AF8FD700}">
  <sheetPr>
    <tabColor rgb="FF00B050"/>
  </sheetPr>
  <dimension ref="B1:N152"/>
  <sheetViews>
    <sheetView showGridLines="0" zoomScaleNormal="100" workbookViewId="0">
      <selection activeCell="D36" sqref="D36"/>
    </sheetView>
  </sheetViews>
  <sheetFormatPr defaultColWidth="33.5703125" defaultRowHeight="12.75" x14ac:dyDescent="0.2"/>
  <cols>
    <col min="1" max="1" width="0.140625" style="317" customWidth="1"/>
    <col min="2" max="2" width="40"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Meridian CUSD 101</v>
      </c>
      <c r="C1" s="2440"/>
      <c r="D1" s="2440"/>
      <c r="E1" s="2440"/>
      <c r="F1" s="2440"/>
      <c r="G1" s="2440"/>
      <c r="H1" s="2440"/>
      <c r="I1" s="2440"/>
      <c r="J1" s="2440"/>
      <c r="K1" s="2440"/>
      <c r="L1" s="2440"/>
      <c r="M1" s="2440"/>
    </row>
    <row r="2" spans="2:14" ht="15" x14ac:dyDescent="0.2">
      <c r="B2" s="2441">
        <f>'Single Audit Cover'!E7</f>
        <v>30077101026</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2117</v>
      </c>
      <c r="C11" s="1335"/>
      <c r="D11" s="1336"/>
      <c r="E11" s="1337"/>
      <c r="F11" s="1337"/>
      <c r="G11" s="1337"/>
      <c r="H11" s="1337"/>
      <c r="I11" s="1337"/>
      <c r="J11" s="1337"/>
      <c r="K11" s="1337"/>
      <c r="L11" s="1337"/>
      <c r="M11" s="1337"/>
    </row>
    <row r="12" spans="2:14" ht="20.100000000000001" customHeight="1" x14ac:dyDescent="0.2">
      <c r="B12" s="1334" t="s">
        <v>2118</v>
      </c>
      <c r="C12" s="1338"/>
      <c r="D12" s="1339"/>
      <c r="E12" s="1340"/>
      <c r="F12" s="1340"/>
      <c r="G12" s="1340"/>
      <c r="H12" s="1340"/>
      <c r="I12" s="1340"/>
      <c r="J12" s="1340"/>
      <c r="K12" s="1340"/>
      <c r="L12" s="1337"/>
      <c r="M12" s="1340"/>
    </row>
    <row r="13" spans="2:14" ht="20.100000000000001" customHeight="1" x14ac:dyDescent="0.2">
      <c r="B13" s="1334" t="s">
        <v>2119</v>
      </c>
      <c r="C13" s="1338">
        <v>10.553000000000001</v>
      </c>
      <c r="D13" s="1339" t="s">
        <v>2120</v>
      </c>
      <c r="E13" s="1340">
        <v>84466</v>
      </c>
      <c r="F13" s="1340">
        <v>20787</v>
      </c>
      <c r="G13" s="1340">
        <v>84466</v>
      </c>
      <c r="H13" s="1340"/>
      <c r="I13" s="1340">
        <v>20787</v>
      </c>
      <c r="J13" s="1340"/>
      <c r="K13" s="1340"/>
      <c r="L13" s="1337">
        <f t="shared" ref="L13:L23" si="0">+G13+I13+K13</f>
        <v>105253</v>
      </c>
      <c r="M13" s="1340"/>
    </row>
    <row r="14" spans="2:14" ht="20.100000000000001" customHeight="1" x14ac:dyDescent="0.2">
      <c r="B14" s="1334" t="s">
        <v>2119</v>
      </c>
      <c r="C14" s="1338">
        <v>10.553000000000001</v>
      </c>
      <c r="D14" s="1339" t="s">
        <v>2121</v>
      </c>
      <c r="E14" s="1340"/>
      <c r="F14" s="1340">
        <v>83100</v>
      </c>
      <c r="G14" s="1340"/>
      <c r="H14" s="1340"/>
      <c r="I14" s="1340">
        <v>83100</v>
      </c>
      <c r="J14" s="1340"/>
      <c r="K14" s="1340"/>
      <c r="L14" s="1337">
        <f t="shared" si="0"/>
        <v>83100</v>
      </c>
      <c r="M14" s="1340"/>
    </row>
    <row r="15" spans="2:14" ht="20.100000000000001" customHeight="1" x14ac:dyDescent="0.2">
      <c r="B15" s="1334" t="s">
        <v>2130</v>
      </c>
      <c r="C15" s="1338"/>
      <c r="D15" s="1339"/>
      <c r="E15" s="1340">
        <f>E13+E14</f>
        <v>84466</v>
      </c>
      <c r="F15" s="1340">
        <f t="shared" ref="F15:M15" si="1">F13+F14</f>
        <v>103887</v>
      </c>
      <c r="G15" s="1340">
        <f t="shared" si="1"/>
        <v>84466</v>
      </c>
      <c r="H15" s="1340">
        <f t="shared" si="1"/>
        <v>0</v>
      </c>
      <c r="I15" s="1340">
        <f t="shared" si="1"/>
        <v>103887</v>
      </c>
      <c r="J15" s="1340">
        <f t="shared" si="1"/>
        <v>0</v>
      </c>
      <c r="K15" s="1340">
        <f t="shared" si="1"/>
        <v>0</v>
      </c>
      <c r="L15" s="1340">
        <f t="shared" si="1"/>
        <v>188353</v>
      </c>
      <c r="M15" s="1340">
        <f t="shared" si="1"/>
        <v>0</v>
      </c>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2118</v>
      </c>
      <c r="C17" s="1338"/>
      <c r="D17" s="1339"/>
      <c r="E17" s="1340"/>
      <c r="F17" s="1340"/>
      <c r="G17" s="1340"/>
      <c r="H17" s="1340"/>
      <c r="I17" s="1340"/>
      <c r="J17" s="1340"/>
      <c r="K17" s="1340"/>
      <c r="L17" s="1337"/>
      <c r="M17" s="1340"/>
    </row>
    <row r="18" spans="2:14" ht="20.100000000000001" customHeight="1" x14ac:dyDescent="0.2">
      <c r="B18" s="1334" t="s">
        <v>2122</v>
      </c>
      <c r="C18" s="1338">
        <v>10.555</v>
      </c>
      <c r="D18" s="1339" t="s">
        <v>2124</v>
      </c>
      <c r="E18" s="1340">
        <v>24142</v>
      </c>
      <c r="F18" s="1340"/>
      <c r="G18" s="1340">
        <v>24142</v>
      </c>
      <c r="H18" s="1340"/>
      <c r="I18" s="1340"/>
      <c r="J18" s="1340"/>
      <c r="K18" s="1340"/>
      <c r="L18" s="1337">
        <f t="shared" si="0"/>
        <v>24142</v>
      </c>
      <c r="M18" s="1340"/>
    </row>
    <row r="19" spans="2:14" ht="20.100000000000001" customHeight="1" x14ac:dyDescent="0.2">
      <c r="B19" s="1334" t="s">
        <v>2122</v>
      </c>
      <c r="C19" s="1338">
        <v>10.555</v>
      </c>
      <c r="D19" s="1339" t="s">
        <v>2125</v>
      </c>
      <c r="E19" s="1340"/>
      <c r="F19" s="1340">
        <v>19558</v>
      </c>
      <c r="G19" s="1340"/>
      <c r="H19" s="1340"/>
      <c r="I19" s="1340">
        <v>19558</v>
      </c>
      <c r="J19" s="1340"/>
      <c r="K19" s="1340"/>
      <c r="L19" s="1337">
        <f t="shared" si="0"/>
        <v>19558</v>
      </c>
      <c r="M19" s="1340"/>
    </row>
    <row r="20" spans="2:14" ht="20.100000000000001" customHeight="1" x14ac:dyDescent="0.2">
      <c r="B20" s="1334" t="s">
        <v>2123</v>
      </c>
      <c r="C20" s="1338">
        <v>10.555</v>
      </c>
      <c r="D20" s="1339" t="s">
        <v>2124</v>
      </c>
      <c r="E20" s="1340">
        <v>7932</v>
      </c>
      <c r="F20" s="1340"/>
      <c r="G20" s="1340">
        <v>7932</v>
      </c>
      <c r="H20" s="1340"/>
      <c r="I20" s="1340"/>
      <c r="J20" s="1340"/>
      <c r="K20" s="1340"/>
      <c r="L20" s="1337">
        <f t="shared" si="0"/>
        <v>7932</v>
      </c>
      <c r="M20" s="1340"/>
    </row>
    <row r="21" spans="2:14" ht="20.100000000000001" customHeight="1" x14ac:dyDescent="0.2">
      <c r="B21" s="1334" t="s">
        <v>2123</v>
      </c>
      <c r="C21" s="1338">
        <v>10.555</v>
      </c>
      <c r="D21" s="1339" t="s">
        <v>2125</v>
      </c>
      <c r="E21" s="1340"/>
      <c r="F21" s="1340">
        <v>5999</v>
      </c>
      <c r="G21" s="1340"/>
      <c r="H21" s="1340"/>
      <c r="I21" s="1340">
        <v>5999</v>
      </c>
      <c r="J21" s="1340"/>
      <c r="K21" s="1340"/>
      <c r="L21" s="1337">
        <f t="shared" si="0"/>
        <v>5999</v>
      </c>
      <c r="M21" s="1340"/>
    </row>
    <row r="22" spans="2:14" ht="20.100000000000001" customHeight="1" x14ac:dyDescent="0.2">
      <c r="B22" s="1334" t="s">
        <v>2126</v>
      </c>
      <c r="C22" s="1338">
        <v>10.555</v>
      </c>
      <c r="D22" s="1339" t="s">
        <v>2127</v>
      </c>
      <c r="E22" s="1340">
        <v>173156</v>
      </c>
      <c r="F22" s="1340">
        <v>44263</v>
      </c>
      <c r="G22" s="1340">
        <v>173156</v>
      </c>
      <c r="H22" s="1340"/>
      <c r="I22" s="1340">
        <v>44263</v>
      </c>
      <c r="J22" s="1340"/>
      <c r="K22" s="1340"/>
      <c r="L22" s="1337">
        <f t="shared" si="0"/>
        <v>217419</v>
      </c>
      <c r="M22" s="1340"/>
    </row>
    <row r="23" spans="2:14" ht="20.100000000000001" customHeight="1" x14ac:dyDescent="0.2">
      <c r="B23" s="1334" t="s">
        <v>2126</v>
      </c>
      <c r="C23" s="1338">
        <v>10.555</v>
      </c>
      <c r="D23" s="1339" t="s">
        <v>2128</v>
      </c>
      <c r="E23" s="1340"/>
      <c r="F23" s="1340">
        <v>175115</v>
      </c>
      <c r="G23" s="1340"/>
      <c r="H23" s="1340"/>
      <c r="I23" s="1340">
        <v>175115</v>
      </c>
      <c r="J23" s="1340"/>
      <c r="K23" s="1340"/>
      <c r="L23" s="1337">
        <f t="shared" si="0"/>
        <v>175115</v>
      </c>
      <c r="M23" s="1340"/>
    </row>
    <row r="24" spans="2:14" ht="20.100000000000001" customHeight="1" x14ac:dyDescent="0.2">
      <c r="B24" s="1334" t="s">
        <v>2129</v>
      </c>
      <c r="C24" s="1338"/>
      <c r="D24" s="1339"/>
      <c r="E24" s="1340">
        <f>SUM(E18:E23)</f>
        <v>205230</v>
      </c>
      <c r="F24" s="1340">
        <f>SUM(F18:F23)</f>
        <v>244935</v>
      </c>
      <c r="G24" s="1340">
        <f t="shared" ref="G24:M24" si="2">SUM(G18:G23)</f>
        <v>205230</v>
      </c>
      <c r="H24" s="1340">
        <f t="shared" si="2"/>
        <v>0</v>
      </c>
      <c r="I24" s="1340">
        <f t="shared" si="2"/>
        <v>244935</v>
      </c>
      <c r="J24" s="1340">
        <f t="shared" si="2"/>
        <v>0</v>
      </c>
      <c r="K24" s="1340">
        <f t="shared" si="2"/>
        <v>0</v>
      </c>
      <c r="L24" s="1340">
        <f t="shared" si="2"/>
        <v>450165</v>
      </c>
      <c r="M24" s="1340">
        <f t="shared" si="2"/>
        <v>0</v>
      </c>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t="s">
        <v>2131</v>
      </c>
      <c r="C26" s="1338"/>
      <c r="D26" s="1339"/>
      <c r="E26" s="1340">
        <f>E15+E24</f>
        <v>289696</v>
      </c>
      <c r="F26" s="1340">
        <f>F15+F24</f>
        <v>348822</v>
      </c>
      <c r="G26" s="1340">
        <f t="shared" ref="G26:M26" si="3">G15+G24</f>
        <v>289696</v>
      </c>
      <c r="H26" s="1340">
        <f t="shared" si="3"/>
        <v>0</v>
      </c>
      <c r="I26" s="1340">
        <f t="shared" si="3"/>
        <v>348822</v>
      </c>
      <c r="J26" s="1340">
        <f t="shared" si="3"/>
        <v>0</v>
      </c>
      <c r="K26" s="1340">
        <f t="shared" si="3"/>
        <v>0</v>
      </c>
      <c r="L26" s="1340">
        <f t="shared" si="3"/>
        <v>638518</v>
      </c>
      <c r="M26" s="1340">
        <f t="shared" si="3"/>
        <v>0</v>
      </c>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verticalCentered="1"/>
  <pageMargins left="0.5" right="0.5" top="0.5" bottom="0.5" header="0.25" footer="0.35"/>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4ED06-A331-490E-94BD-4C9C170024C9}">
  <sheetPr>
    <tabColor rgb="FF00B050"/>
  </sheetPr>
  <dimension ref="B1:N152"/>
  <sheetViews>
    <sheetView showGridLines="0" zoomScaleNormal="100" workbookViewId="0">
      <selection activeCell="D36" sqref="D3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Meridian CUSD 101</v>
      </c>
      <c r="C1" s="2440"/>
      <c r="D1" s="2440"/>
      <c r="E1" s="2440"/>
      <c r="F1" s="2440"/>
      <c r="G1" s="2440"/>
      <c r="H1" s="2440"/>
      <c r="I1" s="2440"/>
      <c r="J1" s="2440"/>
      <c r="K1" s="2440"/>
      <c r="L1" s="2440"/>
      <c r="M1" s="2440"/>
    </row>
    <row r="2" spans="2:14" ht="15" x14ac:dyDescent="0.2">
      <c r="B2" s="2441">
        <f>'Single Audit Cover'!E7</f>
        <v>30077101026</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2117</v>
      </c>
      <c r="C11" s="1335"/>
      <c r="D11" s="1336"/>
      <c r="E11" s="1337"/>
      <c r="F11" s="1337"/>
      <c r="G11" s="1337"/>
      <c r="H11" s="1337"/>
      <c r="I11" s="1337"/>
      <c r="J11" s="1337"/>
      <c r="K11" s="1337"/>
      <c r="L11" s="1337"/>
      <c r="M11" s="1337"/>
    </row>
    <row r="12" spans="2:14" ht="20.100000000000001" customHeight="1" x14ac:dyDescent="0.2">
      <c r="B12" s="1334" t="s">
        <v>2118</v>
      </c>
      <c r="C12" s="1338"/>
      <c r="D12" s="1339"/>
      <c r="E12" s="1340"/>
      <c r="F12" s="1340"/>
      <c r="G12" s="1340"/>
      <c r="H12" s="1340"/>
      <c r="I12" s="1340"/>
      <c r="J12" s="1340"/>
      <c r="K12" s="1340"/>
      <c r="L12" s="1337"/>
      <c r="M12" s="1340"/>
    </row>
    <row r="13" spans="2:14" ht="20.100000000000001" customHeight="1" x14ac:dyDescent="0.2">
      <c r="B13" s="1334" t="s">
        <v>2132</v>
      </c>
      <c r="C13" s="1338">
        <v>10.579000000000001</v>
      </c>
      <c r="D13" s="1339" t="s">
        <v>2133</v>
      </c>
      <c r="E13" s="1340"/>
      <c r="F13" s="1340">
        <v>13678</v>
      </c>
      <c r="G13" s="1340"/>
      <c r="H13" s="1340"/>
      <c r="I13" s="1340">
        <v>13678</v>
      </c>
      <c r="J13" s="1340"/>
      <c r="K13" s="1340"/>
      <c r="L13" s="1337">
        <f t="shared" ref="L13:L26" si="0">+G13+I13+K13</f>
        <v>13678</v>
      </c>
      <c r="M13" s="1340"/>
    </row>
    <row r="14" spans="2:14" ht="20.100000000000001" customHeight="1" x14ac:dyDescent="0.2">
      <c r="B14" s="1334" t="s">
        <v>2134</v>
      </c>
      <c r="C14" s="1338"/>
      <c r="D14" s="1339"/>
      <c r="E14" s="1340">
        <f>E13</f>
        <v>0</v>
      </c>
      <c r="F14" s="1340">
        <f t="shared" ref="F14:M14" si="1">F13</f>
        <v>13678</v>
      </c>
      <c r="G14" s="1340">
        <f t="shared" si="1"/>
        <v>0</v>
      </c>
      <c r="H14" s="1340">
        <f t="shared" si="1"/>
        <v>0</v>
      </c>
      <c r="I14" s="1340">
        <f t="shared" si="1"/>
        <v>13678</v>
      </c>
      <c r="J14" s="1340">
        <f t="shared" si="1"/>
        <v>0</v>
      </c>
      <c r="K14" s="1340">
        <f t="shared" si="1"/>
        <v>0</v>
      </c>
      <c r="L14" s="1340">
        <f t="shared" si="1"/>
        <v>13678</v>
      </c>
      <c r="M14" s="1340">
        <f t="shared" si="1"/>
        <v>0</v>
      </c>
    </row>
    <row r="15" spans="2:14" ht="20.100000000000001" customHeight="1" x14ac:dyDescent="0.2">
      <c r="B15" s="1334" t="s">
        <v>1169</v>
      </c>
      <c r="C15" s="1338"/>
      <c r="D15" s="1339"/>
      <c r="E15" s="1340"/>
      <c r="F15" s="1340"/>
      <c r="G15" s="1340"/>
      <c r="H15" s="1340"/>
      <c r="I15" s="1340"/>
      <c r="J15" s="1340"/>
      <c r="K15" s="1340"/>
      <c r="L15" s="1337"/>
      <c r="M15" s="1340"/>
    </row>
    <row r="16" spans="2:14" ht="20.100000000000001" customHeight="1" x14ac:dyDescent="0.2">
      <c r="B16" s="1334" t="s">
        <v>2118</v>
      </c>
      <c r="C16" s="1338"/>
      <c r="D16" s="1339"/>
      <c r="E16" s="1340"/>
      <c r="F16" s="1340"/>
      <c r="G16" s="1340"/>
      <c r="H16" s="1340"/>
      <c r="I16" s="1340"/>
      <c r="J16" s="1340"/>
      <c r="K16" s="1340"/>
      <c r="L16" s="1337"/>
      <c r="M16" s="1340"/>
    </row>
    <row r="17" spans="2:14" ht="20.100000000000001" customHeight="1" x14ac:dyDescent="0.2">
      <c r="B17" s="1334" t="s">
        <v>2135</v>
      </c>
      <c r="C17" s="1338">
        <v>10.582000000000001</v>
      </c>
      <c r="D17" s="1339" t="s">
        <v>2136</v>
      </c>
      <c r="E17" s="1340">
        <v>12923</v>
      </c>
      <c r="F17" s="1340"/>
      <c r="G17" s="1340">
        <v>12923</v>
      </c>
      <c r="H17" s="1340"/>
      <c r="I17" s="1340"/>
      <c r="J17" s="1340"/>
      <c r="K17" s="1340"/>
      <c r="L17" s="1337">
        <f t="shared" si="0"/>
        <v>12923</v>
      </c>
      <c r="M17" s="1340"/>
    </row>
    <row r="18" spans="2:14" ht="20.100000000000001" customHeight="1" x14ac:dyDescent="0.2">
      <c r="B18" s="1334" t="s">
        <v>2135</v>
      </c>
      <c r="C18" s="1338">
        <v>10.582000000000001</v>
      </c>
      <c r="D18" s="1339" t="s">
        <v>2137</v>
      </c>
      <c r="E18" s="1340"/>
      <c r="F18" s="1340">
        <v>12090</v>
      </c>
      <c r="G18" s="1340"/>
      <c r="H18" s="1340"/>
      <c r="I18" s="1340">
        <v>12090</v>
      </c>
      <c r="J18" s="1340"/>
      <c r="K18" s="1340"/>
      <c r="L18" s="1337">
        <f t="shared" si="0"/>
        <v>12090</v>
      </c>
      <c r="M18" s="1340"/>
    </row>
    <row r="19" spans="2:14" ht="20.100000000000001" customHeight="1" x14ac:dyDescent="0.2">
      <c r="B19" s="1334" t="s">
        <v>2138</v>
      </c>
      <c r="C19" s="1338"/>
      <c r="D19" s="1339"/>
      <c r="E19" s="1340">
        <f>E17+E18</f>
        <v>12923</v>
      </c>
      <c r="F19" s="1340">
        <f t="shared" ref="F19:M19" si="2">F17+F18</f>
        <v>12090</v>
      </c>
      <c r="G19" s="1340">
        <f t="shared" si="2"/>
        <v>12923</v>
      </c>
      <c r="H19" s="1340">
        <f t="shared" si="2"/>
        <v>0</v>
      </c>
      <c r="I19" s="1340">
        <f t="shared" si="2"/>
        <v>12090</v>
      </c>
      <c r="J19" s="1340">
        <f t="shared" si="2"/>
        <v>0</v>
      </c>
      <c r="K19" s="1340">
        <f t="shared" si="2"/>
        <v>0</v>
      </c>
      <c r="L19" s="1340">
        <f t="shared" si="2"/>
        <v>25013</v>
      </c>
      <c r="M19" s="1340">
        <f t="shared" si="2"/>
        <v>0</v>
      </c>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t="s">
        <v>2139</v>
      </c>
      <c r="C21" s="1338"/>
      <c r="D21" s="1339"/>
      <c r="E21" s="1340">
        <f>E19+E14+' SEFA 1.1'!E26</f>
        <v>302619</v>
      </c>
      <c r="F21" s="1340">
        <f>F19+F14+' SEFA 1.1'!F26</f>
        <v>374590</v>
      </c>
      <c r="G21" s="1340">
        <f>G19+G14+' SEFA 1.1'!G26</f>
        <v>302619</v>
      </c>
      <c r="H21" s="1340">
        <f>H19+H14+' SEFA 1.1'!H26</f>
        <v>0</v>
      </c>
      <c r="I21" s="1340">
        <f>I19+I14+' SEFA 1.1'!I26</f>
        <v>374590</v>
      </c>
      <c r="J21" s="1340">
        <f>J19+J14+' SEFA 1.1'!J26</f>
        <v>0</v>
      </c>
      <c r="K21" s="1340">
        <f>K19+K14+' SEFA 1.1'!K26</f>
        <v>0</v>
      </c>
      <c r="L21" s="1340">
        <f>L19+L14+' SEFA 1.1'!L26</f>
        <v>677209</v>
      </c>
      <c r="M21" s="1340">
        <f>M19+M14+' SEFA 1.1'!M26</f>
        <v>0</v>
      </c>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t="s">
        <v>2140</v>
      </c>
      <c r="C23" s="1338"/>
      <c r="D23" s="1339"/>
      <c r="E23" s="1340"/>
      <c r="F23" s="1340"/>
      <c r="G23" s="1340"/>
      <c r="H23" s="1340"/>
      <c r="I23" s="1340"/>
      <c r="J23" s="1340"/>
      <c r="K23" s="1340"/>
      <c r="L23" s="1337"/>
      <c r="M23" s="1340"/>
    </row>
    <row r="24" spans="2:14" ht="20.100000000000001" customHeight="1" x14ac:dyDescent="0.2">
      <c r="B24" s="1334" t="s">
        <v>2118</v>
      </c>
      <c r="C24" s="1338"/>
      <c r="D24" s="1339"/>
      <c r="E24" s="1340"/>
      <c r="F24" s="1340"/>
      <c r="G24" s="1340"/>
      <c r="H24" s="1340"/>
      <c r="I24" s="1340"/>
      <c r="J24" s="1340"/>
      <c r="K24" s="1340"/>
      <c r="L24" s="1337"/>
      <c r="M24" s="1340"/>
    </row>
    <row r="25" spans="2:14" ht="20.100000000000001" customHeight="1" x14ac:dyDescent="0.2">
      <c r="B25" s="1334" t="s">
        <v>2160</v>
      </c>
      <c r="C25" s="1338">
        <v>84.01</v>
      </c>
      <c r="D25" s="1339" t="s">
        <v>2142</v>
      </c>
      <c r="E25" s="1340">
        <v>192944</v>
      </c>
      <c r="F25" s="1340">
        <v>130348</v>
      </c>
      <c r="G25" s="1340">
        <v>278192</v>
      </c>
      <c r="H25" s="1340"/>
      <c r="I25" s="1340">
        <v>45100</v>
      </c>
      <c r="J25" s="1340"/>
      <c r="K25" s="1340"/>
      <c r="L25" s="1337">
        <f t="shared" si="0"/>
        <v>323292</v>
      </c>
      <c r="M25" s="1340">
        <v>409499</v>
      </c>
    </row>
    <row r="26" spans="2:14" ht="20.100000000000001" customHeight="1" x14ac:dyDescent="0.2">
      <c r="B26" s="1334" t="s">
        <v>2160</v>
      </c>
      <c r="C26" s="1338">
        <v>84.01</v>
      </c>
      <c r="D26" s="1339" t="s">
        <v>2143</v>
      </c>
      <c r="E26" s="1340"/>
      <c r="F26" s="1340">
        <v>255420</v>
      </c>
      <c r="G26" s="1340"/>
      <c r="H26" s="1340"/>
      <c r="I26" s="1340">
        <v>398891</v>
      </c>
      <c r="J26" s="1340"/>
      <c r="K26" s="1340">
        <v>12162</v>
      </c>
      <c r="L26" s="1337">
        <f t="shared" si="0"/>
        <v>411053</v>
      </c>
      <c r="M26" s="1340">
        <v>488735</v>
      </c>
    </row>
    <row r="27" spans="2:14" ht="20.100000000000001" customHeight="1" x14ac:dyDescent="0.2">
      <c r="B27" s="1334" t="s">
        <v>2141</v>
      </c>
      <c r="C27" s="1338"/>
      <c r="D27" s="1339"/>
      <c r="E27" s="1340">
        <f>E26+E25</f>
        <v>192944</v>
      </c>
      <c r="F27" s="1340">
        <f t="shared" ref="F27:M27" si="3">F26+F25</f>
        <v>385768</v>
      </c>
      <c r="G27" s="1340">
        <f t="shared" si="3"/>
        <v>278192</v>
      </c>
      <c r="H27" s="1340">
        <f t="shared" si="3"/>
        <v>0</v>
      </c>
      <c r="I27" s="1340">
        <f t="shared" si="3"/>
        <v>443991</v>
      </c>
      <c r="J27" s="1340">
        <f t="shared" si="3"/>
        <v>0</v>
      </c>
      <c r="K27" s="1340">
        <f t="shared" si="3"/>
        <v>12162</v>
      </c>
      <c r="L27" s="1340">
        <f t="shared" si="3"/>
        <v>734345</v>
      </c>
      <c r="M27" s="1340">
        <f t="shared" si="3"/>
        <v>898234</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verticalCentered="1"/>
  <pageMargins left="0.5" right="0.5" top="0.5" bottom="0.5" header="0.25" footer="0.35"/>
  <pageSetup scale="70" firstPageNumber="38" orientation="landscape" useFirstPageNumber="1" r:id="rId1"/>
  <headerFooter alignWithMargins="0">
    <oddHeader>&amp;L&amp;8Page 40&amp;R&amp;8Page 40</oddHeader>
    <oddFooter>&amp;CSee Independent Auditors' Report.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pageSetUpPr fitToPage="1"/>
  </sheetPr>
  <dimension ref="A1:K143"/>
  <sheetViews>
    <sheetView showGridLines="0" defaultGridColor="0" topLeftCell="A80" colorId="8" zoomScale="110" zoomScaleNormal="110" workbookViewId="0">
      <selection activeCell="A5" sqref="A5:E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2063</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t="s">
        <v>2063</v>
      </c>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2063</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2063</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t="s">
        <v>2076</v>
      </c>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0.44" right="0.16" top="0.39" bottom="0.33" header="0.19" footer="0.17"/>
  <pageSetup scale="85"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CD22C-04EF-4189-82DB-495A7CDE0338}">
  <sheetPr>
    <tabColor rgb="FF00B050"/>
  </sheetPr>
  <dimension ref="B1:N152"/>
  <sheetViews>
    <sheetView showGridLines="0" zoomScaleNormal="100" workbookViewId="0">
      <selection activeCell="D36" sqref="D3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Meridian CUSD 101</v>
      </c>
      <c r="C1" s="2440"/>
      <c r="D1" s="2440"/>
      <c r="E1" s="2440"/>
      <c r="F1" s="2440"/>
      <c r="G1" s="2440"/>
      <c r="H1" s="2440"/>
      <c r="I1" s="2440"/>
      <c r="J1" s="2440"/>
      <c r="K1" s="2440"/>
      <c r="L1" s="2440"/>
      <c r="M1" s="2440"/>
    </row>
    <row r="2" spans="2:14" ht="15" x14ac:dyDescent="0.2">
      <c r="B2" s="2441">
        <f>'Single Audit Cover'!E7</f>
        <v>30077101026</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2140</v>
      </c>
      <c r="C11" s="1335"/>
      <c r="D11" s="1336"/>
      <c r="E11" s="1337"/>
      <c r="F11" s="1337"/>
      <c r="G11" s="1337"/>
      <c r="H11" s="1337"/>
      <c r="I11" s="1337"/>
      <c r="J11" s="1337"/>
      <c r="K11" s="1337"/>
      <c r="L11" s="1337"/>
      <c r="M11" s="1337"/>
    </row>
    <row r="12" spans="2:14" ht="20.100000000000001" customHeight="1" x14ac:dyDescent="0.2">
      <c r="B12" s="1334" t="s">
        <v>2118</v>
      </c>
      <c r="C12" s="1338"/>
      <c r="D12" s="1339"/>
      <c r="E12" s="1340"/>
      <c r="F12" s="1340"/>
      <c r="G12" s="1340"/>
      <c r="H12" s="1340"/>
      <c r="I12" s="1340"/>
      <c r="J12" s="1340"/>
      <c r="K12" s="1340"/>
      <c r="L12" s="1337"/>
      <c r="M12" s="1340"/>
    </row>
    <row r="13" spans="2:14" ht="20.100000000000001" customHeight="1" x14ac:dyDescent="0.2">
      <c r="B13" s="1334" t="s">
        <v>2144</v>
      </c>
      <c r="C13" s="1338">
        <v>84.027000000000001</v>
      </c>
      <c r="D13" s="1339" t="s">
        <v>2145</v>
      </c>
      <c r="E13" s="1340"/>
      <c r="F13" s="1340">
        <v>1660</v>
      </c>
      <c r="G13" s="1340"/>
      <c r="H13" s="1340"/>
      <c r="I13" s="1340">
        <v>1660</v>
      </c>
      <c r="J13" s="1340"/>
      <c r="K13" s="1340"/>
      <c r="L13" s="1337">
        <f t="shared" ref="L13:L23" si="0">+G13+I13+K13</f>
        <v>1660</v>
      </c>
      <c r="M13" s="1340"/>
    </row>
    <row r="14" spans="2:14" ht="20.100000000000001" customHeight="1" x14ac:dyDescent="0.2">
      <c r="B14" s="1334" t="s">
        <v>2146</v>
      </c>
      <c r="C14" s="1338"/>
      <c r="D14" s="1339"/>
      <c r="E14" s="1340">
        <f>E13</f>
        <v>0</v>
      </c>
      <c r="F14" s="1340">
        <f t="shared" ref="F14:M14" si="1">F13</f>
        <v>1660</v>
      </c>
      <c r="G14" s="1340">
        <f t="shared" si="1"/>
        <v>0</v>
      </c>
      <c r="H14" s="1340">
        <f t="shared" si="1"/>
        <v>0</v>
      </c>
      <c r="I14" s="1340">
        <f t="shared" si="1"/>
        <v>1660</v>
      </c>
      <c r="J14" s="1340">
        <f t="shared" si="1"/>
        <v>0</v>
      </c>
      <c r="K14" s="1340">
        <f t="shared" si="1"/>
        <v>0</v>
      </c>
      <c r="L14" s="1340">
        <f t="shared" si="1"/>
        <v>1660</v>
      </c>
      <c r="M14" s="1340">
        <f t="shared" si="1"/>
        <v>0</v>
      </c>
    </row>
    <row r="15" spans="2:14" ht="20.100000000000001" customHeight="1" x14ac:dyDescent="0.2">
      <c r="B15" s="1334" t="s">
        <v>1169</v>
      </c>
      <c r="C15" s="1338"/>
      <c r="D15" s="1339"/>
      <c r="E15" s="1340"/>
      <c r="F15" s="1340"/>
      <c r="G15" s="1340"/>
      <c r="H15" s="1340"/>
      <c r="I15" s="1340"/>
      <c r="J15" s="1340"/>
      <c r="K15" s="1340"/>
      <c r="L15" s="1337"/>
      <c r="M15" s="1340"/>
    </row>
    <row r="16" spans="2:14" ht="20.100000000000001" customHeight="1" x14ac:dyDescent="0.2">
      <c r="B16" s="1334" t="s">
        <v>2118</v>
      </c>
      <c r="C16" s="1338"/>
      <c r="D16" s="1339"/>
      <c r="E16" s="1340"/>
      <c r="F16" s="1340"/>
      <c r="G16" s="1340"/>
      <c r="H16" s="1340"/>
      <c r="I16" s="1340"/>
      <c r="J16" s="1340"/>
      <c r="K16" s="1340"/>
      <c r="L16" s="1337"/>
      <c r="M16" s="1340"/>
    </row>
    <row r="17" spans="2:14" ht="20.100000000000001" customHeight="1" x14ac:dyDescent="0.2">
      <c r="B17" s="1334" t="s">
        <v>2147</v>
      </c>
      <c r="C17" s="1338">
        <v>84.287000000000006</v>
      </c>
      <c r="D17" s="1339" t="s">
        <v>2149</v>
      </c>
      <c r="E17" s="1340">
        <v>28154</v>
      </c>
      <c r="F17" s="1340">
        <v>203587</v>
      </c>
      <c r="G17" s="1340">
        <v>168814</v>
      </c>
      <c r="H17" s="1340"/>
      <c r="I17" s="1340">
        <v>62927</v>
      </c>
      <c r="J17" s="1340"/>
      <c r="K17" s="1340"/>
      <c r="L17" s="1337">
        <f t="shared" si="0"/>
        <v>231741</v>
      </c>
      <c r="M17" s="1340">
        <v>270000</v>
      </c>
    </row>
    <row r="18" spans="2:14" ht="20.100000000000001" customHeight="1" x14ac:dyDescent="0.2">
      <c r="B18" s="1334" t="s">
        <v>2147</v>
      </c>
      <c r="C18" s="1338">
        <v>84.287000000000006</v>
      </c>
      <c r="D18" s="1339" t="s">
        <v>2150</v>
      </c>
      <c r="E18" s="1340"/>
      <c r="F18" s="1340">
        <v>107702</v>
      </c>
      <c r="G18" s="1340"/>
      <c r="H18" s="1340"/>
      <c r="I18" s="1340">
        <v>193190</v>
      </c>
      <c r="J18" s="1340"/>
      <c r="K18" s="1340">
        <v>871</v>
      </c>
      <c r="L18" s="1337">
        <f t="shared" si="0"/>
        <v>194061</v>
      </c>
      <c r="M18" s="1340">
        <v>270000</v>
      </c>
    </row>
    <row r="19" spans="2:14" ht="20.100000000000001" customHeight="1" x14ac:dyDescent="0.2">
      <c r="B19" s="1334" t="s">
        <v>2148</v>
      </c>
      <c r="C19" s="1338"/>
      <c r="D19" s="1339"/>
      <c r="E19" s="1340">
        <f>E17+E18</f>
        <v>28154</v>
      </c>
      <c r="F19" s="1340">
        <f t="shared" ref="F19:M19" si="2">F17+F18</f>
        <v>311289</v>
      </c>
      <c r="G19" s="1340">
        <f t="shared" si="2"/>
        <v>168814</v>
      </c>
      <c r="H19" s="1340">
        <f t="shared" si="2"/>
        <v>0</v>
      </c>
      <c r="I19" s="1340">
        <f t="shared" si="2"/>
        <v>256117</v>
      </c>
      <c r="J19" s="1340">
        <f t="shared" si="2"/>
        <v>0</v>
      </c>
      <c r="K19" s="1340">
        <f t="shared" si="2"/>
        <v>871</v>
      </c>
      <c r="L19" s="1340">
        <f t="shared" si="2"/>
        <v>425802</v>
      </c>
      <c r="M19" s="1340">
        <f t="shared" si="2"/>
        <v>540000</v>
      </c>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t="s">
        <v>2118</v>
      </c>
      <c r="C21" s="1338"/>
      <c r="D21" s="1339"/>
      <c r="E21" s="1340"/>
      <c r="F21" s="1340"/>
      <c r="G21" s="1340"/>
      <c r="H21" s="1340"/>
      <c r="I21" s="1340"/>
      <c r="J21" s="1340"/>
      <c r="K21" s="1340"/>
      <c r="L21" s="1337"/>
      <c r="M21" s="1340"/>
    </row>
    <row r="22" spans="2:14" ht="20.100000000000001" customHeight="1" x14ac:dyDescent="0.2">
      <c r="B22" s="1334" t="s">
        <v>2151</v>
      </c>
      <c r="C22" s="1338">
        <v>84.358000000000004</v>
      </c>
      <c r="D22" s="1339" t="s">
        <v>2152</v>
      </c>
      <c r="E22" s="1340">
        <v>8000</v>
      </c>
      <c r="F22" s="1340">
        <v>645</v>
      </c>
      <c r="G22" s="1340">
        <v>8645</v>
      </c>
      <c r="H22" s="1340"/>
      <c r="I22" s="1340"/>
      <c r="J22" s="1340"/>
      <c r="K22" s="1340"/>
      <c r="L22" s="1337">
        <f t="shared" si="0"/>
        <v>8645</v>
      </c>
      <c r="M22" s="1340">
        <v>8645</v>
      </c>
    </row>
    <row r="23" spans="2:14" ht="20.100000000000001" customHeight="1" x14ac:dyDescent="0.2">
      <c r="B23" s="1334" t="s">
        <v>2151</v>
      </c>
      <c r="C23" s="1338">
        <v>84.358000000000004</v>
      </c>
      <c r="D23" s="1339" t="s">
        <v>2153</v>
      </c>
      <c r="E23" s="1340"/>
      <c r="F23" s="1340">
        <v>5177</v>
      </c>
      <c r="G23" s="1340"/>
      <c r="H23" s="1340"/>
      <c r="I23" s="1340">
        <v>7292</v>
      </c>
      <c r="J23" s="1340"/>
      <c r="K23" s="1340">
        <v>100</v>
      </c>
      <c r="L23" s="1337">
        <f t="shared" si="0"/>
        <v>7392</v>
      </c>
      <c r="M23" s="1340">
        <v>7408</v>
      </c>
    </row>
    <row r="24" spans="2:14" ht="20.100000000000001" customHeight="1" x14ac:dyDescent="0.2">
      <c r="B24" s="1334" t="s">
        <v>2154</v>
      </c>
      <c r="C24" s="1338"/>
      <c r="D24" s="1339"/>
      <c r="E24" s="1340">
        <f>E22+E23</f>
        <v>8000</v>
      </c>
      <c r="F24" s="1340">
        <f t="shared" ref="F24:M24" si="3">F22+F23</f>
        <v>5822</v>
      </c>
      <c r="G24" s="1340">
        <f t="shared" si="3"/>
        <v>8645</v>
      </c>
      <c r="H24" s="1340">
        <f t="shared" si="3"/>
        <v>0</v>
      </c>
      <c r="I24" s="1340">
        <f t="shared" si="3"/>
        <v>7292</v>
      </c>
      <c r="J24" s="1340">
        <f t="shared" si="3"/>
        <v>0</v>
      </c>
      <c r="K24" s="1340">
        <f t="shared" si="3"/>
        <v>100</v>
      </c>
      <c r="L24" s="1340">
        <f t="shared" si="3"/>
        <v>16037</v>
      </c>
      <c r="M24" s="1340">
        <f t="shared" si="3"/>
        <v>16053</v>
      </c>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verticalCentered="1"/>
  <pageMargins left="0.5" right="0.5" top="0.5" bottom="0.5" header="0.25" footer="0.35"/>
  <pageSetup scale="70" firstPageNumber="38" orientation="landscape" useFirstPageNumber="1" r:id="rId1"/>
  <headerFooter alignWithMargins="0">
    <oddHeader>&amp;L&amp;8Page 40&amp;R&amp;8Page 40</oddHeader>
    <oddFooter>&amp;CSee Independent Auditors' Report.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52"/>
  <sheetViews>
    <sheetView showGridLines="0" zoomScaleNormal="100" workbookViewId="0">
      <selection activeCell="D36" sqref="D3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Meridian CUSD 101</v>
      </c>
      <c r="C1" s="2440"/>
      <c r="D1" s="2440"/>
      <c r="E1" s="2440"/>
      <c r="F1" s="2440"/>
      <c r="G1" s="2440"/>
      <c r="H1" s="2440"/>
      <c r="I1" s="2440"/>
      <c r="J1" s="2440"/>
      <c r="K1" s="2440"/>
      <c r="L1" s="2440"/>
      <c r="M1" s="2440"/>
    </row>
    <row r="2" spans="2:14" ht="15" x14ac:dyDescent="0.2">
      <c r="B2" s="2441">
        <f>'Single Audit Cover'!E7</f>
        <v>30077101026</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2140</v>
      </c>
      <c r="C11" s="1335"/>
      <c r="D11" s="1336"/>
      <c r="E11" s="1337"/>
      <c r="F11" s="1337"/>
      <c r="G11" s="1337"/>
      <c r="H11" s="1337"/>
      <c r="I11" s="1337"/>
      <c r="J11" s="1337"/>
      <c r="K11" s="1337"/>
      <c r="L11" s="1337"/>
      <c r="M11" s="1337"/>
    </row>
    <row r="12" spans="2:14" ht="20.100000000000001" customHeight="1" x14ac:dyDescent="0.2">
      <c r="B12" s="1334" t="s">
        <v>2118</v>
      </c>
      <c r="C12" s="1338"/>
      <c r="D12" s="1339"/>
      <c r="E12" s="1340"/>
      <c r="F12" s="1340"/>
      <c r="G12" s="1340"/>
      <c r="H12" s="1340"/>
      <c r="I12" s="1340"/>
      <c r="J12" s="1340"/>
      <c r="K12" s="1340"/>
      <c r="L12" s="1337"/>
      <c r="M12" s="1340"/>
    </row>
    <row r="13" spans="2:14" ht="20.100000000000001" customHeight="1" x14ac:dyDescent="0.2">
      <c r="B13" s="1334" t="s">
        <v>2155</v>
      </c>
      <c r="C13" s="1338">
        <v>84.367000000000004</v>
      </c>
      <c r="D13" s="1339" t="s">
        <v>2157</v>
      </c>
      <c r="E13" s="1340">
        <v>16562</v>
      </c>
      <c r="F13" s="1340">
        <v>19138</v>
      </c>
      <c r="G13" s="1340">
        <v>26876</v>
      </c>
      <c r="H13" s="1340"/>
      <c r="I13" s="1340">
        <v>8824</v>
      </c>
      <c r="J13" s="1340"/>
      <c r="K13" s="1340"/>
      <c r="L13" s="1337">
        <f t="shared" ref="L13:L24" si="0">+G13+I13+K13</f>
        <v>35700</v>
      </c>
      <c r="M13" s="1340">
        <v>39946</v>
      </c>
    </row>
    <row r="14" spans="2:14" ht="20.100000000000001" customHeight="1" x14ac:dyDescent="0.2">
      <c r="B14" s="1334" t="s">
        <v>2155</v>
      </c>
      <c r="C14" s="1338">
        <v>84.367000000000004</v>
      </c>
      <c r="D14" s="1339" t="s">
        <v>2158</v>
      </c>
      <c r="E14" s="1340"/>
      <c r="F14" s="1340">
        <v>15985</v>
      </c>
      <c r="G14" s="1340"/>
      <c r="H14" s="1340"/>
      <c r="I14" s="1340">
        <v>36335</v>
      </c>
      <c r="J14" s="1340"/>
      <c r="K14" s="1340">
        <v>540</v>
      </c>
      <c r="L14" s="1337">
        <f t="shared" si="0"/>
        <v>36875</v>
      </c>
      <c r="M14" s="1340">
        <v>41218</v>
      </c>
    </row>
    <row r="15" spans="2:14" ht="20.100000000000001" customHeight="1" x14ac:dyDescent="0.2">
      <c r="B15" s="1334" t="s">
        <v>2156</v>
      </c>
      <c r="C15" s="1338"/>
      <c r="D15" s="1339"/>
      <c r="E15" s="1340">
        <f>E13+E14</f>
        <v>16562</v>
      </c>
      <c r="F15" s="1340">
        <f t="shared" ref="F15:M15" si="1">F13+F14</f>
        <v>35123</v>
      </c>
      <c r="G15" s="1340">
        <f t="shared" si="1"/>
        <v>26876</v>
      </c>
      <c r="H15" s="1340">
        <f t="shared" si="1"/>
        <v>0</v>
      </c>
      <c r="I15" s="1340">
        <f t="shared" si="1"/>
        <v>45159</v>
      </c>
      <c r="J15" s="1340">
        <f t="shared" si="1"/>
        <v>0</v>
      </c>
      <c r="K15" s="1340">
        <f t="shared" si="1"/>
        <v>540</v>
      </c>
      <c r="L15" s="1340">
        <f t="shared" si="1"/>
        <v>72575</v>
      </c>
      <c r="M15" s="1340">
        <f t="shared" si="1"/>
        <v>81164</v>
      </c>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2118</v>
      </c>
      <c r="C17" s="1338"/>
      <c r="D17" s="1339"/>
      <c r="E17" s="1340"/>
      <c r="F17" s="1340"/>
      <c r="G17" s="1340"/>
      <c r="H17" s="1340"/>
      <c r="I17" s="1340"/>
      <c r="J17" s="1340"/>
      <c r="K17" s="1340"/>
      <c r="L17" s="1337"/>
      <c r="M17" s="1340"/>
    </row>
    <row r="18" spans="2:14" ht="20.100000000000001" customHeight="1" x14ac:dyDescent="0.2">
      <c r="B18" s="1334" t="s">
        <v>2159</v>
      </c>
      <c r="C18" s="1338">
        <v>84.376999999999995</v>
      </c>
      <c r="D18" s="1339" t="s">
        <v>2161</v>
      </c>
      <c r="E18" s="1340">
        <v>527267</v>
      </c>
      <c r="F18" s="1340">
        <v>542584</v>
      </c>
      <c r="G18" s="1340">
        <v>943486</v>
      </c>
      <c r="H18" s="1340"/>
      <c r="I18" s="1340">
        <v>126365</v>
      </c>
      <c r="J18" s="1340"/>
      <c r="K18" s="1340"/>
      <c r="L18" s="1337">
        <f t="shared" si="0"/>
        <v>1069851</v>
      </c>
      <c r="M18" s="1340">
        <v>1104433</v>
      </c>
    </row>
    <row r="19" spans="2:14" ht="20.100000000000001" customHeight="1" x14ac:dyDescent="0.2">
      <c r="B19" s="1334" t="s">
        <v>2159</v>
      </c>
      <c r="C19" s="1338">
        <v>84.376999999999995</v>
      </c>
      <c r="D19" s="1339" t="s">
        <v>2162</v>
      </c>
      <c r="E19" s="1340"/>
      <c r="F19" s="1340">
        <v>449144</v>
      </c>
      <c r="G19" s="1340"/>
      <c r="H19" s="1340"/>
      <c r="I19" s="1340">
        <v>567686</v>
      </c>
      <c r="J19" s="1340"/>
      <c r="K19" s="1340">
        <v>2490</v>
      </c>
      <c r="L19" s="1337">
        <f t="shared" si="0"/>
        <v>570176</v>
      </c>
      <c r="M19" s="1340">
        <v>592355</v>
      </c>
    </row>
    <row r="20" spans="2:14" ht="20.100000000000001" customHeight="1" x14ac:dyDescent="0.2">
      <c r="B20" s="1334" t="s">
        <v>2163</v>
      </c>
      <c r="C20" s="1338"/>
      <c r="D20" s="1339"/>
      <c r="E20" s="1340">
        <f>E18+E19</f>
        <v>527267</v>
      </c>
      <c r="F20" s="1340">
        <f t="shared" ref="F20:M20" si="2">F18+F19</f>
        <v>991728</v>
      </c>
      <c r="G20" s="1340">
        <f t="shared" si="2"/>
        <v>943486</v>
      </c>
      <c r="H20" s="1340">
        <f t="shared" si="2"/>
        <v>0</v>
      </c>
      <c r="I20" s="1340">
        <f t="shared" si="2"/>
        <v>694051</v>
      </c>
      <c r="J20" s="1340">
        <f t="shared" si="2"/>
        <v>0</v>
      </c>
      <c r="K20" s="1340">
        <f t="shared" si="2"/>
        <v>2490</v>
      </c>
      <c r="L20" s="1340">
        <f t="shared" si="2"/>
        <v>1640027</v>
      </c>
      <c r="M20" s="1340">
        <f t="shared" si="2"/>
        <v>1696788</v>
      </c>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t="s">
        <v>2118</v>
      </c>
      <c r="C22" s="1338"/>
      <c r="D22" s="1339"/>
      <c r="E22" s="1340"/>
      <c r="F22" s="1340"/>
      <c r="G22" s="1340"/>
      <c r="H22" s="1340"/>
      <c r="I22" s="1340"/>
      <c r="J22" s="1340"/>
      <c r="K22" s="1340"/>
      <c r="L22" s="1337"/>
      <c r="M22" s="1340"/>
    </row>
    <row r="23" spans="2:14" ht="20.100000000000001" customHeight="1" x14ac:dyDescent="0.2">
      <c r="B23" s="1334" t="s">
        <v>2164</v>
      </c>
      <c r="C23" s="1338">
        <v>84.424000000000007</v>
      </c>
      <c r="D23" s="1339" t="s">
        <v>2166</v>
      </c>
      <c r="E23" s="1340">
        <v>674</v>
      </c>
      <c r="F23" s="1340">
        <v>15960</v>
      </c>
      <c r="G23" s="1340">
        <v>4870</v>
      </c>
      <c r="H23" s="1340"/>
      <c r="I23" s="1340">
        <v>11764</v>
      </c>
      <c r="J23" s="1340"/>
      <c r="K23" s="1340"/>
      <c r="L23" s="1337">
        <f t="shared" si="0"/>
        <v>16634</v>
      </c>
      <c r="M23" s="1340">
        <v>16634</v>
      </c>
    </row>
    <row r="24" spans="2:14" ht="20.100000000000001" customHeight="1" x14ac:dyDescent="0.2">
      <c r="B24" s="1334" t="s">
        <v>2164</v>
      </c>
      <c r="C24" s="1338">
        <v>84.424000000000007</v>
      </c>
      <c r="D24" s="1339" t="s">
        <v>2167</v>
      </c>
      <c r="E24" s="1340"/>
      <c r="F24" s="1340">
        <v>32500</v>
      </c>
      <c r="G24" s="1340"/>
      <c r="H24" s="1340"/>
      <c r="I24" s="1340">
        <v>34233</v>
      </c>
      <c r="J24" s="1340"/>
      <c r="K24" s="1340"/>
      <c r="L24" s="1337">
        <f t="shared" si="0"/>
        <v>34233</v>
      </c>
      <c r="M24" s="1340">
        <v>34473</v>
      </c>
    </row>
    <row r="25" spans="2:14" ht="20.100000000000001" customHeight="1" x14ac:dyDescent="0.2">
      <c r="B25" s="1334" t="s">
        <v>2165</v>
      </c>
      <c r="C25" s="1338"/>
      <c r="D25" s="1339"/>
      <c r="E25" s="1340">
        <f>E23+E24</f>
        <v>674</v>
      </c>
      <c r="F25" s="1340">
        <f t="shared" ref="F25:M25" si="3">F23+F24</f>
        <v>48460</v>
      </c>
      <c r="G25" s="1340">
        <f t="shared" si="3"/>
        <v>4870</v>
      </c>
      <c r="H25" s="1340">
        <f t="shared" si="3"/>
        <v>0</v>
      </c>
      <c r="I25" s="1340">
        <f t="shared" si="3"/>
        <v>45997</v>
      </c>
      <c r="J25" s="1340">
        <f t="shared" si="3"/>
        <v>0</v>
      </c>
      <c r="K25" s="1340">
        <f t="shared" si="3"/>
        <v>0</v>
      </c>
      <c r="L25" s="1340">
        <f t="shared" si="3"/>
        <v>50867</v>
      </c>
      <c r="M25" s="1340">
        <f t="shared" si="3"/>
        <v>51107</v>
      </c>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t="s">
        <v>2168</v>
      </c>
      <c r="C27" s="1338"/>
      <c r="D27" s="1339"/>
      <c r="E27" s="1340">
        <f>E25+E20+E15+' SEFA 1.3'!E24+' SEFA 1.3'!E19+' SEFA 1.3'!E14+' SEFA 1.2'!E27</f>
        <v>773601</v>
      </c>
      <c r="F27" s="1340">
        <f>F25+F20+F15+' SEFA 1.3'!F24+' SEFA 1.3'!F19+' SEFA 1.3'!F14+' SEFA 1.2'!F27</f>
        <v>1779850</v>
      </c>
      <c r="G27" s="1340">
        <f>G25+G20+G15+' SEFA 1.3'!G24+' SEFA 1.3'!G19+' SEFA 1.3'!G14+' SEFA 1.2'!G27</f>
        <v>1430883</v>
      </c>
      <c r="H27" s="1340">
        <f>H25+H20+H15+' SEFA 1.3'!H24+' SEFA 1.3'!H19+' SEFA 1.3'!H14+' SEFA 1.2'!H27</f>
        <v>0</v>
      </c>
      <c r="I27" s="1340">
        <f>I25+I20+I15+' SEFA 1.3'!I24+' SEFA 1.3'!I19+' SEFA 1.3'!I14+' SEFA 1.2'!I27</f>
        <v>1494267</v>
      </c>
      <c r="J27" s="1340">
        <f>J25+J20+J15+' SEFA 1.3'!J24+' SEFA 1.3'!J19+' SEFA 1.3'!J14+' SEFA 1.2'!J27</f>
        <v>0</v>
      </c>
      <c r="K27" s="1340">
        <f>K25+K20+K15+' SEFA 1.3'!K24+' SEFA 1.3'!K19+' SEFA 1.3'!K14+' SEFA 1.2'!K27</f>
        <v>16163</v>
      </c>
      <c r="L27" s="1340">
        <f>L25+L20+L15+' SEFA 1.3'!L24+' SEFA 1.3'!L19+' SEFA 1.3'!L14+' SEFA 1.2'!L27</f>
        <v>2941313</v>
      </c>
      <c r="M27" s="1340">
        <f>M25+M20+M15+' SEFA 1.3'!M24+' SEFA 1.3'!M19+' SEFA 1.3'!M14+' SEFA 1.2'!M27</f>
        <v>3283346</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verticalCentered="1"/>
  <pageMargins left="0.5" right="0.5" top="0.5" bottom="0.5" header="0.25" footer="0.35"/>
  <pageSetup scale="70" firstPageNumber="38" orientation="landscape" useFirstPageNumber="1" r:id="rId1"/>
  <headerFooter alignWithMargins="0">
    <oddHeader>&amp;L&amp;8Page 40&amp;R&amp;8Page 40</oddHeader>
    <oddFooter>&amp;CSee Independent Auditors' Report.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789E6-07A5-490E-9A32-680989691E3C}">
  <sheetPr>
    <tabColor rgb="FF00B050"/>
  </sheetPr>
  <dimension ref="B1:N152"/>
  <sheetViews>
    <sheetView showGridLines="0" zoomScaleNormal="100" workbookViewId="0">
      <selection activeCell="D36" sqref="D36"/>
    </sheetView>
  </sheetViews>
  <sheetFormatPr defaultColWidth="33.5703125" defaultRowHeight="12.75" x14ac:dyDescent="0.2"/>
  <cols>
    <col min="1" max="1" width="0.140625" style="317" customWidth="1"/>
    <col min="2" max="2" width="38.57031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Meridian CUSD 101</v>
      </c>
      <c r="C1" s="2440"/>
      <c r="D1" s="2440"/>
      <c r="E1" s="2440"/>
      <c r="F1" s="2440"/>
      <c r="G1" s="2440"/>
      <c r="H1" s="2440"/>
      <c r="I1" s="2440"/>
      <c r="J1" s="2440"/>
      <c r="K1" s="2440"/>
      <c r="L1" s="2440"/>
      <c r="M1" s="2440"/>
    </row>
    <row r="2" spans="2:14" ht="15" x14ac:dyDescent="0.2">
      <c r="B2" s="2441">
        <f>'Single Audit Cover'!E7</f>
        <v>30077101026</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2169</v>
      </c>
      <c r="C11" s="1335"/>
      <c r="D11" s="1336"/>
      <c r="E11" s="1337"/>
      <c r="F11" s="1337"/>
      <c r="G11" s="1337"/>
      <c r="H11" s="1337"/>
      <c r="I11" s="1337"/>
      <c r="J11" s="1337"/>
      <c r="K11" s="1337"/>
      <c r="L11" s="1337"/>
      <c r="M11" s="1337"/>
    </row>
    <row r="12" spans="2:14" ht="20.100000000000001" customHeight="1" x14ac:dyDescent="0.2">
      <c r="B12" s="1334" t="s">
        <v>2170</v>
      </c>
      <c r="C12" s="1338"/>
      <c r="D12" s="1339"/>
      <c r="E12" s="1340"/>
      <c r="F12" s="1340"/>
      <c r="G12" s="1340"/>
      <c r="H12" s="1340"/>
      <c r="I12" s="1340"/>
      <c r="J12" s="1340"/>
      <c r="K12" s="1340"/>
      <c r="L12" s="1337"/>
      <c r="M12" s="1340"/>
    </row>
    <row r="13" spans="2:14" ht="20.100000000000001" customHeight="1" x14ac:dyDescent="0.2">
      <c r="B13" s="1334" t="s">
        <v>2171</v>
      </c>
      <c r="C13" s="1338"/>
      <c r="D13" s="1339"/>
      <c r="E13" s="1340"/>
      <c r="F13" s="1340"/>
      <c r="G13" s="1340"/>
      <c r="H13" s="1340"/>
      <c r="I13" s="1340"/>
      <c r="J13" s="1340"/>
      <c r="K13" s="1340"/>
      <c r="L13" s="1337"/>
      <c r="M13" s="1340"/>
    </row>
    <row r="14" spans="2:14" ht="20.100000000000001" customHeight="1" x14ac:dyDescent="0.2">
      <c r="B14" s="1334" t="s">
        <v>2172</v>
      </c>
      <c r="C14" s="1338">
        <v>93.778000000000006</v>
      </c>
      <c r="D14" s="1339" t="s">
        <v>2173</v>
      </c>
      <c r="E14" s="1340">
        <v>4989</v>
      </c>
      <c r="F14" s="1340">
        <v>2833</v>
      </c>
      <c r="G14" s="1340">
        <v>7822</v>
      </c>
      <c r="H14" s="1340"/>
      <c r="I14" s="1340"/>
      <c r="J14" s="1340"/>
      <c r="K14" s="1340"/>
      <c r="L14" s="1337">
        <f t="shared" ref="L14:L15" si="0">+G14+I14+K14</f>
        <v>7822</v>
      </c>
      <c r="M14" s="1340"/>
    </row>
    <row r="15" spans="2:14" ht="20.100000000000001" customHeight="1" x14ac:dyDescent="0.2">
      <c r="B15" s="1334" t="s">
        <v>2172</v>
      </c>
      <c r="C15" s="1338">
        <v>93.778000000000006</v>
      </c>
      <c r="D15" s="1339" t="s">
        <v>2236</v>
      </c>
      <c r="E15" s="1340"/>
      <c r="F15" s="1340">
        <v>3638</v>
      </c>
      <c r="G15" s="1340"/>
      <c r="H15" s="1340"/>
      <c r="I15" s="1340">
        <v>5716</v>
      </c>
      <c r="J15" s="1340"/>
      <c r="K15" s="1340"/>
      <c r="L15" s="1337">
        <f t="shared" si="0"/>
        <v>5716</v>
      </c>
      <c r="M15" s="1340"/>
    </row>
    <row r="16" spans="2:14" ht="20.100000000000001" customHeight="1" x14ac:dyDescent="0.2">
      <c r="B16" s="1334" t="s">
        <v>2174</v>
      </c>
      <c r="C16" s="1338"/>
      <c r="D16" s="1339"/>
      <c r="E16" s="1340">
        <f>E14+E15</f>
        <v>4989</v>
      </c>
      <c r="F16" s="1340">
        <f t="shared" ref="F16:M16" si="1">F14+F15</f>
        <v>6471</v>
      </c>
      <c r="G16" s="1340">
        <f t="shared" si="1"/>
        <v>7822</v>
      </c>
      <c r="H16" s="1340">
        <f t="shared" si="1"/>
        <v>0</v>
      </c>
      <c r="I16" s="1340">
        <f t="shared" si="1"/>
        <v>5716</v>
      </c>
      <c r="J16" s="1340">
        <f t="shared" si="1"/>
        <v>0</v>
      </c>
      <c r="K16" s="1340">
        <f t="shared" si="1"/>
        <v>0</v>
      </c>
      <c r="L16" s="1340">
        <f t="shared" si="1"/>
        <v>13538</v>
      </c>
      <c r="M16" s="1340">
        <f t="shared" si="1"/>
        <v>0</v>
      </c>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t="s">
        <v>2175</v>
      </c>
      <c r="C18" s="1338"/>
      <c r="D18" s="1339"/>
      <c r="E18" s="1340">
        <f>E16</f>
        <v>4989</v>
      </c>
      <c r="F18" s="1340">
        <f t="shared" ref="F18:M18" si="2">F16</f>
        <v>6471</v>
      </c>
      <c r="G18" s="1340">
        <f t="shared" si="2"/>
        <v>7822</v>
      </c>
      <c r="H18" s="1340">
        <f t="shared" si="2"/>
        <v>0</v>
      </c>
      <c r="I18" s="1340">
        <f t="shared" si="2"/>
        <v>5716</v>
      </c>
      <c r="J18" s="1340">
        <f t="shared" si="2"/>
        <v>0</v>
      </c>
      <c r="K18" s="1340">
        <f t="shared" si="2"/>
        <v>0</v>
      </c>
      <c r="L18" s="1340">
        <f t="shared" si="2"/>
        <v>13538</v>
      </c>
      <c r="M18" s="1340">
        <f t="shared" si="2"/>
        <v>0</v>
      </c>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t="s">
        <v>2176</v>
      </c>
      <c r="C20" s="1338"/>
      <c r="D20" s="1339"/>
      <c r="E20" s="1340">
        <f>E18+' SEFA 1.4'!E27+' SEFA 1.2'!E21</f>
        <v>1081209</v>
      </c>
      <c r="F20" s="1340">
        <f>F18+' SEFA 1.4'!F27+' SEFA 1.2'!F21</f>
        <v>2160911</v>
      </c>
      <c r="G20" s="1340">
        <f>G18+' SEFA 1.4'!G27+' SEFA 1.2'!G21</f>
        <v>1741324</v>
      </c>
      <c r="H20" s="1340">
        <f>H18+' SEFA 1.4'!H27+' SEFA 1.2'!H21</f>
        <v>0</v>
      </c>
      <c r="I20" s="1340">
        <f>I18+' SEFA 1.4'!I27+' SEFA 1.2'!I21</f>
        <v>1874573</v>
      </c>
      <c r="J20" s="1340">
        <f>J18+' SEFA 1.4'!J27+' SEFA 1.2'!J21</f>
        <v>0</v>
      </c>
      <c r="K20" s="1340">
        <f>K18+' SEFA 1.4'!K27+' SEFA 1.2'!K21</f>
        <v>16163</v>
      </c>
      <c r="L20" s="1340">
        <f>L18+' SEFA 1.4'!L27+' SEFA 1.2'!L21</f>
        <v>3632060</v>
      </c>
      <c r="M20" s="1340">
        <f>M18+' SEFA 1.4'!M27+' SEFA 1.2'!M21</f>
        <v>3283346</v>
      </c>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40"/>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40"/>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verticalCentered="1"/>
  <pageMargins left="0.5" right="0.5" top="0.5" bottom="0.5" header="0.25" footer="0.35"/>
  <pageSetup scale="70" firstPageNumber="38" orientation="landscape" useFirstPageNumber="1" r:id="rId1"/>
  <headerFooter alignWithMargins="0">
    <oddHeader>&amp;L&amp;8Page 40&amp;R&amp;8Page 40</oddHeader>
    <oddFooter>&amp;CSee Independent Auditors' Report.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Meridian CUSD 101</v>
      </c>
      <c r="B1" s="2453"/>
      <c r="C1" s="2453"/>
      <c r="D1" s="2453"/>
      <c r="E1" s="2453"/>
      <c r="F1" s="2453"/>
    </row>
    <row r="2" spans="1:7" ht="13.5" customHeight="1" x14ac:dyDescent="0.2">
      <c r="A2" s="2441">
        <f>'Single Audit Cover'!E7</f>
        <v>30077101026</v>
      </c>
      <c r="B2" s="2441"/>
      <c r="C2" s="2441"/>
      <c r="D2" s="2441"/>
      <c r="E2" s="2441"/>
      <c r="F2" s="2441"/>
      <c r="G2" s="1272"/>
    </row>
    <row r="3" spans="1:7" ht="15.75" customHeight="1" x14ac:dyDescent="0.2">
      <c r="A3" s="2454" t="s">
        <v>1271</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3" t="s">
        <v>1728</v>
      </c>
      <c r="C6" s="317"/>
      <c r="D6" s="317"/>
    </row>
    <row r="7" spans="1:7" ht="60.95" customHeight="1" x14ac:dyDescent="0.2">
      <c r="A7" s="2452" t="s">
        <v>2249</v>
      </c>
      <c r="B7" s="2452"/>
      <c r="C7" s="2452"/>
      <c r="D7" s="2452"/>
      <c r="E7" s="2452"/>
      <c r="F7" s="2452"/>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2063</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2" t="s">
        <v>2250</v>
      </c>
      <c r="B13" s="2452"/>
      <c r="C13" s="2452"/>
      <c r="D13" s="2452"/>
      <c r="E13" s="2452"/>
      <c r="F13" s="2452"/>
    </row>
    <row r="14" spans="1:7" ht="9.75" customHeight="1" x14ac:dyDescent="0.2">
      <c r="C14" s="1257"/>
      <c r="D14" s="1257"/>
    </row>
    <row r="15" spans="1:7" ht="13.5" customHeight="1" x14ac:dyDescent="0.2">
      <c r="C15" s="1846" t="s">
        <v>1270</v>
      </c>
      <c r="D15" s="2450" t="s">
        <v>1269</v>
      </c>
      <c r="E15" s="2450"/>
      <c r="F15" s="2450"/>
    </row>
    <row r="16" spans="1:7" ht="13.5" customHeight="1" x14ac:dyDescent="0.2">
      <c r="A16" s="1279"/>
      <c r="B16" s="1273" t="s">
        <v>1268</v>
      </c>
      <c r="C16" s="1846" t="s">
        <v>1267</v>
      </c>
      <c r="D16" s="2451" t="s">
        <v>1588</v>
      </c>
      <c r="E16" s="2451"/>
      <c r="F16" s="2451"/>
    </row>
    <row r="17" spans="1:6" ht="20.45" customHeight="1" x14ac:dyDescent="0.2">
      <c r="A17" s="1280"/>
      <c r="B17" s="1281" t="s">
        <v>2177</v>
      </c>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2251</v>
      </c>
      <c r="B32" s="2446"/>
      <c r="C32" s="2446"/>
      <c r="D32" s="2446"/>
      <c r="E32" s="2446"/>
      <c r="F32" s="2446"/>
    </row>
    <row r="33" spans="1:6" ht="13.5" customHeight="1" x14ac:dyDescent="0.2">
      <c r="A33" s="328" t="s">
        <v>1434</v>
      </c>
      <c r="B33" s="328"/>
      <c r="C33" s="1285">
        <v>25557</v>
      </c>
      <c r="D33" s="1903"/>
      <c r="E33" s="1283"/>
    </row>
    <row r="34" spans="1:6" ht="13.5" customHeight="1" x14ac:dyDescent="0.2">
      <c r="A34" s="328" t="s">
        <v>1835</v>
      </c>
      <c r="B34" s="328"/>
      <c r="C34" s="1286">
        <v>0</v>
      </c>
      <c r="D34" s="1903" t="s">
        <v>1589</v>
      </c>
      <c r="E34" s="2447">
        <f>+C33+C34</f>
        <v>25557</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verticalCentered="1"/>
  <pageMargins left="1" right="1" top="0.93" bottom="0" header="0.51" footer="0.5"/>
  <pageSetup scale="75"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topLeftCell="A4" zoomScale="110" zoomScaleNormal="110" workbookViewId="0">
      <selection sqref="A1:I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Meridian CUSD 101</v>
      </c>
      <c r="C1" s="2468"/>
      <c r="D1" s="2468"/>
      <c r="E1" s="2468"/>
      <c r="F1" s="2468"/>
      <c r="G1" s="2468"/>
      <c r="H1" s="2468"/>
      <c r="I1" s="2468"/>
      <c r="J1" s="1406"/>
    </row>
    <row r="2" spans="2:10" s="317" customFormat="1" ht="12.75" customHeight="1" x14ac:dyDescent="0.2">
      <c r="B2" s="2469">
        <f>'Single Audit Cover'!E7</f>
        <v>30077101026</v>
      </c>
      <c r="C2" s="2470"/>
      <c r="D2" s="2470"/>
      <c r="E2" s="2470"/>
      <c r="F2" s="2470"/>
      <c r="G2" s="2470"/>
      <c r="H2" s="2470"/>
      <c r="I2" s="2470"/>
      <c r="J2" s="1406"/>
    </row>
    <row r="3" spans="2:10" s="317" customFormat="1" ht="12.75" customHeight="1" x14ac:dyDescent="0.2">
      <c r="B3" s="2471" t="s">
        <v>1285</v>
      </c>
      <c r="C3" s="2472"/>
      <c r="D3" s="2472"/>
      <c r="E3" s="2472"/>
      <c r="F3" s="2472"/>
      <c r="G3" s="2472"/>
      <c r="H3" s="2472"/>
      <c r="I3" s="2472"/>
      <c r="J3" s="1407"/>
    </row>
    <row r="4" spans="2:10" s="317" customFormat="1" ht="12.75" customHeight="1" x14ac:dyDescent="0.2">
      <c r="B4" s="2471" t="str">
        <f>'Single Audit Cover'!A4</f>
        <v>Year Ending June 30, 2019</v>
      </c>
      <c r="C4" s="2472"/>
      <c r="D4" s="2472"/>
      <c r="E4" s="2472"/>
      <c r="F4" s="2472"/>
      <c r="G4" s="2472"/>
      <c r="H4" s="2472"/>
      <c r="I4" s="247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1" t="s">
        <v>1284</v>
      </c>
      <c r="C7" s="2472"/>
      <c r="D7" s="2472"/>
      <c r="E7" s="2472"/>
      <c r="F7" s="2472"/>
      <c r="G7" s="2472"/>
      <c r="H7" s="2472"/>
      <c r="I7" s="247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3" t="s">
        <v>1164</v>
      </c>
      <c r="D11" s="247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2063</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2063</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t="s">
        <v>2063</v>
      </c>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t="s">
        <v>2063</v>
      </c>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t="s">
        <v>2063</v>
      </c>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4" t="s">
        <v>2181</v>
      </c>
      <c r="E29" s="2474"/>
      <c r="F29" s="2474"/>
      <c r="G29" s="2474"/>
      <c r="H29" s="2474"/>
      <c r="I29" s="2474"/>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t="s">
        <v>2063</v>
      </c>
      <c r="F33" s="1297" t="s">
        <v>885</v>
      </c>
      <c r="G33" s="1422"/>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5" t="s">
        <v>1748</v>
      </c>
      <c r="D37" s="2476"/>
      <c r="E37" s="2476"/>
      <c r="F37" s="2477"/>
      <c r="G37" s="2475" t="s">
        <v>1592</v>
      </c>
      <c r="H37" s="2476"/>
      <c r="I37" s="2477"/>
    </row>
    <row r="38" spans="2:9" ht="16.5" customHeight="1" x14ac:dyDescent="0.2">
      <c r="B38" s="1428">
        <v>84.01</v>
      </c>
      <c r="C38" s="2463" t="s">
        <v>2178</v>
      </c>
      <c r="D38" s="2464"/>
      <c r="E38" s="2464"/>
      <c r="F38" s="2465"/>
      <c r="G38" s="2478">
        <v>443991</v>
      </c>
      <c r="H38" s="2479"/>
      <c r="I38" s="2480"/>
    </row>
    <row r="39" spans="2:9" ht="16.5" customHeight="1" x14ac:dyDescent="0.2">
      <c r="B39" s="1428" t="s">
        <v>2179</v>
      </c>
      <c r="C39" s="2463" t="s">
        <v>2180</v>
      </c>
      <c r="D39" s="2464"/>
      <c r="E39" s="2464"/>
      <c r="F39" s="2465"/>
      <c r="G39" s="2466">
        <v>348822</v>
      </c>
      <c r="H39" s="2466"/>
      <c r="I39" s="2466"/>
    </row>
    <row r="40" spans="2:9" ht="16.5" customHeight="1" x14ac:dyDescent="0.2">
      <c r="B40" s="1428"/>
      <c r="C40" s="2463"/>
      <c r="D40" s="2464"/>
      <c r="E40" s="2464"/>
      <c r="F40" s="2465"/>
      <c r="G40" s="2466"/>
      <c r="H40" s="2466"/>
      <c r="I40" s="2466"/>
    </row>
    <row r="41" spans="2:9" ht="16.5" customHeight="1" x14ac:dyDescent="0.2">
      <c r="B41" s="1428"/>
      <c r="C41" s="2463"/>
      <c r="D41" s="2464"/>
      <c r="E41" s="2464"/>
      <c r="F41" s="2465"/>
      <c r="G41" s="2466"/>
      <c r="H41" s="2466"/>
      <c r="I41" s="2466"/>
    </row>
    <row r="42" spans="2:9" ht="16.5" customHeight="1" x14ac:dyDescent="0.2">
      <c r="B42" s="1428"/>
      <c r="C42" s="2463"/>
      <c r="D42" s="2464"/>
      <c r="E42" s="2464"/>
      <c r="F42" s="2465"/>
      <c r="G42" s="2466"/>
      <c r="H42" s="2466"/>
      <c r="I42" s="2466"/>
    </row>
    <row r="43" spans="2:9" ht="16.5" customHeight="1" x14ac:dyDescent="0.2">
      <c r="B43" s="1428"/>
      <c r="C43" s="2456" t="s">
        <v>1593</v>
      </c>
      <c r="D43" s="2457"/>
      <c r="E43" s="2457"/>
      <c r="F43" s="2458"/>
      <c r="G43" s="2459">
        <f>SUM(G38:I42)</f>
        <v>792813</v>
      </c>
      <c r="H43" s="2459"/>
      <c r="I43" s="2459"/>
    </row>
    <row r="44" spans="2:9" ht="12.75" customHeight="1" x14ac:dyDescent="0.2"/>
    <row r="45" spans="2:9" ht="12.75" customHeight="1" x14ac:dyDescent="0.2">
      <c r="B45" s="1419" t="s">
        <v>2238</v>
      </c>
      <c r="D45" s="2460">
        <v>1874573</v>
      </c>
      <c r="E45" s="2461"/>
    </row>
    <row r="46" spans="2:9" ht="5.25" customHeight="1" x14ac:dyDescent="0.2">
      <c r="B46" s="1429"/>
      <c r="D46" s="1430"/>
      <c r="E46" s="1431"/>
    </row>
    <row r="47" spans="2:9" ht="12.75" customHeight="1" x14ac:dyDescent="0.2">
      <c r="B47" s="1297" t="s">
        <v>1594</v>
      </c>
      <c r="C47" s="1297"/>
      <c r="D47" s="1432">
        <f>+G43/D45</f>
        <v>0.42292991523936385</v>
      </c>
      <c r="E47" s="1433"/>
      <c r="F47" s="1434"/>
      <c r="I47" s="1435"/>
    </row>
    <row r="48" spans="2:9" ht="9.9499999999999993" customHeight="1" x14ac:dyDescent="0.2"/>
    <row r="49" spans="1:9" x14ac:dyDescent="0.2">
      <c r="B49" s="1365" t="s">
        <v>1273</v>
      </c>
      <c r="C49" s="1279"/>
      <c r="D49" s="1279"/>
      <c r="E49" s="2462">
        <v>750000</v>
      </c>
      <c r="F49" s="2462"/>
      <c r="G49" s="2462"/>
      <c r="H49" s="322"/>
    </row>
    <row r="51" spans="1:9" ht="13.5" customHeight="1" x14ac:dyDescent="0.2">
      <c r="B51" s="1365" t="s">
        <v>1272</v>
      </c>
      <c r="C51" s="1279"/>
      <c r="E51" s="1422"/>
      <c r="F51" s="1297" t="s">
        <v>885</v>
      </c>
      <c r="G51" s="1422" t="s">
        <v>2063</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verticalCentered="1"/>
  <pageMargins left="0.25" right="0.25" top="0.46" bottom="0.49" header="0.26" footer="0.28999999999999998"/>
  <pageSetup scale="85"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19A55-D2B4-410F-9800-7F988202397C}">
  <sheetPr>
    <tabColor rgb="FF00B050"/>
  </sheetPr>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Meridian CUSD 101</v>
      </c>
      <c r="C1" s="2467"/>
      <c r="D1" s="2467"/>
      <c r="E1" s="2467"/>
      <c r="F1" s="2467"/>
      <c r="G1" s="2467"/>
      <c r="H1" s="2467"/>
      <c r="I1" s="2467"/>
      <c r="J1" s="2467"/>
      <c r="K1" s="2467"/>
      <c r="L1" s="1371"/>
      <c r="M1" s="1371"/>
    </row>
    <row r="2" spans="1:13" ht="12" customHeight="1" x14ac:dyDescent="0.2">
      <c r="B2" s="2469">
        <f>'Single Audit Cover'!E7</f>
        <v>30077101026</v>
      </c>
      <c r="C2" s="2469"/>
      <c r="D2" s="2469"/>
      <c r="E2" s="2469"/>
      <c r="F2" s="2469"/>
      <c r="G2" s="2469"/>
      <c r="H2" s="2469"/>
      <c r="I2" s="2469"/>
      <c r="J2" s="2469"/>
      <c r="K2" s="2469"/>
      <c r="L2" s="1372"/>
      <c r="M2" s="1373"/>
    </row>
    <row r="3" spans="1:13" ht="10.35" customHeight="1" x14ac:dyDescent="0.2">
      <c r="B3" s="2483" t="s">
        <v>1285</v>
      </c>
      <c r="C3" s="2483"/>
      <c r="D3" s="2483"/>
      <c r="E3" s="2483"/>
      <c r="F3" s="2483"/>
      <c r="G3" s="2483"/>
      <c r="H3" s="2483"/>
      <c r="I3" s="2483"/>
      <c r="J3" s="2483"/>
      <c r="K3" s="2483"/>
      <c r="L3" s="1937"/>
      <c r="M3" s="1937"/>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1296</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1987</v>
      </c>
      <c r="D10" s="1383">
        <v>3</v>
      </c>
      <c r="E10" s="322"/>
      <c r="F10" s="1384" t="s">
        <v>1295</v>
      </c>
      <c r="G10" s="1385" t="s">
        <v>2063</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2" t="s">
        <v>2182</v>
      </c>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1.5" customHeight="1" x14ac:dyDescent="0.2">
      <c r="B17" s="2482" t="s">
        <v>2183</v>
      </c>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6" t="s">
        <v>2184</v>
      </c>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53.25" customHeight="1" x14ac:dyDescent="0.2">
      <c r="B23" s="2482" t="s">
        <v>2242</v>
      </c>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t="s">
        <v>2243</v>
      </c>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t="s">
        <v>2185</v>
      </c>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1" t="s">
        <v>2252</v>
      </c>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0"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87F17-2962-42CE-9C6B-7EDABE598180}">
  <sheetPr>
    <tabColor rgb="FF00B050"/>
  </sheetPr>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Meridian CUSD 101</v>
      </c>
      <c r="C1" s="2467"/>
      <c r="D1" s="2467"/>
      <c r="E1" s="2467"/>
      <c r="F1" s="2467"/>
      <c r="G1" s="2467"/>
      <c r="H1" s="2467"/>
      <c r="I1" s="2467"/>
      <c r="J1" s="2467"/>
      <c r="K1" s="2467"/>
      <c r="L1" s="1371"/>
      <c r="M1" s="1371"/>
    </row>
    <row r="2" spans="1:13" ht="12" customHeight="1" x14ac:dyDescent="0.2">
      <c r="B2" s="2469">
        <f>'Single Audit Cover'!E7</f>
        <v>30077101026</v>
      </c>
      <c r="C2" s="2469"/>
      <c r="D2" s="2469"/>
      <c r="E2" s="2469"/>
      <c r="F2" s="2469"/>
      <c r="G2" s="2469"/>
      <c r="H2" s="2469"/>
      <c r="I2" s="2469"/>
      <c r="J2" s="2469"/>
      <c r="K2" s="2469"/>
      <c r="L2" s="1372"/>
      <c r="M2" s="1373"/>
    </row>
    <row r="3" spans="1:13" ht="10.35" customHeight="1" x14ac:dyDescent="0.2">
      <c r="B3" s="2483" t="s">
        <v>1285</v>
      </c>
      <c r="C3" s="2483"/>
      <c r="D3" s="2483"/>
      <c r="E3" s="2483"/>
      <c r="F3" s="2483"/>
      <c r="G3" s="2483"/>
      <c r="H3" s="2483"/>
      <c r="I3" s="2483"/>
      <c r="J3" s="2483"/>
      <c r="K3" s="2483"/>
      <c r="L3" s="1937"/>
      <c r="M3" s="1937"/>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1296</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1987</v>
      </c>
      <c r="D10" s="1383">
        <v>4</v>
      </c>
      <c r="E10" s="322"/>
      <c r="F10" s="1384" t="s">
        <v>1295</v>
      </c>
      <c r="G10" s="1385" t="s">
        <v>2063</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2" t="s">
        <v>2186</v>
      </c>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2" t="s">
        <v>2187</v>
      </c>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6" t="s">
        <v>2244</v>
      </c>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2" t="s">
        <v>2188</v>
      </c>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t="s">
        <v>2189</v>
      </c>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t="s">
        <v>2190</v>
      </c>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1" t="s">
        <v>2253</v>
      </c>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0"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Meridian CUSD 101</v>
      </c>
      <c r="C1" s="2467"/>
      <c r="D1" s="2467"/>
      <c r="E1" s="2467"/>
      <c r="F1" s="2467"/>
      <c r="G1" s="2467"/>
      <c r="H1" s="2467"/>
      <c r="I1" s="2467"/>
      <c r="J1" s="2467"/>
      <c r="K1" s="2467"/>
      <c r="L1" s="1371"/>
      <c r="M1" s="1371"/>
    </row>
    <row r="2" spans="1:13" ht="12" customHeight="1" x14ac:dyDescent="0.2">
      <c r="B2" s="2469">
        <f>'Single Audit Cover'!E7</f>
        <v>30077101026</v>
      </c>
      <c r="C2" s="2469"/>
      <c r="D2" s="2469"/>
      <c r="E2" s="2469"/>
      <c r="F2" s="2469"/>
      <c r="G2" s="2469"/>
      <c r="H2" s="2469"/>
      <c r="I2" s="2469"/>
      <c r="J2" s="2469"/>
      <c r="K2" s="2469"/>
      <c r="L2" s="1372"/>
      <c r="M2" s="1373"/>
    </row>
    <row r="3" spans="1:13" ht="10.35" customHeight="1" x14ac:dyDescent="0.2">
      <c r="B3" s="2483" t="s">
        <v>1285</v>
      </c>
      <c r="C3" s="2483"/>
      <c r="D3" s="2483"/>
      <c r="E3" s="2483"/>
      <c r="F3" s="2483"/>
      <c r="G3" s="2483"/>
      <c r="H3" s="2483"/>
      <c r="I3" s="2483"/>
      <c r="J3" s="2483"/>
      <c r="K3" s="2483"/>
      <c r="L3" s="1374"/>
      <c r="M3" s="1374"/>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1296</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1987</v>
      </c>
      <c r="D10" s="1383">
        <v>5</v>
      </c>
      <c r="E10" s="322"/>
      <c r="F10" s="1384" t="s">
        <v>1295</v>
      </c>
      <c r="G10" s="1385" t="s">
        <v>2063</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2" t="s">
        <v>2241</v>
      </c>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2" t="s">
        <v>2191</v>
      </c>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6" t="s">
        <v>2192</v>
      </c>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2" t="s">
        <v>2193</v>
      </c>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t="s">
        <v>2194</v>
      </c>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t="s">
        <v>2240</v>
      </c>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1" t="s">
        <v>2254</v>
      </c>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0"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30257-70A7-4C95-A160-5C692020FE5E}">
  <sheetPr>
    <tabColor rgb="FF00B050"/>
  </sheetPr>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Meridian CUSD 101</v>
      </c>
      <c r="C1" s="2467"/>
      <c r="D1" s="2467"/>
      <c r="E1" s="2467"/>
      <c r="F1" s="2467"/>
      <c r="G1" s="2467"/>
      <c r="H1" s="2467"/>
      <c r="I1" s="2467"/>
      <c r="J1" s="2467"/>
      <c r="K1" s="2467"/>
      <c r="L1" s="1371"/>
      <c r="M1" s="1371"/>
    </row>
    <row r="2" spans="1:13" ht="12" customHeight="1" x14ac:dyDescent="0.2">
      <c r="B2" s="2469">
        <f>'Single Audit Cover'!E7</f>
        <v>30077101026</v>
      </c>
      <c r="C2" s="2469"/>
      <c r="D2" s="2469"/>
      <c r="E2" s="2469"/>
      <c r="F2" s="2469"/>
      <c r="G2" s="2469"/>
      <c r="H2" s="2469"/>
      <c r="I2" s="2469"/>
      <c r="J2" s="2469"/>
      <c r="K2" s="2469"/>
      <c r="L2" s="1372"/>
      <c r="M2" s="1373"/>
    </row>
    <row r="3" spans="1:13" ht="10.35" customHeight="1" x14ac:dyDescent="0.2">
      <c r="B3" s="2483" t="s">
        <v>1285</v>
      </c>
      <c r="C3" s="2483"/>
      <c r="D3" s="2483"/>
      <c r="E3" s="2483"/>
      <c r="F3" s="2483"/>
      <c r="G3" s="2483"/>
      <c r="H3" s="2483"/>
      <c r="I3" s="2483"/>
      <c r="J3" s="2483"/>
      <c r="K3" s="2483"/>
      <c r="L3" s="1937"/>
      <c r="M3" s="1937"/>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1296</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1987</v>
      </c>
      <c r="D10" s="1383">
        <v>6</v>
      </c>
      <c r="E10" s="322"/>
      <c r="F10" s="1384" t="s">
        <v>1295</v>
      </c>
      <c r="G10" s="1385"/>
      <c r="H10" s="1386" t="s">
        <v>1294</v>
      </c>
      <c r="I10" s="1385" t="s">
        <v>2063</v>
      </c>
      <c r="J10" s="1387" t="s">
        <v>1293</v>
      </c>
      <c r="K10" s="322"/>
      <c r="L10" s="1378"/>
    </row>
    <row r="11" spans="1:13" ht="13.5" customHeight="1" x14ac:dyDescent="0.2">
      <c r="B11" s="322"/>
      <c r="C11" s="322"/>
      <c r="D11" s="322"/>
      <c r="E11" s="322"/>
      <c r="F11" s="322"/>
      <c r="G11" s="1380"/>
      <c r="H11" s="322"/>
      <c r="I11" s="1388" t="s">
        <v>1292</v>
      </c>
      <c r="J11" s="322"/>
      <c r="K11" s="1389">
        <v>2017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2" t="s">
        <v>2195</v>
      </c>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2" t="s">
        <v>2196</v>
      </c>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6" t="s">
        <v>2198</v>
      </c>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2" t="s">
        <v>2197</v>
      </c>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t="s">
        <v>2199</v>
      </c>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t="s">
        <v>2239</v>
      </c>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1" t="s">
        <v>2255</v>
      </c>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0" firstPageNumber="41" orientation="portrait" useFirstPageNumber="1" r:id="rId1"/>
  <headerFooter alignWithMargins="0">
    <oddHeader>&amp;L&amp;8Page 43&amp;R&amp;8Page 43</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Meridian CUSD 101</v>
      </c>
      <c r="C1" s="2490"/>
      <c r="D1" s="2490"/>
      <c r="E1" s="2490"/>
      <c r="F1" s="2490"/>
      <c r="G1" s="2490"/>
      <c r="H1" s="2490"/>
      <c r="I1" s="2490"/>
      <c r="J1" s="2490"/>
      <c r="K1" s="2490"/>
      <c r="L1" s="1449"/>
    </row>
    <row r="2" spans="1:12" ht="12.75" customHeight="1" x14ac:dyDescent="0.2">
      <c r="B2" s="2491">
        <f>'Single Audit Cover'!E7</f>
        <v>30077101026</v>
      </c>
      <c r="C2" s="2491"/>
      <c r="D2" s="2491"/>
      <c r="E2" s="2491"/>
      <c r="F2" s="2491"/>
      <c r="G2" s="2491"/>
      <c r="H2" s="2491"/>
      <c r="I2" s="2491"/>
      <c r="J2" s="2491"/>
      <c r="K2" s="2491"/>
      <c r="L2" s="1450"/>
    </row>
    <row r="3" spans="1:12" ht="12.75" customHeight="1" x14ac:dyDescent="0.2">
      <c r="B3" s="2483" t="s">
        <v>1285</v>
      </c>
      <c r="C3" s="2483"/>
      <c r="D3" s="2483"/>
      <c r="E3" s="2483"/>
      <c r="F3" s="2483"/>
      <c r="G3" s="2483"/>
      <c r="H3" s="2483"/>
      <c r="I3" s="2483"/>
      <c r="J3" s="2483"/>
      <c r="K3" s="2483"/>
      <c r="L3" s="1374"/>
    </row>
    <row r="4" spans="1:12" ht="12.75" customHeight="1" x14ac:dyDescent="0.2">
      <c r="B4" s="2483" t="str">
        <f>'Single Audit Cover'!A4</f>
        <v>Year Ending June 30, 2019</v>
      </c>
      <c r="C4" s="2483"/>
      <c r="D4" s="2483"/>
      <c r="E4" s="2483"/>
      <c r="F4" s="2483"/>
      <c r="G4" s="2483"/>
      <c r="H4" s="2483"/>
      <c r="I4" s="2483"/>
      <c r="J4" s="2483"/>
      <c r="K4" s="2483"/>
      <c r="L4" s="1374"/>
    </row>
    <row r="5" spans="1:12" ht="5.25" customHeight="1" x14ac:dyDescent="0.2">
      <c r="B5" s="1257" t="s">
        <v>1169</v>
      </c>
      <c r="C5" s="1257"/>
      <c r="L5" s="322"/>
    </row>
    <row r="6" spans="1:12" ht="30.75" customHeight="1" x14ac:dyDescent="0.2">
      <c r="A6" s="322"/>
      <c r="B6" s="2492" t="s">
        <v>1308</v>
      </c>
      <c r="C6" s="2492"/>
      <c r="D6" s="2492"/>
      <c r="E6" s="2492"/>
      <c r="F6" s="2492"/>
      <c r="G6" s="2492"/>
      <c r="H6" s="2492"/>
      <c r="I6" s="2492"/>
      <c r="J6" s="2492"/>
      <c r="K6" s="2492"/>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1987</v>
      </c>
      <c r="D8" s="1452">
        <v>1</v>
      </c>
      <c r="E8" s="322"/>
      <c r="F8" s="1381" t="s">
        <v>1295</v>
      </c>
      <c r="G8" s="1453"/>
      <c r="H8" s="1454" t="s">
        <v>1307</v>
      </c>
      <c r="I8" s="1453" t="s">
        <v>2063</v>
      </c>
      <c r="J8" s="1455" t="s">
        <v>1306</v>
      </c>
      <c r="L8" s="322"/>
    </row>
    <row r="9" spans="1:12" ht="13.5" customHeight="1" x14ac:dyDescent="0.2">
      <c r="D9" s="322"/>
      <c r="E9" s="322"/>
      <c r="F9" s="322"/>
      <c r="G9" s="1380"/>
      <c r="H9" s="322"/>
      <c r="I9" s="1456" t="s">
        <v>1292</v>
      </c>
      <c r="J9" s="322"/>
      <c r="K9" s="1457">
        <v>2018</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4" t="s">
        <v>2200</v>
      </c>
      <c r="G12" s="2474"/>
      <c r="H12" s="2474"/>
      <c r="I12" s="2474"/>
      <c r="J12" s="2474"/>
      <c r="K12" s="247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t="s">
        <v>2201</v>
      </c>
      <c r="E14" s="2487"/>
      <c r="F14" s="2487"/>
      <c r="H14" s="1459" t="s">
        <v>1303</v>
      </c>
      <c r="I14" s="2488" t="s">
        <v>2179</v>
      </c>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t="s">
        <v>2202</v>
      </c>
      <c r="E16" s="2488"/>
      <c r="F16" s="2488"/>
      <c r="G16" s="2488"/>
      <c r="H16" s="2488"/>
      <c r="I16" s="2488"/>
      <c r="J16" s="2488"/>
      <c r="K16" s="2488"/>
      <c r="L16" s="322"/>
    </row>
    <row r="17" spans="2:12" ht="13.5" customHeight="1" x14ac:dyDescent="0.2">
      <c r="B17" s="1384" t="s">
        <v>1301</v>
      </c>
      <c r="C17" s="1384"/>
      <c r="D17" s="2489" t="s">
        <v>2203</v>
      </c>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46.5" customHeight="1" x14ac:dyDescent="0.2">
      <c r="B20" s="2482" t="s">
        <v>2204</v>
      </c>
      <c r="C20" s="2482"/>
      <c r="D20" s="2482"/>
      <c r="E20" s="2482"/>
      <c r="F20" s="2482"/>
      <c r="G20" s="2482"/>
      <c r="H20" s="2482"/>
      <c r="I20" s="2482"/>
      <c r="J20" s="2482"/>
      <c r="K20" s="248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2" t="s">
        <v>2205</v>
      </c>
      <c r="C23" s="2482"/>
      <c r="D23" s="2482"/>
      <c r="E23" s="2482"/>
      <c r="F23" s="2482"/>
      <c r="G23" s="2482"/>
      <c r="H23" s="2482"/>
      <c r="I23" s="2482"/>
      <c r="J23" s="2482"/>
      <c r="K23" s="248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2" t="s">
        <v>2206</v>
      </c>
      <c r="C26" s="2482"/>
      <c r="D26" s="2482"/>
      <c r="E26" s="2482"/>
      <c r="F26" s="2482"/>
      <c r="G26" s="2482"/>
      <c r="H26" s="2482"/>
      <c r="I26" s="2482"/>
      <c r="J26" s="2482"/>
      <c r="K26" s="248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2" t="s">
        <v>2207</v>
      </c>
      <c r="C29" s="2482"/>
      <c r="D29" s="2482"/>
      <c r="E29" s="2482"/>
      <c r="F29" s="2482"/>
      <c r="G29" s="2482"/>
      <c r="H29" s="2482"/>
      <c r="I29" s="2482"/>
      <c r="J29" s="2482"/>
      <c r="K29" s="248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2" t="s">
        <v>2208</v>
      </c>
      <c r="C32" s="2482"/>
      <c r="D32" s="2482"/>
      <c r="E32" s="2482"/>
      <c r="F32" s="2482"/>
      <c r="G32" s="2482"/>
      <c r="H32" s="2482"/>
      <c r="I32" s="2482"/>
      <c r="J32" s="2482"/>
      <c r="K32" s="248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2" t="s">
        <v>2245</v>
      </c>
      <c r="C35" s="2482"/>
      <c r="D35" s="2482"/>
      <c r="E35" s="2482"/>
      <c r="F35" s="2482"/>
      <c r="G35" s="2482"/>
      <c r="H35" s="2482"/>
      <c r="I35" s="2482"/>
      <c r="J35" s="2482"/>
      <c r="K35" s="248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9" customHeight="1" x14ac:dyDescent="0.2">
      <c r="B38" s="2482" t="s">
        <v>2246</v>
      </c>
      <c r="C38" s="2482"/>
      <c r="D38" s="2482"/>
      <c r="E38" s="2482"/>
      <c r="F38" s="2482"/>
      <c r="G38" s="2482"/>
      <c r="H38" s="2482"/>
      <c r="I38" s="2482"/>
      <c r="J38" s="2482"/>
      <c r="K38" s="248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2" t="s">
        <v>2256</v>
      </c>
      <c r="C41" s="2482"/>
      <c r="D41" s="2482"/>
      <c r="E41" s="2482"/>
      <c r="F41" s="2482"/>
      <c r="G41" s="2482"/>
      <c r="H41" s="2482"/>
      <c r="I41" s="2482"/>
      <c r="J41" s="2482"/>
      <c r="K41" s="248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verticalCentered="1"/>
  <pageMargins left="0.32" right="0.32" top="0.44" bottom="0.27" header="0.26" footer="0.18"/>
  <pageSetup scale="90" firstPageNumber="42" orientation="portrait" useFirstPageNumber="1" r:id="rId1"/>
  <headerFooter alignWithMargins="0">
    <oddHeader>&amp;L&amp;8Page 44&amp;R&amp;8Page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7"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25731708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0.02</v>
      </c>
      <c r="E10" s="356" t="s">
        <v>1005</v>
      </c>
      <c r="F10" s="355">
        <v>5.0000000000000001E-3</v>
      </c>
      <c r="G10" s="356" t="s">
        <v>1005</v>
      </c>
      <c r="H10" s="355">
        <v>2E-3</v>
      </c>
      <c r="I10" s="356" t="s">
        <v>1006</v>
      </c>
      <c r="J10" s="1732">
        <f>ROUND(D10+F10+H10,5)</f>
        <v>2.7E-2</v>
      </c>
      <c r="K10" s="222"/>
      <c r="L10" s="355">
        <v>5.1340000000000001E-4</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7331119</v>
      </c>
      <c r="E16" s="356"/>
      <c r="F16" s="1733">
        <f>SUM('Acct Summary 7-8'!C17,'Acct Summary 7-8'!D17,'Acct Summary 7-8'!F17)</f>
        <v>5995748</v>
      </c>
      <c r="G16" s="356"/>
      <c r="H16" s="1733">
        <f>SUM(D16-F16)</f>
        <v>1335371</v>
      </c>
      <c r="I16" s="222"/>
      <c r="J16" s="1733">
        <f>SUM('Acct Summary 7-8'!C81,'Acct Summary 7-8'!D81,'Acct Summary 7-8'!F81,'Acct Summary 7-8'!I81)</f>
        <v>4238905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3550975.7040000004</v>
      </c>
      <c r="I31" s="368"/>
      <c r="J31" s="222"/>
      <c r="K31" s="222"/>
      <c r="L31" s="222"/>
      <c r="M31" s="222"/>
    </row>
    <row r="32" spans="1:13" ht="13.35" customHeight="1" x14ac:dyDescent="0.2">
      <c r="B32" s="369" t="s">
        <v>2063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3303914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orizontalCentered="1" headings="1"/>
  <pageMargins left="0.6" right="0.6" top="0.84" bottom="1.02" header="0.28000000000000003" footer="0.67"/>
  <pageSetup scale="9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88574-EFA3-4118-8E5D-9B9FB1653AEB}">
  <sheetPr>
    <tabColor rgb="FF00B050"/>
  </sheetPr>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Meridian CUSD 101</v>
      </c>
      <c r="C1" s="2490"/>
      <c r="D1" s="2490"/>
      <c r="E1" s="2490"/>
      <c r="F1" s="2490"/>
      <c r="G1" s="2490"/>
      <c r="H1" s="2490"/>
      <c r="I1" s="2490"/>
      <c r="J1" s="2490"/>
      <c r="K1" s="2490"/>
      <c r="L1" s="1449"/>
    </row>
    <row r="2" spans="1:12" ht="12.75" customHeight="1" x14ac:dyDescent="0.2">
      <c r="B2" s="2491">
        <f>'Single Audit Cover'!E7</f>
        <v>30077101026</v>
      </c>
      <c r="C2" s="2491"/>
      <c r="D2" s="2491"/>
      <c r="E2" s="2491"/>
      <c r="F2" s="2491"/>
      <c r="G2" s="2491"/>
      <c r="H2" s="2491"/>
      <c r="I2" s="2491"/>
      <c r="J2" s="2491"/>
      <c r="K2" s="2491"/>
      <c r="L2" s="1450"/>
    </row>
    <row r="3" spans="1:12" ht="12.75" customHeight="1" x14ac:dyDescent="0.2">
      <c r="B3" s="2483" t="s">
        <v>1285</v>
      </c>
      <c r="C3" s="2483"/>
      <c r="D3" s="2483"/>
      <c r="E3" s="2483"/>
      <c r="F3" s="2483"/>
      <c r="G3" s="2483"/>
      <c r="H3" s="2483"/>
      <c r="I3" s="2483"/>
      <c r="J3" s="2483"/>
      <c r="K3" s="2483"/>
      <c r="L3" s="1937"/>
    </row>
    <row r="4" spans="1:12" ht="12.75" customHeight="1" x14ac:dyDescent="0.2">
      <c r="B4" s="2483" t="str">
        <f>'Single Audit Cover'!A4</f>
        <v>Year Ending June 30, 2019</v>
      </c>
      <c r="C4" s="2483"/>
      <c r="D4" s="2483"/>
      <c r="E4" s="2483"/>
      <c r="F4" s="2483"/>
      <c r="G4" s="2483"/>
      <c r="H4" s="2483"/>
      <c r="I4" s="2483"/>
      <c r="J4" s="2483"/>
      <c r="K4" s="2483"/>
      <c r="L4" s="1937"/>
    </row>
    <row r="5" spans="1:12" ht="5.25" customHeight="1" x14ac:dyDescent="0.2">
      <c r="B5" s="1257" t="s">
        <v>1169</v>
      </c>
      <c r="C5" s="1257"/>
      <c r="L5" s="322"/>
    </row>
    <row r="6" spans="1:12" ht="30.75" customHeight="1" x14ac:dyDescent="0.2">
      <c r="A6" s="322"/>
      <c r="B6" s="2492" t="s">
        <v>1308</v>
      </c>
      <c r="C6" s="2492"/>
      <c r="D6" s="2492"/>
      <c r="E6" s="2492"/>
      <c r="F6" s="2492"/>
      <c r="G6" s="2492"/>
      <c r="H6" s="2492"/>
      <c r="I6" s="2492"/>
      <c r="J6" s="2492"/>
      <c r="K6" s="2492"/>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1987</v>
      </c>
      <c r="D8" s="1452">
        <v>2</v>
      </c>
      <c r="E8" s="322"/>
      <c r="F8" s="1381" t="s">
        <v>1295</v>
      </c>
      <c r="G8" s="1453" t="s">
        <v>2063</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4" t="s">
        <v>2209</v>
      </c>
      <c r="G12" s="2474"/>
      <c r="H12" s="2474"/>
      <c r="I12" s="2474"/>
      <c r="J12" s="2474"/>
      <c r="K12" s="247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t="s">
        <v>2143</v>
      </c>
      <c r="E14" s="2487"/>
      <c r="F14" s="2487"/>
      <c r="H14" s="1459" t="s">
        <v>1303</v>
      </c>
      <c r="I14" s="2493" t="s">
        <v>2237</v>
      </c>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t="s">
        <v>2202</v>
      </c>
      <c r="E16" s="2488"/>
      <c r="F16" s="2488"/>
      <c r="G16" s="2488"/>
      <c r="H16" s="2488"/>
      <c r="I16" s="2488"/>
      <c r="J16" s="2488"/>
      <c r="K16" s="2488"/>
      <c r="L16" s="322"/>
    </row>
    <row r="17" spans="2:12" ht="13.5" customHeight="1" x14ac:dyDescent="0.2">
      <c r="B17" s="1384" t="s">
        <v>1301</v>
      </c>
      <c r="C17" s="1384"/>
      <c r="D17" s="2489" t="s">
        <v>2210</v>
      </c>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2" t="s">
        <v>2211</v>
      </c>
      <c r="C20" s="2482"/>
      <c r="D20" s="2482"/>
      <c r="E20" s="2482"/>
      <c r="F20" s="2482"/>
      <c r="G20" s="2482"/>
      <c r="H20" s="2482"/>
      <c r="I20" s="2482"/>
      <c r="J20" s="2482"/>
      <c r="K20" s="248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2" t="s">
        <v>2247</v>
      </c>
      <c r="C23" s="2482"/>
      <c r="D23" s="2482"/>
      <c r="E23" s="2482"/>
      <c r="F23" s="2482"/>
      <c r="G23" s="2482"/>
      <c r="H23" s="2482"/>
      <c r="I23" s="2482"/>
      <c r="J23" s="2482"/>
      <c r="K23" s="248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94" t="s">
        <v>2248</v>
      </c>
      <c r="C26" s="2482"/>
      <c r="D26" s="2482"/>
      <c r="E26" s="2482"/>
      <c r="F26" s="2482"/>
      <c r="G26" s="2482"/>
      <c r="H26" s="2482"/>
      <c r="I26" s="2482"/>
      <c r="J26" s="2482"/>
      <c r="K26" s="248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2" t="s">
        <v>2213</v>
      </c>
      <c r="C29" s="2482"/>
      <c r="D29" s="2482"/>
      <c r="E29" s="2482"/>
      <c r="F29" s="2482"/>
      <c r="G29" s="2482"/>
      <c r="H29" s="2482"/>
      <c r="I29" s="2482"/>
      <c r="J29" s="2482"/>
      <c r="K29" s="248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2" t="s">
        <v>2212</v>
      </c>
      <c r="C32" s="2482"/>
      <c r="D32" s="2482"/>
      <c r="E32" s="2482"/>
      <c r="F32" s="2482"/>
      <c r="G32" s="2482"/>
      <c r="H32" s="2482"/>
      <c r="I32" s="2482"/>
      <c r="J32" s="2482"/>
      <c r="K32" s="248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2" t="s">
        <v>2214</v>
      </c>
      <c r="C35" s="2482"/>
      <c r="D35" s="2482"/>
      <c r="E35" s="2482"/>
      <c r="F35" s="2482"/>
      <c r="G35" s="2482"/>
      <c r="H35" s="2482"/>
      <c r="I35" s="2482"/>
      <c r="J35" s="2482"/>
      <c r="K35" s="248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2" t="s">
        <v>2215</v>
      </c>
      <c r="C38" s="2482"/>
      <c r="D38" s="2482"/>
      <c r="E38" s="2482"/>
      <c r="F38" s="2482"/>
      <c r="G38" s="2482"/>
      <c r="H38" s="2482"/>
      <c r="I38" s="2482"/>
      <c r="J38" s="2482"/>
      <c r="K38" s="248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2" t="s">
        <v>2257</v>
      </c>
      <c r="C41" s="2482"/>
      <c r="D41" s="2482"/>
      <c r="E41" s="2482"/>
      <c r="F41" s="2482"/>
      <c r="G41" s="2482"/>
      <c r="H41" s="2482"/>
      <c r="I41" s="2482"/>
      <c r="J41" s="2482"/>
      <c r="K41" s="248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verticalCentered="1"/>
  <pageMargins left="0.32" right="0.32" top="0.44" bottom="0.27" header="0.26" footer="0.18"/>
  <pageSetup scale="90" firstPageNumber="42" orientation="portrait" useFirstPageNumber="1" r:id="rId1"/>
  <headerFooter alignWithMargins="0">
    <oddHeader>&amp;L&amp;8Page 44&amp;R&amp;8Page 44</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sqref="A1:I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7" t="str">
        <f>'Single Audit Cover'!A7</f>
        <v>Meridian CUSD 101</v>
      </c>
      <c r="C1" s="2467"/>
      <c r="D1" s="2467"/>
      <c r="E1" s="1469"/>
    </row>
    <row r="2" spans="2:5" s="1279" customFormat="1" ht="12.75" customHeight="1" x14ac:dyDescent="0.2">
      <c r="B2" s="2469">
        <f>'Single Audit Cover'!E7</f>
        <v>30077101026</v>
      </c>
      <c r="C2" s="2469"/>
      <c r="D2" s="2469"/>
      <c r="E2" s="1470"/>
    </row>
    <row r="3" spans="2:5" ht="12.75" customHeight="1" x14ac:dyDescent="0.2">
      <c r="B3" s="2483" t="s">
        <v>1763</v>
      </c>
      <c r="C3" s="2483"/>
      <c r="D3" s="2483"/>
      <c r="E3" s="1271"/>
    </row>
    <row r="4" spans="2:5" s="1279" customFormat="1" ht="12.75" customHeight="1" x14ac:dyDescent="0.2">
      <c r="B4" s="2495" t="str">
        <f>'Single Audit Cover'!A4</f>
        <v>Year Ending June 30, 2019</v>
      </c>
      <c r="C4" s="2495"/>
      <c r="D4" s="2495"/>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2216</v>
      </c>
      <c r="C7" s="324" t="s">
        <v>2217</v>
      </c>
      <c r="D7" s="324" t="s">
        <v>2220</v>
      </c>
      <c r="E7" s="324"/>
    </row>
    <row r="8" spans="2:5" ht="13.5" customHeight="1" x14ac:dyDescent="0.2">
      <c r="B8" s="1474"/>
      <c r="C8" s="324" t="s">
        <v>2218</v>
      </c>
      <c r="D8" s="324"/>
      <c r="E8" s="324"/>
    </row>
    <row r="9" spans="2:5" ht="13.5" customHeight="1" x14ac:dyDescent="0.2">
      <c r="B9" s="1475"/>
      <c r="C9" s="323" t="s">
        <v>2219</v>
      </c>
      <c r="D9" s="323"/>
      <c r="E9" s="323"/>
    </row>
    <row r="10" spans="2:5" ht="13.5" customHeight="1" x14ac:dyDescent="0.2">
      <c r="B10" s="1474"/>
      <c r="C10" s="323"/>
      <c r="D10" s="323"/>
      <c r="E10" s="323"/>
    </row>
    <row r="11" spans="2:5" ht="13.5" customHeight="1" x14ac:dyDescent="0.2">
      <c r="B11" s="1474" t="s">
        <v>2221</v>
      </c>
      <c r="C11" s="323" t="s">
        <v>2222</v>
      </c>
      <c r="D11" s="323" t="s">
        <v>2226</v>
      </c>
      <c r="E11" s="323"/>
    </row>
    <row r="12" spans="2:5" ht="13.5" customHeight="1" x14ac:dyDescent="0.2">
      <c r="B12" s="1474"/>
      <c r="C12" s="323" t="s">
        <v>2223</v>
      </c>
      <c r="D12" s="323"/>
      <c r="E12" s="323"/>
    </row>
    <row r="13" spans="2:5" ht="13.5" customHeight="1" x14ac:dyDescent="0.2">
      <c r="B13" s="1474"/>
      <c r="C13" s="323" t="s">
        <v>2224</v>
      </c>
      <c r="D13" s="323"/>
      <c r="E13" s="323"/>
    </row>
    <row r="14" spans="2:5" ht="13.5" customHeight="1" x14ac:dyDescent="0.2">
      <c r="B14" s="1474"/>
      <c r="C14" s="323" t="s">
        <v>2225</v>
      </c>
      <c r="D14" s="323"/>
      <c r="E14" s="323"/>
    </row>
    <row r="15" spans="2:5" ht="13.5" customHeight="1" x14ac:dyDescent="0.2">
      <c r="B15" s="1474"/>
      <c r="C15" s="323"/>
      <c r="D15" s="323"/>
      <c r="E15" s="323"/>
    </row>
    <row r="16" spans="2:5" ht="13.5" customHeight="1" x14ac:dyDescent="0.2">
      <c r="B16" s="1474" t="s">
        <v>2227</v>
      </c>
      <c r="C16" s="323" t="s">
        <v>2228</v>
      </c>
      <c r="D16" s="323" t="s">
        <v>2231</v>
      </c>
      <c r="E16" s="323"/>
    </row>
    <row r="17" spans="2:5" ht="13.5" customHeight="1" x14ac:dyDescent="0.2">
      <c r="B17" s="1474"/>
      <c r="C17" s="323" t="s">
        <v>2229</v>
      </c>
      <c r="D17" s="323"/>
      <c r="E17" s="323"/>
    </row>
    <row r="18" spans="2:5" ht="13.5" customHeight="1" x14ac:dyDescent="0.2">
      <c r="B18" s="1474"/>
      <c r="C18" s="323" t="s">
        <v>2230</v>
      </c>
      <c r="D18" s="323"/>
      <c r="E18" s="323"/>
    </row>
    <row r="19" spans="2:5" ht="13.5" customHeight="1" x14ac:dyDescent="0.2">
      <c r="B19" s="1474"/>
      <c r="C19" s="323"/>
      <c r="D19" s="323"/>
      <c r="E19" s="323"/>
    </row>
    <row r="20" spans="2:5" ht="13.5" customHeight="1" x14ac:dyDescent="0.2">
      <c r="B20" s="1474" t="s">
        <v>2232</v>
      </c>
      <c r="C20" s="323" t="s">
        <v>2233</v>
      </c>
      <c r="D20" s="323" t="s">
        <v>2220</v>
      </c>
      <c r="E20" s="323"/>
    </row>
    <row r="21" spans="2:5" ht="13.5" customHeight="1" x14ac:dyDescent="0.2">
      <c r="B21" s="1474"/>
      <c r="C21" s="323" t="s">
        <v>2234</v>
      </c>
      <c r="D21" s="323"/>
      <c r="E21" s="323"/>
    </row>
    <row r="22" spans="2:5" ht="13.5" customHeight="1" x14ac:dyDescent="0.2">
      <c r="B22" s="1474"/>
      <c r="C22" s="323" t="s">
        <v>2235</v>
      </c>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rintOptions horizontalCentered="1" verticalCentered="1"/>
  <pageMargins left="0.32" right="0.32" top="0.52" bottom="0.57999999999999996" header="0.26" footer="0.26"/>
  <pageSetup scale="90" firstPageNumber="43" orientation="portrait" useFirstPageNumber="1" r:id="rId1"/>
  <headerFooter alignWithMargins="0">
    <oddHeader>&amp;L&amp;8Page 45&amp;R&amp;8Page 45</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7" zoomScale="110" zoomScaleNormal="110" workbookViewId="0">
      <selection activeCell="A5" sqref="A5:E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Meridian CUSD 101</v>
      </c>
      <c r="E7" s="391"/>
      <c r="G7" s="252"/>
      <c r="H7" s="387"/>
      <c r="I7" s="387"/>
      <c r="J7" s="387"/>
      <c r="K7" s="387"/>
      <c r="L7" s="329"/>
      <c r="M7" s="329"/>
      <c r="N7" s="329"/>
      <c r="O7" s="329"/>
      <c r="P7" s="329"/>
    </row>
    <row r="8" spans="1:18" ht="12.75" x14ac:dyDescent="0.2">
      <c r="A8" s="329"/>
      <c r="B8" s="329"/>
      <c r="C8" s="389" t="s">
        <v>1125</v>
      </c>
      <c r="D8" s="392">
        <f>COVER!A13</f>
        <v>30077101026</v>
      </c>
      <c r="E8" s="393"/>
      <c r="G8" s="329"/>
      <c r="H8" s="329"/>
      <c r="I8" s="329"/>
      <c r="J8" s="329"/>
      <c r="K8" s="329"/>
      <c r="L8" s="329"/>
      <c r="M8" s="329"/>
      <c r="N8" s="329"/>
      <c r="O8" s="329"/>
      <c r="P8" s="329"/>
    </row>
    <row r="9" spans="1:18" ht="12.75" x14ac:dyDescent="0.2">
      <c r="A9" s="329"/>
      <c r="B9" s="329"/>
      <c r="C9" s="389" t="s">
        <v>713</v>
      </c>
      <c r="D9" s="394" t="str">
        <f>COVER!A15</f>
        <v>Pulaski</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4238905</v>
      </c>
      <c r="I12" s="404"/>
      <c r="J12" s="404"/>
      <c r="K12" s="405">
        <f>TRUNC((H12/H13*100000),5)/100000</f>
        <v>0.57912478190000005</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7319502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-11617</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5995748</v>
      </c>
      <c r="I17" s="404"/>
      <c r="J17" s="416"/>
      <c r="K17" s="405">
        <f>TRUNC((H17/H18*100000),5)/100000</f>
        <v>0.81914698559999999</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7319502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-11617</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4217446</v>
      </c>
      <c r="I24" s="422"/>
      <c r="J24" s="422"/>
      <c r="K24" s="423">
        <f>TRUNC(((H24/H25*100000)/100000),2)</f>
        <v>253.22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16654.85556</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590542.6986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3303914</v>
      </c>
      <c r="I32" s="420"/>
      <c r="J32" s="420"/>
      <c r="K32" s="423">
        <f>TRUNC(100-((((H32/H33*100))*100)/100),2)</f>
        <v>6.95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3550975.7040000004</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52" header="0.19" footer="0.35"/>
  <pageSetup scale="75"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pane ySplit="2" topLeftCell="A3" activePane="bottomLeft" state="frozen"/>
      <selection activeCell="A5" sqref="A5:E5"/>
      <selection pane="bottomLeft" activeCell="A5" sqref="A5:E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9"/>
      <c r="D3" s="1560"/>
      <c r="E3" s="1560"/>
      <c r="F3" s="1560"/>
      <c r="G3" s="1560"/>
      <c r="H3" s="1560"/>
      <c r="I3" s="1560"/>
      <c r="J3" s="1560"/>
      <c r="K3" s="1560"/>
      <c r="L3" s="1560"/>
      <c r="M3" s="1561"/>
      <c r="N3" s="1562"/>
    </row>
    <row r="4" spans="1:14" ht="13.5" customHeight="1" x14ac:dyDescent="0.2">
      <c r="A4" s="463" t="s">
        <v>1651</v>
      </c>
      <c r="B4" s="464"/>
      <c r="C4" s="465">
        <v>3410881</v>
      </c>
      <c r="D4" s="466">
        <v>348779</v>
      </c>
      <c r="E4" s="466">
        <v>197275</v>
      </c>
      <c r="F4" s="466">
        <v>333624</v>
      </c>
      <c r="G4" s="466">
        <v>152377</v>
      </c>
      <c r="H4" s="466">
        <v>0</v>
      </c>
      <c r="I4" s="466">
        <v>124162</v>
      </c>
      <c r="J4" s="467">
        <v>129329</v>
      </c>
      <c r="K4" s="466">
        <v>980936</v>
      </c>
      <c r="L4" s="466">
        <v>74948</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21459</v>
      </c>
      <c r="D12" s="466"/>
      <c r="E12" s="466"/>
      <c r="F12" s="466"/>
      <c r="G12" s="466"/>
      <c r="H12" s="466"/>
      <c r="I12" s="466"/>
      <c r="J12" s="467"/>
      <c r="K12" s="466"/>
      <c r="L12" s="466"/>
      <c r="M12" s="469"/>
      <c r="N12" s="469"/>
    </row>
    <row r="13" spans="1:14" ht="13.5" customHeight="1" thickBot="1" x14ac:dyDescent="0.25">
      <c r="A13" s="1736" t="s">
        <v>644</v>
      </c>
      <c r="B13" s="1709"/>
      <c r="C13" s="1737">
        <f>SUM(C4:C12)</f>
        <v>3432340</v>
      </c>
      <c r="D13" s="1737">
        <f t="shared" ref="D13:L13" si="0">SUM(D4:D12)</f>
        <v>348779</v>
      </c>
      <c r="E13" s="1737">
        <f t="shared" si="0"/>
        <v>197275</v>
      </c>
      <c r="F13" s="1737">
        <f t="shared" si="0"/>
        <v>333624</v>
      </c>
      <c r="G13" s="1737">
        <f t="shared" si="0"/>
        <v>152377</v>
      </c>
      <c r="H13" s="1737">
        <f t="shared" si="0"/>
        <v>0</v>
      </c>
      <c r="I13" s="1737">
        <f t="shared" si="0"/>
        <v>124162</v>
      </c>
      <c r="J13" s="1737">
        <f t="shared" si="0"/>
        <v>129329</v>
      </c>
      <c r="K13" s="1737">
        <f t="shared" si="0"/>
        <v>980936</v>
      </c>
      <c r="L13" s="1737">
        <f t="shared" si="0"/>
        <v>74948</v>
      </c>
      <c r="M13" s="468"/>
      <c r="N13" s="469"/>
    </row>
    <row r="14" spans="1:14" ht="18" customHeight="1" thickTop="1" x14ac:dyDescent="0.2">
      <c r="A14" s="2117" t="s">
        <v>147</v>
      </c>
      <c r="B14" s="211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57109</v>
      </c>
      <c r="N16" s="484"/>
    </row>
    <row r="17" spans="1:14" s="485" customFormat="1" ht="12.75" customHeight="1" x14ac:dyDescent="0.2">
      <c r="A17" s="482" t="s">
        <v>1403</v>
      </c>
      <c r="B17" s="483">
        <v>230</v>
      </c>
      <c r="C17" s="477"/>
      <c r="D17" s="477"/>
      <c r="E17" s="477"/>
      <c r="F17" s="477"/>
      <c r="G17" s="477"/>
      <c r="H17" s="477"/>
      <c r="I17" s="477"/>
      <c r="J17" s="477"/>
      <c r="K17" s="477"/>
      <c r="L17" s="477"/>
      <c r="M17" s="467">
        <v>12747021</v>
      </c>
      <c r="N17" s="484"/>
    </row>
    <row r="18" spans="1:14" s="485" customFormat="1" ht="12.75" customHeight="1" x14ac:dyDescent="0.2">
      <c r="A18" s="482" t="s">
        <v>1404</v>
      </c>
      <c r="B18" s="483">
        <v>240</v>
      </c>
      <c r="C18" s="477"/>
      <c r="D18" s="477"/>
      <c r="E18" s="477"/>
      <c r="F18" s="477"/>
      <c r="G18" s="477"/>
      <c r="H18" s="477"/>
      <c r="I18" s="477"/>
      <c r="J18" s="477"/>
      <c r="K18" s="477"/>
      <c r="L18" s="477"/>
      <c r="M18" s="467">
        <v>1392489</v>
      </c>
      <c r="N18" s="484"/>
    </row>
    <row r="19" spans="1:14" s="485" customFormat="1" ht="12.75" customHeight="1" x14ac:dyDescent="0.2">
      <c r="A19" s="482" t="s">
        <v>1405</v>
      </c>
      <c r="B19" s="483">
        <v>250</v>
      </c>
      <c r="C19" s="477"/>
      <c r="D19" s="477"/>
      <c r="E19" s="477"/>
      <c r="F19" s="477"/>
      <c r="G19" s="477"/>
      <c r="H19" s="477"/>
      <c r="I19" s="477"/>
      <c r="J19" s="477"/>
      <c r="K19" s="477"/>
      <c r="L19" s="477"/>
      <c r="M19" s="467">
        <v>3850049</v>
      </c>
      <c r="N19" s="484"/>
    </row>
    <row r="20" spans="1:14" s="485" customFormat="1" ht="12.75" customHeight="1" x14ac:dyDescent="0.2">
      <c r="A20" s="482" t="s">
        <v>1406</v>
      </c>
      <c r="B20" s="483">
        <v>260</v>
      </c>
      <c r="C20" s="477"/>
      <c r="D20" s="477"/>
      <c r="E20" s="477"/>
      <c r="F20" s="477"/>
      <c r="G20" s="477"/>
      <c r="H20" s="477"/>
      <c r="I20" s="477"/>
      <c r="J20" s="477"/>
      <c r="K20" s="477"/>
      <c r="L20" s="477"/>
      <c r="M20" s="467">
        <v>187766</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197275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3106639</v>
      </c>
    </row>
    <row r="23" spans="1:14" ht="13.5" customHeight="1" thickBot="1" x14ac:dyDescent="0.25">
      <c r="A23" s="1736" t="s">
        <v>643</v>
      </c>
      <c r="B23" s="1741"/>
      <c r="C23" s="468"/>
      <c r="D23" s="468"/>
      <c r="E23" s="468"/>
      <c r="F23" s="468"/>
      <c r="G23" s="468"/>
      <c r="H23" s="468"/>
      <c r="I23" s="468"/>
      <c r="J23" s="468"/>
      <c r="K23" s="468"/>
      <c r="L23" s="468"/>
      <c r="M23" s="1688">
        <f>SUM(M15:M22)</f>
        <v>18234434</v>
      </c>
      <c r="N23" s="1688">
        <f>SUM(N21:N22)</f>
        <v>3303914</v>
      </c>
    </row>
    <row r="24" spans="1:14" ht="18" customHeight="1" thickTop="1" x14ac:dyDescent="0.2">
      <c r="A24" s="2119" t="s">
        <v>598</v>
      </c>
      <c r="B24" s="212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74948</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74948</v>
      </c>
      <c r="M34" s="468"/>
      <c r="N34" s="480"/>
    </row>
    <row r="35" spans="1:14" ht="18" customHeight="1" thickTop="1" x14ac:dyDescent="0.2">
      <c r="A35" s="2121" t="s">
        <v>529</v>
      </c>
      <c r="B35" s="212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3303914</v>
      </c>
    </row>
    <row r="37" spans="1:14" ht="13.5" thickBot="1" x14ac:dyDescent="0.25">
      <c r="A37" s="1736" t="s">
        <v>653</v>
      </c>
      <c r="B37" s="1741"/>
      <c r="C37" s="477"/>
      <c r="D37" s="477"/>
      <c r="E37" s="477"/>
      <c r="F37" s="477"/>
      <c r="G37" s="477"/>
      <c r="H37" s="477"/>
      <c r="I37" s="477"/>
      <c r="J37" s="477"/>
      <c r="K37" s="477"/>
      <c r="L37" s="480"/>
      <c r="M37" s="468"/>
      <c r="N37" s="1688">
        <f>SUM(N36:N36)</f>
        <v>3303914</v>
      </c>
    </row>
    <row r="38" spans="1:14" s="329" customFormat="1" ht="13.5" customHeight="1" thickTop="1" x14ac:dyDescent="0.2">
      <c r="A38" s="496" t="s">
        <v>420</v>
      </c>
      <c r="B38" s="483">
        <v>714</v>
      </c>
      <c r="C38" s="466">
        <v>30073</v>
      </c>
      <c r="D38" s="466"/>
      <c r="E38" s="466">
        <v>197275</v>
      </c>
      <c r="F38" s="466"/>
      <c r="G38" s="466">
        <v>152377</v>
      </c>
      <c r="H38" s="466"/>
      <c r="I38" s="466"/>
      <c r="J38" s="467">
        <v>129329</v>
      </c>
      <c r="K38" s="466">
        <v>980936</v>
      </c>
      <c r="L38" s="481"/>
      <c r="M38" s="497"/>
      <c r="N38" s="497"/>
    </row>
    <row r="39" spans="1:14" s="329" customFormat="1" ht="13.5" customHeight="1" x14ac:dyDescent="0.2">
      <c r="A39" s="496" t="s">
        <v>342</v>
      </c>
      <c r="B39" s="483">
        <v>730</v>
      </c>
      <c r="C39" s="466">
        <v>3402267</v>
      </c>
      <c r="D39" s="466">
        <v>348779</v>
      </c>
      <c r="E39" s="466"/>
      <c r="F39" s="466">
        <v>333624</v>
      </c>
      <c r="G39" s="466"/>
      <c r="H39" s="466"/>
      <c r="I39" s="466">
        <v>124162</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18234434</v>
      </c>
      <c r="N40" s="497"/>
    </row>
    <row r="41" spans="1:14" ht="13.5" customHeight="1" thickBot="1" x14ac:dyDescent="0.25">
      <c r="A41" s="1736" t="s">
        <v>655</v>
      </c>
      <c r="B41" s="1706"/>
      <c r="C41" s="1688">
        <f>(SUM(C34,C37,C38,C39))</f>
        <v>3432340</v>
      </c>
      <c r="D41" s="1688">
        <f t="shared" ref="D41:L41" si="2">SUM(D34,D37,D38:D39)</f>
        <v>348779</v>
      </c>
      <c r="E41" s="1688">
        <f t="shared" si="2"/>
        <v>197275</v>
      </c>
      <c r="F41" s="1688">
        <f t="shared" si="2"/>
        <v>333624</v>
      </c>
      <c r="G41" s="1688">
        <f t="shared" si="2"/>
        <v>152377</v>
      </c>
      <c r="H41" s="1688">
        <f t="shared" si="2"/>
        <v>0</v>
      </c>
      <c r="I41" s="1688">
        <f t="shared" si="2"/>
        <v>124162</v>
      </c>
      <c r="J41" s="1688">
        <f t="shared" si="2"/>
        <v>129329</v>
      </c>
      <c r="K41" s="1688">
        <f t="shared" si="2"/>
        <v>980936</v>
      </c>
      <c r="L41" s="1688">
        <f t="shared" si="2"/>
        <v>74948</v>
      </c>
      <c r="M41" s="1688">
        <f>SUM(M40)</f>
        <v>18234434</v>
      </c>
      <c r="N41" s="1688">
        <f>SUM(N37)</f>
        <v>3303914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orizontalCentered="1" headings="1" gridLinesSet="0"/>
  <pageMargins left="0.3" right="0.15" top="1.1100000000000001" bottom="0.5" header="0.53"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Accompanyig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activeCell="A5" sqref="A5:E5"/>
      <selection pane="bottomLeft" activeCell="A5" sqref="A5:E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3"/>
      <c r="D3" s="1574"/>
      <c r="E3" s="1574"/>
      <c r="F3" s="1574"/>
      <c r="G3" s="1574"/>
      <c r="H3" s="1574"/>
      <c r="I3" s="1574"/>
      <c r="J3" s="1574"/>
      <c r="K3" s="1575"/>
      <c r="L3" s="506"/>
    </row>
    <row r="4" spans="1:13" ht="15.75" customHeight="1" x14ac:dyDescent="0.2">
      <c r="A4" s="1928" t="s">
        <v>1499</v>
      </c>
      <c r="B4" s="1929">
        <v>1000</v>
      </c>
      <c r="C4" s="1742">
        <f>'Revenues 9-14'!C109</f>
        <v>689227</v>
      </c>
      <c r="D4" s="1742">
        <f>'Revenues 9-14'!D109</f>
        <v>116191</v>
      </c>
      <c r="E4" s="1742">
        <f>'Revenues 9-14'!E109</f>
        <v>194214</v>
      </c>
      <c r="F4" s="1742">
        <f>'Revenues 9-14'!F109</f>
        <v>46477</v>
      </c>
      <c r="G4" s="1742">
        <f>'Revenues 9-14'!G109</f>
        <v>195019</v>
      </c>
      <c r="H4" s="1742">
        <f>'Revenues 9-14'!H109</f>
        <v>0</v>
      </c>
      <c r="I4" s="1742">
        <f>'Revenues 9-14'!I109</f>
        <v>11835</v>
      </c>
      <c r="J4" s="1742">
        <f>'Revenues 9-14'!J109</f>
        <v>21893</v>
      </c>
      <c r="K4" s="1742">
        <f>'Revenues 9-14'!K109</f>
        <v>3523</v>
      </c>
      <c r="L4" s="347"/>
    </row>
    <row r="5" spans="1:13" ht="15.75" customHeight="1" x14ac:dyDescent="0.2">
      <c r="A5" s="1576" t="s">
        <v>1500</v>
      </c>
      <c r="B5" s="1577">
        <v>2000</v>
      </c>
      <c r="C5" s="1743">
        <f>'Revenues 9-14'!C114</f>
        <v>58156</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3448328</v>
      </c>
      <c r="D6" s="1743">
        <f>'Revenues 9-14'!D170</f>
        <v>195970</v>
      </c>
      <c r="E6" s="1743">
        <f>'Revenues 9-14'!E170</f>
        <v>80000</v>
      </c>
      <c r="F6" s="1743">
        <f>'Revenues 9-14'!F170</f>
        <v>636052</v>
      </c>
      <c r="G6" s="1743">
        <f>'Revenues 9-14'!G170</f>
        <v>0</v>
      </c>
      <c r="H6" s="1743">
        <f>'Revenues 9-14'!H170</f>
        <v>13222</v>
      </c>
      <c r="I6" s="1743">
        <f>'Revenues 9-14'!I170</f>
        <v>0</v>
      </c>
      <c r="J6" s="1743">
        <f>'Revenues 9-14'!J170</f>
        <v>0</v>
      </c>
      <c r="K6" s="1743">
        <f>'Revenues 9-14'!K170</f>
        <v>275935</v>
      </c>
      <c r="L6" s="347"/>
      <c r="M6" s="513"/>
    </row>
    <row r="7" spans="1:13" ht="15.75" customHeight="1" x14ac:dyDescent="0.2">
      <c r="A7" s="1576" t="s">
        <v>1502</v>
      </c>
      <c r="B7" s="1578">
        <v>4000</v>
      </c>
      <c r="C7" s="1743">
        <f>'Revenues 9-14'!C267</f>
        <v>2128883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6324594</v>
      </c>
      <c r="D8" s="1688">
        <f t="shared" ref="D8:K8" si="0">SUM(D4:D7)</f>
        <v>312161</v>
      </c>
      <c r="E8" s="1688">
        <f t="shared" si="0"/>
        <v>274214</v>
      </c>
      <c r="F8" s="1688">
        <f t="shared" si="0"/>
        <v>682529</v>
      </c>
      <c r="G8" s="1688">
        <f t="shared" si="0"/>
        <v>195019</v>
      </c>
      <c r="H8" s="1688">
        <f t="shared" si="0"/>
        <v>13222</v>
      </c>
      <c r="I8" s="1688">
        <f t="shared" si="0"/>
        <v>11835</v>
      </c>
      <c r="J8" s="1688">
        <f t="shared" si="0"/>
        <v>21893</v>
      </c>
      <c r="K8" s="1688">
        <f t="shared" si="0"/>
        <v>279458</v>
      </c>
      <c r="L8" s="347"/>
    </row>
    <row r="9" spans="1:13" ht="15.75" thickTop="1" x14ac:dyDescent="0.2">
      <c r="A9" s="514" t="s">
        <v>1653</v>
      </c>
      <c r="B9" s="515">
        <v>3998</v>
      </c>
      <c r="C9" s="481">
        <v>1802662</v>
      </c>
      <c r="D9" s="516"/>
      <c r="E9" s="481"/>
      <c r="F9" s="481"/>
      <c r="G9" s="517"/>
      <c r="H9" s="481"/>
      <c r="I9" s="509" t="s">
        <v>1169</v>
      </c>
      <c r="J9" s="478"/>
      <c r="K9" s="481"/>
      <c r="L9" s="347"/>
    </row>
    <row r="10" spans="1:13" s="519" customFormat="1" ht="13.5" thickBot="1" x14ac:dyDescent="0.25">
      <c r="A10" s="1736" t="s">
        <v>1173</v>
      </c>
      <c r="B10" s="1709"/>
      <c r="C10" s="1688">
        <f>SUM(C8:C9)</f>
        <v>8127256</v>
      </c>
      <c r="D10" s="1688">
        <f t="shared" ref="D10:K10" si="1">SUM(D8:D9)</f>
        <v>312161</v>
      </c>
      <c r="E10" s="1688">
        <f t="shared" si="1"/>
        <v>274214</v>
      </c>
      <c r="F10" s="1688">
        <f t="shared" si="1"/>
        <v>682529</v>
      </c>
      <c r="G10" s="1688">
        <f t="shared" si="1"/>
        <v>195019</v>
      </c>
      <c r="H10" s="1688">
        <f t="shared" si="1"/>
        <v>13222</v>
      </c>
      <c r="I10" s="1688">
        <f t="shared" si="1"/>
        <v>11835</v>
      </c>
      <c r="J10" s="1688">
        <f t="shared" si="1"/>
        <v>21893</v>
      </c>
      <c r="K10" s="1688">
        <f t="shared" si="1"/>
        <v>279458</v>
      </c>
      <c r="L10" s="518"/>
    </row>
    <row r="11" spans="1:13" s="519" customFormat="1" ht="16.7" customHeight="1" thickTop="1" x14ac:dyDescent="0.2">
      <c r="A11" s="2117" t="s">
        <v>1176</v>
      </c>
      <c r="B11" s="2118"/>
      <c r="C11" s="1570"/>
      <c r="D11" s="1571"/>
      <c r="E11" s="1571"/>
      <c r="F11" s="1571"/>
      <c r="G11" s="1571"/>
      <c r="H11" s="1571"/>
      <c r="I11" s="1571"/>
      <c r="J11" s="1571"/>
      <c r="K11" s="1572"/>
      <c r="L11" s="518"/>
    </row>
    <row r="12" spans="1:13" ht="15.75" customHeight="1" x14ac:dyDescent="0.2">
      <c r="A12" s="1576" t="s">
        <v>456</v>
      </c>
      <c r="B12" s="1578">
        <v>1000</v>
      </c>
      <c r="C12" s="1742">
        <f>'Expenditures 15-22'!K33</f>
        <v>2595738</v>
      </c>
      <c r="D12" s="520" t="s">
        <v>1169</v>
      </c>
      <c r="E12" s="468" t="s">
        <v>1169</v>
      </c>
      <c r="F12" s="468" t="s">
        <v>1169</v>
      </c>
      <c r="G12" s="1742">
        <f>'Expenditures 15-22'!K229</f>
        <v>55655</v>
      </c>
      <c r="H12" s="521"/>
      <c r="I12" s="468" t="s">
        <v>1169</v>
      </c>
      <c r="J12" s="468" t="s">
        <v>1169</v>
      </c>
      <c r="K12" s="521" t="s">
        <v>1169</v>
      </c>
      <c r="L12" s="347"/>
    </row>
    <row r="13" spans="1:13" ht="15.75" customHeight="1" x14ac:dyDescent="0.2">
      <c r="A13" s="1576" t="s">
        <v>457</v>
      </c>
      <c r="B13" s="1578">
        <v>2000</v>
      </c>
      <c r="C13" s="1743">
        <f>'Expenditures 15-22'!K74</f>
        <v>2245559</v>
      </c>
      <c r="D13" s="1743">
        <f>'Expenditures 15-22'!K129</f>
        <v>339510</v>
      </c>
      <c r="E13" s="469" t="s">
        <v>1169</v>
      </c>
      <c r="F13" s="1743">
        <f>'Expenditures 15-22'!K184</f>
        <v>519080</v>
      </c>
      <c r="G13" s="1743">
        <f>'Expenditures 15-22'!K279</f>
        <v>96878</v>
      </c>
      <c r="H13" s="1743">
        <f>'Expenditures 15-22'!K303</f>
        <v>13222</v>
      </c>
      <c r="I13" s="468" t="s">
        <v>1169</v>
      </c>
      <c r="J13" s="1743">
        <f>'Expenditures 15-22'!K330</f>
        <v>0</v>
      </c>
      <c r="K13" s="1747">
        <f>'Expenditures 15-22'!K352</f>
        <v>402041</v>
      </c>
      <c r="L13" s="347"/>
    </row>
    <row r="14" spans="1:13" ht="15.75" customHeight="1" x14ac:dyDescent="0.2">
      <c r="A14" s="1576" t="s">
        <v>449</v>
      </c>
      <c r="B14" s="1578">
        <v>3000</v>
      </c>
      <c r="C14" s="1743">
        <f>'Expenditures 15-22'!K75</f>
        <v>71152</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224614</v>
      </c>
      <c r="D15" s="1743">
        <f>'Expenditures 15-22'!K139</f>
        <v>95</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372632</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5137063</v>
      </c>
      <c r="D17" s="1688">
        <f t="shared" si="2"/>
        <v>339605</v>
      </c>
      <c r="E17" s="1688">
        <f t="shared" si="2"/>
        <v>372632</v>
      </c>
      <c r="F17" s="1688">
        <f t="shared" si="2"/>
        <v>519080</v>
      </c>
      <c r="G17" s="1688">
        <f t="shared" si="2"/>
        <v>152533</v>
      </c>
      <c r="H17" s="1688">
        <f t="shared" si="2"/>
        <v>13222</v>
      </c>
      <c r="I17" s="468"/>
      <c r="J17" s="1688">
        <f>SUM(J12:J16)</f>
        <v>0</v>
      </c>
      <c r="K17" s="1688">
        <f>SUM(K12:K16)</f>
        <v>402041</v>
      </c>
      <c r="L17" s="347"/>
    </row>
    <row r="18" spans="1:12" ht="15" customHeight="1" thickTop="1" x14ac:dyDescent="0.2">
      <c r="A18" s="1744" t="s">
        <v>1654</v>
      </c>
      <c r="B18" s="1745">
        <v>4180</v>
      </c>
      <c r="C18" s="1742">
        <f t="shared" ref="C18:H18" si="3">C9</f>
        <v>1802662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6939725</v>
      </c>
      <c r="D19" s="1688">
        <f t="shared" si="4"/>
        <v>339605</v>
      </c>
      <c r="E19" s="1688">
        <f t="shared" si="4"/>
        <v>372632</v>
      </c>
      <c r="F19" s="1688">
        <f t="shared" si="4"/>
        <v>519080</v>
      </c>
      <c r="G19" s="1688">
        <f t="shared" si="4"/>
        <v>152533</v>
      </c>
      <c r="H19" s="1688">
        <f t="shared" si="4"/>
        <v>13222</v>
      </c>
      <c r="I19" s="468"/>
      <c r="J19" s="1688">
        <f>SUM(J17:J18)</f>
        <v>0</v>
      </c>
      <c r="K19" s="1688">
        <f>SUM(K17:K18)</f>
        <v>402041</v>
      </c>
      <c r="L19" s="347"/>
    </row>
    <row r="20" spans="1:12" ht="16.5" thickTop="1" thickBot="1" x14ac:dyDescent="0.25">
      <c r="A20" s="2133" t="s">
        <v>1655</v>
      </c>
      <c r="B20" s="2134"/>
      <c r="C20" s="1746">
        <f>C8-C17</f>
        <v>1187531</v>
      </c>
      <c r="D20" s="1746">
        <f t="shared" ref="D20:K20" si="5">D8-D17</f>
        <v>-27444</v>
      </c>
      <c r="E20" s="1746">
        <f t="shared" si="5"/>
        <v>-98418</v>
      </c>
      <c r="F20" s="1746">
        <f t="shared" si="5"/>
        <v>163449</v>
      </c>
      <c r="G20" s="1746">
        <f t="shared" si="5"/>
        <v>42486</v>
      </c>
      <c r="H20" s="1746">
        <f t="shared" si="5"/>
        <v>0</v>
      </c>
      <c r="I20" s="1746">
        <f t="shared" si="5"/>
        <v>11835</v>
      </c>
      <c r="J20" s="1746">
        <f t="shared" si="5"/>
        <v>21893</v>
      </c>
      <c r="K20" s="1746">
        <f t="shared" si="5"/>
        <v>-122583</v>
      </c>
      <c r="L20" s="347"/>
    </row>
    <row r="21" spans="1:12" ht="16.7" customHeight="1" thickTop="1" x14ac:dyDescent="0.2">
      <c r="A21" s="2145" t="s">
        <v>595</v>
      </c>
      <c r="B21" s="2146"/>
      <c r="C21" s="1570"/>
      <c r="D21" s="1571"/>
      <c r="E21" s="1571"/>
      <c r="F21" s="1571"/>
      <c r="G21" s="1571"/>
      <c r="H21" s="1571"/>
      <c r="I21" s="1571"/>
      <c r="J21" s="1571"/>
      <c r="K21" s="1572"/>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9" t="s">
        <v>412</v>
      </c>
      <c r="B33" s="525">
        <v>7210</v>
      </c>
      <c r="C33" s="467"/>
      <c r="D33" s="467"/>
      <c r="E33" s="467">
        <v>9500</v>
      </c>
      <c r="F33" s="467"/>
      <c r="G33" s="477"/>
      <c r="H33" s="467"/>
      <c r="I33" s="467"/>
      <c r="J33" s="467"/>
      <c r="K33" s="467">
        <v>1090500</v>
      </c>
      <c r="L33" s="524"/>
    </row>
    <row r="34" spans="1:12" s="485" customFormat="1" x14ac:dyDescent="0.2">
      <c r="A34" s="1489" t="s">
        <v>1001</v>
      </c>
      <c r="B34" s="525">
        <v>7220</v>
      </c>
      <c r="C34" s="467"/>
      <c r="D34" s="467"/>
      <c r="E34" s="467">
        <v>84853</v>
      </c>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3575</v>
      </c>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11617</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v>106776</v>
      </c>
      <c r="E43" s="467"/>
      <c r="F43" s="467"/>
      <c r="G43" s="467"/>
      <c r="H43" s="467"/>
      <c r="I43" s="467"/>
      <c r="J43" s="467"/>
      <c r="K43" s="467"/>
      <c r="L43" s="524"/>
    </row>
    <row r="44" spans="1:12" s="485" customFormat="1" ht="13.5" customHeight="1" thickBot="1" x14ac:dyDescent="0.25">
      <c r="A44" s="2147" t="s">
        <v>374</v>
      </c>
      <c r="B44" s="2148"/>
      <c r="C44" s="1703">
        <f>SUM(C24:C43)</f>
        <v>3575</v>
      </c>
      <c r="D44" s="1703">
        <f t="shared" ref="D44:K44" si="6">SUM(D24:D43)</f>
        <v>106776</v>
      </c>
      <c r="E44" s="1703">
        <f t="shared" si="6"/>
        <v>105970</v>
      </c>
      <c r="F44" s="1703">
        <f t="shared" si="6"/>
        <v>0</v>
      </c>
      <c r="G44" s="1703">
        <f t="shared" si="6"/>
        <v>0</v>
      </c>
      <c r="H44" s="1703">
        <f t="shared" si="6"/>
        <v>0</v>
      </c>
      <c r="I44" s="1703">
        <f t="shared" si="6"/>
        <v>0</v>
      </c>
      <c r="J44" s="1703">
        <f t="shared" si="6"/>
        <v>0</v>
      </c>
      <c r="K44" s="1703">
        <f t="shared" si="6"/>
        <v>1090500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v>11617</v>
      </c>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v>106776</v>
      </c>
      <c r="K75" s="532"/>
      <c r="L75" s="524"/>
    </row>
    <row r="76" spans="1:12" s="485" customFormat="1" ht="14.25" thickTop="1" thickBot="1" x14ac:dyDescent="0.25">
      <c r="A76" s="2123" t="s">
        <v>440</v>
      </c>
      <c r="B76" s="2124"/>
      <c r="C76" s="1703">
        <f t="shared" ref="C76:K76" si="7">SUM(C47:C75)</f>
        <v>11617</v>
      </c>
      <c r="D76" s="1703">
        <f t="shared" si="7"/>
        <v>0</v>
      </c>
      <c r="E76" s="1703">
        <f t="shared" si="7"/>
        <v>0</v>
      </c>
      <c r="F76" s="1703">
        <f t="shared" si="7"/>
        <v>0</v>
      </c>
      <c r="G76" s="1703">
        <f t="shared" si="7"/>
        <v>0</v>
      </c>
      <c r="H76" s="1703">
        <f t="shared" si="7"/>
        <v>0</v>
      </c>
      <c r="I76" s="1703">
        <f t="shared" si="7"/>
        <v>0</v>
      </c>
      <c r="J76" s="1703">
        <f t="shared" si="7"/>
        <v>106776</v>
      </c>
      <c r="K76" s="1703">
        <f t="shared" si="7"/>
        <v>0</v>
      </c>
      <c r="L76" s="524"/>
    </row>
    <row r="77" spans="1:12" ht="14.25" thickTop="1" thickBot="1" x14ac:dyDescent="0.25">
      <c r="A77" s="2125" t="s">
        <v>1177</v>
      </c>
      <c r="B77" s="2126"/>
      <c r="C77" s="1703">
        <f t="shared" ref="C77:K77" si="8">C44-C76</f>
        <v>-8042</v>
      </c>
      <c r="D77" s="1703">
        <f t="shared" si="8"/>
        <v>106776</v>
      </c>
      <c r="E77" s="1703">
        <f t="shared" si="8"/>
        <v>105970</v>
      </c>
      <c r="F77" s="1703">
        <f t="shared" si="8"/>
        <v>0</v>
      </c>
      <c r="G77" s="1703">
        <f t="shared" si="8"/>
        <v>0</v>
      </c>
      <c r="H77" s="1703">
        <f t="shared" si="8"/>
        <v>0</v>
      </c>
      <c r="I77" s="1703">
        <f t="shared" si="8"/>
        <v>0</v>
      </c>
      <c r="J77" s="1703">
        <f t="shared" si="8"/>
        <v>-106776</v>
      </c>
      <c r="K77" s="1703">
        <f t="shared" si="8"/>
        <v>1090500</v>
      </c>
      <c r="L77" s="347"/>
    </row>
    <row r="78" spans="1:12" ht="21.75" customHeight="1" thickTop="1" thickBot="1" x14ac:dyDescent="0.25">
      <c r="A78" s="2129" t="s">
        <v>597</v>
      </c>
      <c r="B78" s="2130"/>
      <c r="C78" s="1702">
        <f t="shared" ref="C78:K78" si="9">C20+C77</f>
        <v>1179489</v>
      </c>
      <c r="D78" s="1702">
        <f t="shared" si="9"/>
        <v>79332</v>
      </c>
      <c r="E78" s="1702">
        <f t="shared" si="9"/>
        <v>7552</v>
      </c>
      <c r="F78" s="1702">
        <f t="shared" si="9"/>
        <v>163449</v>
      </c>
      <c r="G78" s="1702">
        <f t="shared" si="9"/>
        <v>42486</v>
      </c>
      <c r="H78" s="1702">
        <f t="shared" si="9"/>
        <v>0</v>
      </c>
      <c r="I78" s="1702">
        <f t="shared" si="9"/>
        <v>11835</v>
      </c>
      <c r="J78" s="1702">
        <f t="shared" si="9"/>
        <v>-84883</v>
      </c>
      <c r="K78" s="1702">
        <f t="shared" si="9"/>
        <v>967917</v>
      </c>
      <c r="L78" s="533"/>
    </row>
    <row r="79" spans="1:12" ht="13.5" thickTop="1" x14ac:dyDescent="0.2">
      <c r="A79" s="1494" t="s">
        <v>1945</v>
      </c>
      <c r="B79" s="534"/>
      <c r="C79" s="478">
        <v>2252851</v>
      </c>
      <c r="D79" s="535">
        <v>269447</v>
      </c>
      <c r="E79" s="535">
        <v>189723</v>
      </c>
      <c r="F79" s="535">
        <v>170175</v>
      </c>
      <c r="G79" s="535">
        <v>109891</v>
      </c>
      <c r="H79" s="535">
        <v>0</v>
      </c>
      <c r="I79" s="535">
        <v>112327</v>
      </c>
      <c r="J79" s="535">
        <v>214212</v>
      </c>
      <c r="K79" s="535">
        <v>13019</v>
      </c>
      <c r="L79" s="347"/>
    </row>
    <row r="80" spans="1:12" x14ac:dyDescent="0.2">
      <c r="A80" s="2135" t="s">
        <v>1792</v>
      </c>
      <c r="B80" s="2136"/>
      <c r="C80" s="467"/>
      <c r="D80" s="467"/>
      <c r="E80" s="467"/>
      <c r="F80" s="467"/>
      <c r="G80" s="467"/>
      <c r="H80" s="467"/>
      <c r="I80" s="467"/>
      <c r="J80" s="467"/>
      <c r="K80" s="467"/>
      <c r="L80" s="347"/>
    </row>
    <row r="81" spans="1:12" ht="13.5" thickBot="1" x14ac:dyDescent="0.25">
      <c r="A81" s="2127" t="s">
        <v>1946</v>
      </c>
      <c r="B81" s="2128"/>
      <c r="C81" s="1688">
        <f>(SUM(C78:C80))</f>
        <v>3432340</v>
      </c>
      <c r="D81" s="1688">
        <f>SUM(D78:D80)</f>
        <v>348779</v>
      </c>
      <c r="E81" s="1688">
        <f t="shared" ref="E81:K81" si="10">SUM(E78:E80)</f>
        <v>197275</v>
      </c>
      <c r="F81" s="1688">
        <f t="shared" si="10"/>
        <v>333624</v>
      </c>
      <c r="G81" s="1688">
        <f t="shared" si="10"/>
        <v>152377</v>
      </c>
      <c r="H81" s="1688">
        <f t="shared" si="10"/>
        <v>0</v>
      </c>
      <c r="I81" s="1688">
        <f t="shared" si="10"/>
        <v>124162</v>
      </c>
      <c r="J81" s="1688">
        <f t="shared" si="10"/>
        <v>129329</v>
      </c>
      <c r="K81" s="1688">
        <f t="shared" si="10"/>
        <v>980936</v>
      </c>
      <c r="L81" s="347"/>
    </row>
    <row r="82" spans="1:12" ht="0.75" customHeight="1" thickTop="1" thickBot="1" x14ac:dyDescent="0.25">
      <c r="A82" s="536" t="s">
        <v>343</v>
      </c>
      <c r="B82" s="537"/>
      <c r="C82" s="538">
        <f>(C81-C79)</f>
        <v>1179489</v>
      </c>
      <c r="D82" s="538">
        <f t="shared" ref="D82:K82" si="11">(D81-D79)</f>
        <v>79332</v>
      </c>
      <c r="E82" s="538">
        <f t="shared" si="11"/>
        <v>7552</v>
      </c>
      <c r="F82" s="538">
        <f t="shared" si="11"/>
        <v>163449</v>
      </c>
      <c r="G82" s="538">
        <f t="shared" si="11"/>
        <v>42486</v>
      </c>
      <c r="H82" s="538">
        <f t="shared" si="11"/>
        <v>0</v>
      </c>
      <c r="I82" s="538">
        <f t="shared" si="11"/>
        <v>11835</v>
      </c>
      <c r="J82" s="538">
        <f t="shared" si="11"/>
        <v>-84883</v>
      </c>
      <c r="K82" s="538">
        <f t="shared" si="11"/>
        <v>967917</v>
      </c>
    </row>
    <row r="83" spans="1:12" ht="14.25" hidden="1" thickTop="1" thickBot="1" x14ac:dyDescent="0.25">
      <c r="A83" s="539" t="s">
        <v>344</v>
      </c>
      <c r="B83" s="464"/>
      <c r="C83" s="540">
        <f>C82/C81</f>
        <v>0.34363990746837436</v>
      </c>
      <c r="D83" s="540">
        <f t="shared" ref="D83:K83" si="12">D82/D81</f>
        <v>0.2274563548837516</v>
      </c>
      <c r="E83" s="540">
        <f t="shared" si="12"/>
        <v>3.8281586617665696E-2</v>
      </c>
      <c r="F83" s="540">
        <f t="shared" si="12"/>
        <v>0.48991978994316954</v>
      </c>
      <c r="G83" s="540">
        <f t="shared" si="12"/>
        <v>0.2788216069354299</v>
      </c>
      <c r="H83" s="540" t="e">
        <f t="shared" si="12"/>
        <v>#DIV/0!</v>
      </c>
      <c r="I83" s="540">
        <f t="shared" si="12"/>
        <v>9.5319018701374006E-2</v>
      </c>
      <c r="J83" s="540">
        <f t="shared" si="12"/>
        <v>-0.65633384623711621</v>
      </c>
      <c r="K83" s="540">
        <f t="shared" si="12"/>
        <v>0.98672798225368419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21" right="0" top="1.05" bottom="0.5" header="0.44" footer="0.35"/>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3" activePane="bottomLeft" state="frozen"/>
      <selection activeCell="A5" sqref="A5:E5"/>
      <selection pane="bottomLeft" activeCell="A5" sqref="A5:E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1799</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464759</v>
      </c>
      <c r="D5" s="481">
        <v>116191</v>
      </c>
      <c r="E5" s="466">
        <v>178323</v>
      </c>
      <c r="F5" s="548">
        <v>46477</v>
      </c>
      <c r="G5" s="466">
        <v>96756</v>
      </c>
      <c r="H5" s="466"/>
      <c r="I5" s="466">
        <v>11622</v>
      </c>
      <c r="J5" s="467">
        <v>21575</v>
      </c>
      <c r="K5" s="466">
        <v>3523</v>
      </c>
    </row>
    <row r="6" spans="1:12" ht="15" x14ac:dyDescent="0.2">
      <c r="A6" s="463" t="s">
        <v>1662</v>
      </c>
      <c r="B6" s="470">
        <v>1130</v>
      </c>
      <c r="C6" s="466">
        <v>11622</v>
      </c>
      <c r="D6" s="466"/>
      <c r="E6" s="475"/>
      <c r="F6" s="475"/>
      <c r="G6" s="468"/>
      <c r="H6" s="468"/>
      <c r="I6" s="468"/>
      <c r="J6" s="468"/>
      <c r="K6" s="468"/>
    </row>
    <row r="7" spans="1:12" x14ac:dyDescent="0.2">
      <c r="A7" s="463" t="s">
        <v>110</v>
      </c>
      <c r="B7" s="549">
        <v>1140</v>
      </c>
      <c r="C7" s="466"/>
      <c r="D7" s="466"/>
      <c r="E7" s="468"/>
      <c r="F7" s="467"/>
      <c r="G7" s="467">
        <v>75422</v>
      </c>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476381</v>
      </c>
      <c r="D12" s="1707">
        <f t="shared" si="0"/>
        <v>116191</v>
      </c>
      <c r="E12" s="1707">
        <f t="shared" si="0"/>
        <v>178323</v>
      </c>
      <c r="F12" s="1707">
        <f t="shared" si="0"/>
        <v>46477</v>
      </c>
      <c r="G12" s="1707">
        <f t="shared" si="0"/>
        <v>172178</v>
      </c>
      <c r="H12" s="1707">
        <f t="shared" si="0"/>
        <v>0</v>
      </c>
      <c r="I12" s="1707">
        <f t="shared" si="0"/>
        <v>11622</v>
      </c>
      <c r="J12" s="1707">
        <f t="shared" si="0"/>
        <v>21575</v>
      </c>
      <c r="K12" s="1688">
        <f t="shared" si="0"/>
        <v>3523</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90204</v>
      </c>
      <c r="D16" s="466"/>
      <c r="E16" s="466"/>
      <c r="F16" s="466"/>
      <c r="G16" s="466">
        <v>22551</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90204</v>
      </c>
      <c r="D18" s="1710">
        <f t="shared" ref="D18:K18" si="1">SUM(D14:D17)</f>
        <v>0</v>
      </c>
      <c r="E18" s="1710">
        <f t="shared" si="1"/>
        <v>0</v>
      </c>
      <c r="F18" s="1710">
        <f t="shared" si="1"/>
        <v>0</v>
      </c>
      <c r="G18" s="1710">
        <f t="shared" si="1"/>
        <v>22551</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8509</v>
      </c>
      <c r="D65" s="466"/>
      <c r="E65" s="466">
        <v>15891</v>
      </c>
      <c r="F65" s="467"/>
      <c r="G65" s="466">
        <v>290</v>
      </c>
      <c r="H65" s="466">
        <v>0</v>
      </c>
      <c r="I65" s="466">
        <v>213</v>
      </c>
      <c r="J65" s="467">
        <v>318</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8509</v>
      </c>
      <c r="D67" s="1688">
        <f t="shared" ref="D67:K67" si="2">SUM(D65:D66)</f>
        <v>0</v>
      </c>
      <c r="E67" s="1688">
        <f t="shared" si="2"/>
        <v>15891</v>
      </c>
      <c r="F67" s="1688">
        <f t="shared" si="2"/>
        <v>0</v>
      </c>
      <c r="G67" s="1688">
        <f t="shared" si="2"/>
        <v>290</v>
      </c>
      <c r="H67" s="1688">
        <f t="shared" si="2"/>
        <v>0</v>
      </c>
      <c r="I67" s="1688">
        <f t="shared" si="2"/>
        <v>213</v>
      </c>
      <c r="J67" s="1688">
        <f t="shared" si="2"/>
        <v>318</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v>746</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11771</v>
      </c>
      <c r="D73" s="468"/>
      <c r="E73" s="468"/>
      <c r="F73" s="468"/>
      <c r="G73" s="468"/>
      <c r="H73" s="468"/>
      <c r="I73" s="468"/>
      <c r="J73" s="468"/>
      <c r="K73" s="468"/>
    </row>
    <row r="74" spans="1:11" ht="12.75" customHeight="1" x14ac:dyDescent="0.2">
      <c r="A74" s="463" t="s">
        <v>25</v>
      </c>
      <c r="B74" s="470">
        <v>1690</v>
      </c>
      <c r="C74" s="551">
        <v>3972</v>
      </c>
      <c r="D74" s="468"/>
      <c r="E74" s="468"/>
      <c r="F74" s="468"/>
      <c r="G74" s="468"/>
      <c r="H74" s="468"/>
      <c r="I74" s="468"/>
      <c r="J74" s="468"/>
      <c r="K74" s="468"/>
    </row>
    <row r="75" spans="1:11" ht="12.75" customHeight="1" thickBot="1" x14ac:dyDescent="0.25">
      <c r="A75" s="1708" t="s">
        <v>548</v>
      </c>
      <c r="B75" s="1709"/>
      <c r="C75" s="1688">
        <f>SUM(C69:C74)</f>
        <v>16489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7287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7287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76123</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14234</v>
      </c>
      <c r="D107" s="466"/>
      <c r="E107" s="466"/>
      <c r="F107" s="466"/>
      <c r="G107" s="466"/>
      <c r="H107" s="466"/>
      <c r="I107" s="466"/>
      <c r="J107" s="467"/>
      <c r="K107" s="466"/>
    </row>
    <row r="108" spans="1:12" ht="12.75" customHeight="1" thickBot="1" x14ac:dyDescent="0.25">
      <c r="A108" s="1708" t="s">
        <v>487</v>
      </c>
      <c r="B108" s="1712"/>
      <c r="C108" s="1707">
        <f>SUM(C95:C107)</f>
        <v>90357</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689227</v>
      </c>
      <c r="D109" s="1715">
        <f t="shared" si="4"/>
        <v>116191</v>
      </c>
      <c r="E109" s="1715">
        <f t="shared" si="4"/>
        <v>194214</v>
      </c>
      <c r="F109" s="1715">
        <f t="shared" si="4"/>
        <v>46477</v>
      </c>
      <c r="G109" s="1715">
        <f t="shared" si="4"/>
        <v>195019</v>
      </c>
      <c r="H109" s="1715">
        <f t="shared" si="4"/>
        <v>0</v>
      </c>
      <c r="I109" s="1715">
        <f t="shared" si="4"/>
        <v>11835</v>
      </c>
      <c r="J109" s="1715">
        <f t="shared" si="4"/>
        <v>21893</v>
      </c>
      <c r="K109" s="1702">
        <f t="shared" si="4"/>
        <v>3523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51685</v>
      </c>
      <c r="D111" s="481"/>
      <c r="E111" s="561"/>
      <c r="F111" s="481"/>
      <c r="G111" s="481"/>
      <c r="H111" s="561"/>
      <c r="I111" s="468"/>
      <c r="J111" s="468"/>
      <c r="K111" s="468"/>
    </row>
    <row r="112" spans="1:12" ht="12.75" customHeight="1" x14ac:dyDescent="0.2">
      <c r="A112" s="463" t="s">
        <v>824</v>
      </c>
      <c r="B112" s="470">
        <v>2200</v>
      </c>
      <c r="C112" s="551">
        <v>6471</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58156</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3041351</v>
      </c>
      <c r="D117" s="481">
        <v>195970</v>
      </c>
      <c r="E117" s="466">
        <v>80000</v>
      </c>
      <c r="F117" s="481">
        <v>280000</v>
      </c>
      <c r="G117" s="481"/>
      <c r="H117" s="466">
        <v>13222</v>
      </c>
      <c r="I117" s="468"/>
      <c r="J117" s="467"/>
      <c r="K117" s="466">
        <v>275935</v>
      </c>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3041351</v>
      </c>
      <c r="D122" s="1707">
        <f t="shared" si="5"/>
        <v>195970</v>
      </c>
      <c r="E122" s="1707">
        <f t="shared" si="5"/>
        <v>80000</v>
      </c>
      <c r="F122" s="1707">
        <f t="shared" si="5"/>
        <v>280000</v>
      </c>
      <c r="G122" s="1707">
        <f t="shared" si="5"/>
        <v>0</v>
      </c>
      <c r="H122" s="1707">
        <f t="shared" si="5"/>
        <v>13222</v>
      </c>
      <c r="I122" s="468"/>
      <c r="J122" s="1707">
        <f>SUM(J117:J121)</f>
        <v>0</v>
      </c>
      <c r="K122" s="1688">
        <f>SUM(K117:K121)</f>
        <v>275935</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6143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6143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2457</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2457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6163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6467</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233684</v>
      </c>
      <c r="G152" s="467"/>
      <c r="H152" s="468"/>
      <c r="I152" s="468"/>
      <c r="J152" s="468"/>
      <c r="K152" s="468"/>
    </row>
    <row r="153" spans="1:11" ht="12.75" customHeight="1" x14ac:dyDescent="0.2">
      <c r="A153" s="463" t="s">
        <v>1057</v>
      </c>
      <c r="B153" s="562">
        <v>3510</v>
      </c>
      <c r="C153" s="551"/>
      <c r="D153" s="466"/>
      <c r="E153" s="561"/>
      <c r="F153" s="466">
        <v>122368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356052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318924</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66823</v>
      </c>
      <c r="D168" s="580"/>
      <c r="E168" s="580"/>
      <c r="F168" s="580"/>
      <c r="G168" s="581"/>
      <c r="H168" s="582"/>
      <c r="I168" s="581"/>
      <c r="J168" s="581"/>
      <c r="K168" s="582"/>
    </row>
    <row r="169" spans="1:11" ht="12.75" customHeight="1" thickTop="1" thickBot="1" x14ac:dyDescent="0.25">
      <c r="A169" s="2151" t="s">
        <v>398</v>
      </c>
      <c r="B169" s="2152"/>
      <c r="C169" s="1722">
        <f t="shared" ref="C169:K169" si="6">SUM(C132,C141,C145,C146:C150,C155,C156:C167,C168)</f>
        <v>406977</v>
      </c>
      <c r="D169" s="1722">
        <f t="shared" si="6"/>
        <v>0</v>
      </c>
      <c r="E169" s="1722">
        <f t="shared" si="6"/>
        <v>0</v>
      </c>
      <c r="F169" s="1722">
        <f t="shared" si="6"/>
        <v>356052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3448328</v>
      </c>
      <c r="D170" s="1715">
        <f t="shared" si="7"/>
        <v>195970</v>
      </c>
      <c r="E170" s="1715">
        <f t="shared" si="7"/>
        <v>80000</v>
      </c>
      <c r="F170" s="1715">
        <f t="shared" si="7"/>
        <v>636052</v>
      </c>
      <c r="G170" s="1715">
        <f t="shared" si="7"/>
        <v>0</v>
      </c>
      <c r="H170" s="1715">
        <f t="shared" si="7"/>
        <v>13222</v>
      </c>
      <c r="I170" s="1715">
        <f t="shared" si="7"/>
        <v>0</v>
      </c>
      <c r="J170" s="1715">
        <f t="shared" si="7"/>
        <v>0</v>
      </c>
      <c r="K170" s="1702">
        <f t="shared" si="7"/>
        <v>275935</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7" t="s">
        <v>1665</v>
      </c>
      <c r="B175" s="215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9" t="s">
        <v>785</v>
      </c>
      <c r="B181" s="216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5" t="s">
        <v>1800</v>
      </c>
      <c r="B182" s="215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5822</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5822</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219378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103887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12090</v>
      </c>
      <c r="D196" s="468"/>
      <c r="E196" s="561"/>
      <c r="F196" s="468"/>
      <c r="G196" s="586"/>
      <c r="H196" s="468"/>
      <c r="I196" s="468"/>
      <c r="J196" s="468"/>
      <c r="K196" s="468"/>
    </row>
    <row r="197" spans="1:11" ht="12.75" customHeight="1" x14ac:dyDescent="0.2">
      <c r="A197" s="463" t="s">
        <v>71</v>
      </c>
      <c r="B197" s="470">
        <v>4299</v>
      </c>
      <c r="C197" s="551">
        <v>13678</v>
      </c>
      <c r="D197" s="468"/>
      <c r="E197" s="561"/>
      <c r="F197" s="468"/>
      <c r="G197" s="585"/>
      <c r="H197" s="468"/>
      <c r="I197" s="468"/>
      <c r="J197" s="468"/>
      <c r="K197" s="468"/>
    </row>
    <row r="198" spans="1:11" ht="12.75" customHeight="1" thickBot="1" x14ac:dyDescent="0.25">
      <c r="A198" s="1708" t="s">
        <v>548</v>
      </c>
      <c r="B198" s="1709"/>
      <c r="C198" s="1688">
        <f>SUM(C190:C197)</f>
        <v>349033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385768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991728</v>
      </c>
      <c r="D203" s="466"/>
      <c r="E203" s="468"/>
      <c r="F203" s="466"/>
      <c r="G203" s="466"/>
      <c r="H203" s="468"/>
      <c r="I203" s="468"/>
      <c r="J203" s="468"/>
      <c r="K203" s="468"/>
    </row>
    <row r="204" spans="1:11" ht="12.75" customHeight="1" thickBot="1" x14ac:dyDescent="0.25">
      <c r="A204" s="1708" t="s">
        <v>400</v>
      </c>
      <c r="B204" s="1709"/>
      <c r="C204" s="1707">
        <f>SUM(C200:C203)</f>
        <v>1377496</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48460</v>
      </c>
      <c r="D206" s="466"/>
      <c r="E206" s="468"/>
      <c r="F206" s="466"/>
      <c r="G206" s="466"/>
      <c r="H206" s="468"/>
      <c r="I206" s="468"/>
      <c r="J206" s="468"/>
      <c r="K206" s="468"/>
    </row>
    <row r="207" spans="1:11" ht="12.75" customHeight="1" x14ac:dyDescent="0.2">
      <c r="A207" s="463" t="s">
        <v>1453</v>
      </c>
      <c r="B207" s="470">
        <v>4421</v>
      </c>
      <c r="C207" s="551">
        <v>311289</v>
      </c>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359749</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1660</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1660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35123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2128883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2128883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6324594</v>
      </c>
      <c r="D268" s="1715">
        <f t="shared" si="12"/>
        <v>312161</v>
      </c>
      <c r="E268" s="1715">
        <f t="shared" si="12"/>
        <v>274214</v>
      </c>
      <c r="F268" s="1715">
        <f t="shared" si="12"/>
        <v>682529</v>
      </c>
      <c r="G268" s="1715">
        <f t="shared" si="12"/>
        <v>195019</v>
      </c>
      <c r="H268" s="1715">
        <f t="shared" si="12"/>
        <v>13222</v>
      </c>
      <c r="I268" s="1715">
        <f t="shared" si="12"/>
        <v>11835</v>
      </c>
      <c r="J268" s="1715">
        <f t="shared" si="12"/>
        <v>21893</v>
      </c>
      <c r="K268" s="1702">
        <f t="shared" si="12"/>
        <v>279458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orizontalCentered="1" headings="1" gridLines="1"/>
  <pageMargins left="0.25" right="0.15" top="0.66" bottom="0.5" header="0.26" footer="0.35"/>
  <pageSetup scale="65"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308" activePane="bottomLeft" state="frozen"/>
      <selection activeCell="A5" sqref="A5:E5"/>
      <selection pane="bottomLeft" activeCell="A5" sqref="A5:E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9" t="s">
        <v>297</v>
      </c>
      <c r="B3" s="217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1183015</v>
      </c>
      <c r="D5" s="466">
        <v>232779</v>
      </c>
      <c r="E5" s="466">
        <v>130397</v>
      </c>
      <c r="F5" s="466">
        <v>208964</v>
      </c>
      <c r="G5" s="466">
        <v>33630</v>
      </c>
      <c r="H5" s="466">
        <v>105</v>
      </c>
      <c r="I5" s="467"/>
      <c r="J5" s="467"/>
      <c r="K5" s="1671">
        <f>SUM(C5:J5)</f>
        <v>1788890</v>
      </c>
      <c r="L5" s="466">
        <v>1873416</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140065</v>
      </c>
      <c r="D7" s="467">
        <v>33048</v>
      </c>
      <c r="E7" s="467">
        <v>15370</v>
      </c>
      <c r="F7" s="467">
        <v>29052</v>
      </c>
      <c r="G7" s="467"/>
      <c r="H7" s="467"/>
      <c r="I7" s="467"/>
      <c r="J7" s="467"/>
      <c r="K7" s="1671">
        <f t="shared" ref="K7:K32" si="0">SUM(C7:J7)</f>
        <v>217535</v>
      </c>
      <c r="L7" s="466">
        <v>214390</v>
      </c>
    </row>
    <row r="8" spans="1:14" x14ac:dyDescent="0.2">
      <c r="A8" s="1504" t="s">
        <v>164</v>
      </c>
      <c r="B8" s="614">
        <v>1200</v>
      </c>
      <c r="C8" s="466">
        <v>305424</v>
      </c>
      <c r="D8" s="466">
        <v>59292</v>
      </c>
      <c r="E8" s="466">
        <v>5097</v>
      </c>
      <c r="F8" s="466">
        <v>10</v>
      </c>
      <c r="G8" s="466"/>
      <c r="H8" s="466"/>
      <c r="I8" s="467"/>
      <c r="J8" s="467"/>
      <c r="K8" s="1671">
        <f t="shared" si="0"/>
        <v>369823</v>
      </c>
      <c r="L8" s="466">
        <v>371935</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c r="D10" s="466"/>
      <c r="E10" s="466"/>
      <c r="F10" s="466"/>
      <c r="G10" s="466"/>
      <c r="H10" s="466"/>
      <c r="I10" s="467"/>
      <c r="J10" s="467"/>
      <c r="K10" s="1671">
        <f t="shared" si="0"/>
        <v>0</v>
      </c>
      <c r="L10" s="466">
        <v>0</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70267</v>
      </c>
      <c r="D13" s="466">
        <v>19309</v>
      </c>
      <c r="E13" s="466">
        <v>687</v>
      </c>
      <c r="F13" s="466">
        <v>2461</v>
      </c>
      <c r="G13" s="466"/>
      <c r="H13" s="466"/>
      <c r="I13" s="467"/>
      <c r="J13" s="467"/>
      <c r="K13" s="1671">
        <f t="shared" si="0"/>
        <v>92724</v>
      </c>
      <c r="L13" s="466">
        <v>90039</v>
      </c>
    </row>
    <row r="14" spans="1:14" x14ac:dyDescent="0.2">
      <c r="A14" s="1504" t="s">
        <v>963</v>
      </c>
      <c r="B14" s="614">
        <v>1500</v>
      </c>
      <c r="C14" s="466">
        <v>86414</v>
      </c>
      <c r="D14" s="466">
        <v>2029</v>
      </c>
      <c r="E14" s="466">
        <v>24718</v>
      </c>
      <c r="F14" s="466">
        <v>11557</v>
      </c>
      <c r="G14" s="466"/>
      <c r="H14" s="466">
        <v>2048</v>
      </c>
      <c r="I14" s="467"/>
      <c r="J14" s="467"/>
      <c r="K14" s="1671">
        <f t="shared" si="0"/>
        <v>126766</v>
      </c>
      <c r="L14" s="466">
        <v>144922</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1785185</v>
      </c>
      <c r="D33" s="1670">
        <f t="shared" ref="D33:L33" si="1">SUM(D5:D32)</f>
        <v>346457</v>
      </c>
      <c r="E33" s="1670">
        <f t="shared" si="1"/>
        <v>176269</v>
      </c>
      <c r="F33" s="1670">
        <f t="shared" si="1"/>
        <v>252044</v>
      </c>
      <c r="G33" s="1670">
        <f t="shared" si="1"/>
        <v>33630</v>
      </c>
      <c r="H33" s="1670">
        <f t="shared" si="1"/>
        <v>2153</v>
      </c>
      <c r="I33" s="1670">
        <f t="shared" si="1"/>
        <v>0</v>
      </c>
      <c r="J33" s="1670">
        <f t="shared" si="1"/>
        <v>0</v>
      </c>
      <c r="K33" s="1670">
        <f t="shared" si="1"/>
        <v>2595738</v>
      </c>
      <c r="L33" s="1670">
        <f t="shared" si="1"/>
        <v>2694702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68904</v>
      </c>
      <c r="D36" s="481">
        <v>11096</v>
      </c>
      <c r="E36" s="481"/>
      <c r="F36" s="481"/>
      <c r="G36" s="481"/>
      <c r="H36" s="481"/>
      <c r="I36" s="467"/>
      <c r="J36" s="467"/>
      <c r="K36" s="1671">
        <f t="shared" ref="K36:K41" si="2">SUM(C36:J36)</f>
        <v>80000</v>
      </c>
      <c r="L36" s="466">
        <v>80286</v>
      </c>
    </row>
    <row r="37" spans="1:14" x14ac:dyDescent="0.2">
      <c r="A37" s="1504" t="s">
        <v>1090</v>
      </c>
      <c r="B37" s="614">
        <v>2120</v>
      </c>
      <c r="C37" s="466">
        <v>114199</v>
      </c>
      <c r="D37" s="466">
        <v>6332</v>
      </c>
      <c r="E37" s="466">
        <v>156</v>
      </c>
      <c r="F37" s="466">
        <v>328</v>
      </c>
      <c r="G37" s="466"/>
      <c r="H37" s="466"/>
      <c r="I37" s="467"/>
      <c r="J37" s="467"/>
      <c r="K37" s="1671">
        <f t="shared" si="2"/>
        <v>121015</v>
      </c>
      <c r="L37" s="466">
        <v>120222</v>
      </c>
    </row>
    <row r="38" spans="1:14" x14ac:dyDescent="0.2">
      <c r="A38" s="1504" t="s">
        <v>198</v>
      </c>
      <c r="B38" s="614">
        <v>2130</v>
      </c>
      <c r="C38" s="466">
        <v>58644</v>
      </c>
      <c r="D38" s="466">
        <v>8009</v>
      </c>
      <c r="E38" s="466"/>
      <c r="F38" s="466">
        <v>97</v>
      </c>
      <c r="G38" s="466"/>
      <c r="H38" s="466"/>
      <c r="I38" s="467"/>
      <c r="J38" s="467"/>
      <c r="K38" s="1671">
        <f t="shared" si="2"/>
        <v>66750</v>
      </c>
      <c r="L38" s="466">
        <v>67389</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c r="F40" s="466"/>
      <c r="G40" s="466"/>
      <c r="H40" s="466"/>
      <c r="I40" s="467"/>
      <c r="J40" s="467"/>
      <c r="K40" s="1671">
        <f t="shared" si="2"/>
        <v>0</v>
      </c>
      <c r="L40" s="466">
        <v>0</v>
      </c>
    </row>
    <row r="41" spans="1:14" x14ac:dyDescent="0.2">
      <c r="A41" s="1504" t="s">
        <v>1669</v>
      </c>
      <c r="B41" s="614">
        <v>2190</v>
      </c>
      <c r="C41" s="466"/>
      <c r="D41" s="466"/>
      <c r="E41" s="466"/>
      <c r="F41" s="466"/>
      <c r="G41" s="466"/>
      <c r="H41" s="466"/>
      <c r="I41" s="467"/>
      <c r="J41" s="467"/>
      <c r="K41" s="1671">
        <f t="shared" si="2"/>
        <v>0</v>
      </c>
      <c r="L41" s="466">
        <v>0</v>
      </c>
    </row>
    <row r="42" spans="1:14" ht="12.75" customHeight="1" thickBot="1" x14ac:dyDescent="0.25">
      <c r="A42" s="1668" t="s">
        <v>560</v>
      </c>
      <c r="B42" s="1669" t="s">
        <v>716</v>
      </c>
      <c r="C42" s="1670">
        <f>SUM(C36:C41)</f>
        <v>241747</v>
      </c>
      <c r="D42" s="1670">
        <f t="shared" ref="D42:L42" si="3">SUM(D36:D41)</f>
        <v>25437</v>
      </c>
      <c r="E42" s="1670">
        <f t="shared" si="3"/>
        <v>156</v>
      </c>
      <c r="F42" s="1670">
        <f t="shared" si="3"/>
        <v>425</v>
      </c>
      <c r="G42" s="1670">
        <f t="shared" si="3"/>
        <v>0</v>
      </c>
      <c r="H42" s="1670">
        <f t="shared" si="3"/>
        <v>0</v>
      </c>
      <c r="I42" s="1670">
        <f t="shared" si="3"/>
        <v>0</v>
      </c>
      <c r="J42" s="1670">
        <f t="shared" si="3"/>
        <v>0</v>
      </c>
      <c r="K42" s="1670">
        <f t="shared" si="3"/>
        <v>267765</v>
      </c>
      <c r="L42" s="1670">
        <f t="shared" si="3"/>
        <v>267897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269185</v>
      </c>
      <c r="D44" s="481">
        <v>58113</v>
      </c>
      <c r="E44" s="481">
        <v>118313</v>
      </c>
      <c r="F44" s="481">
        <v>30863</v>
      </c>
      <c r="G44" s="481"/>
      <c r="H44" s="481"/>
      <c r="I44" s="467"/>
      <c r="J44" s="467"/>
      <c r="K44" s="1672">
        <f>SUM(C44:J44)</f>
        <v>476474</v>
      </c>
      <c r="L44" s="481">
        <v>406793</v>
      </c>
    </row>
    <row r="45" spans="1:14" x14ac:dyDescent="0.2">
      <c r="A45" s="1504" t="s">
        <v>815</v>
      </c>
      <c r="B45" s="614">
        <v>2220</v>
      </c>
      <c r="C45" s="466"/>
      <c r="D45" s="466"/>
      <c r="E45" s="466">
        <v>44554</v>
      </c>
      <c r="F45" s="466">
        <v>2806</v>
      </c>
      <c r="G45" s="466">
        <v>3348</v>
      </c>
      <c r="H45" s="466"/>
      <c r="I45" s="467"/>
      <c r="J45" s="467"/>
      <c r="K45" s="1672">
        <f>SUM(C45:J45)</f>
        <v>50708</v>
      </c>
      <c r="L45" s="466">
        <v>53626</v>
      </c>
    </row>
    <row r="46" spans="1:14" x14ac:dyDescent="0.2">
      <c r="A46" s="1504" t="s">
        <v>816</v>
      </c>
      <c r="B46" s="614">
        <v>2230</v>
      </c>
      <c r="C46" s="466"/>
      <c r="D46" s="466"/>
      <c r="E46" s="466"/>
      <c r="F46" s="466"/>
      <c r="G46" s="466"/>
      <c r="H46" s="466"/>
      <c r="I46" s="467"/>
      <c r="J46" s="467"/>
      <c r="K46" s="1672">
        <f>SUM(C46:J46)</f>
        <v>0</v>
      </c>
      <c r="L46" s="466">
        <v>400</v>
      </c>
    </row>
    <row r="47" spans="1:14" ht="12.75" customHeight="1" thickBot="1" x14ac:dyDescent="0.25">
      <c r="A47" s="1668" t="s">
        <v>561</v>
      </c>
      <c r="B47" s="1669" t="s">
        <v>32</v>
      </c>
      <c r="C47" s="1670">
        <f>SUM(C44:C46)</f>
        <v>269185</v>
      </c>
      <c r="D47" s="1670">
        <f t="shared" ref="D47:K47" si="4">SUM(D44:D46)</f>
        <v>58113</v>
      </c>
      <c r="E47" s="1670">
        <f t="shared" si="4"/>
        <v>162867</v>
      </c>
      <c r="F47" s="1670">
        <f t="shared" si="4"/>
        <v>33669</v>
      </c>
      <c r="G47" s="1670">
        <f t="shared" si="4"/>
        <v>3348</v>
      </c>
      <c r="H47" s="1670">
        <f t="shared" si="4"/>
        <v>0</v>
      </c>
      <c r="I47" s="1670">
        <f t="shared" si="4"/>
        <v>0</v>
      </c>
      <c r="J47" s="1670">
        <f t="shared" si="4"/>
        <v>0</v>
      </c>
      <c r="K47" s="1670">
        <f t="shared" si="4"/>
        <v>527182</v>
      </c>
      <c r="L47" s="1670">
        <f>SUM(L44:L46)</f>
        <v>460819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18443</v>
      </c>
      <c r="D49" s="481">
        <v>18376</v>
      </c>
      <c r="E49" s="481">
        <v>101263</v>
      </c>
      <c r="F49" s="481">
        <v>5026</v>
      </c>
      <c r="G49" s="481">
        <v>690</v>
      </c>
      <c r="H49" s="481">
        <v>10189</v>
      </c>
      <c r="I49" s="467"/>
      <c r="J49" s="467"/>
      <c r="K49" s="1672">
        <f>SUM(C49:J49)</f>
        <v>153987</v>
      </c>
      <c r="L49" s="481">
        <v>171421</v>
      </c>
    </row>
    <row r="50" spans="1:14" x14ac:dyDescent="0.2">
      <c r="A50" s="1504" t="s">
        <v>818</v>
      </c>
      <c r="B50" s="614">
        <v>2320</v>
      </c>
      <c r="C50" s="466">
        <v>150829</v>
      </c>
      <c r="D50" s="466">
        <v>20704</v>
      </c>
      <c r="E50" s="466">
        <v>11683</v>
      </c>
      <c r="F50" s="466">
        <v>676</v>
      </c>
      <c r="G50" s="466"/>
      <c r="H50" s="466">
        <v>2455</v>
      </c>
      <c r="I50" s="467"/>
      <c r="J50" s="467"/>
      <c r="K50" s="1672">
        <f>SUM(C50:J50)</f>
        <v>186347</v>
      </c>
      <c r="L50" s="466">
        <v>189595</v>
      </c>
    </row>
    <row r="51" spans="1:14" x14ac:dyDescent="0.2">
      <c r="A51" s="1504" t="s">
        <v>42</v>
      </c>
      <c r="B51" s="614">
        <v>2330</v>
      </c>
      <c r="C51" s="466"/>
      <c r="D51" s="466"/>
      <c r="E51" s="466"/>
      <c r="F51" s="466"/>
      <c r="G51" s="466"/>
      <c r="H51" s="466"/>
      <c r="I51" s="467"/>
      <c r="J51" s="467"/>
      <c r="K51" s="1672">
        <f>SUM(C51:J51)</f>
        <v>0</v>
      </c>
      <c r="L51" s="466">
        <v>39840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169272</v>
      </c>
      <c r="D53" s="1670">
        <f t="shared" ref="D53:L53" si="5">SUM(D49:D52)</f>
        <v>39080</v>
      </c>
      <c r="E53" s="1670">
        <f t="shared" si="5"/>
        <v>112946</v>
      </c>
      <c r="F53" s="1670">
        <f t="shared" si="5"/>
        <v>5702</v>
      </c>
      <c r="G53" s="1670">
        <f t="shared" si="5"/>
        <v>690</v>
      </c>
      <c r="H53" s="1670">
        <f t="shared" si="5"/>
        <v>12644</v>
      </c>
      <c r="I53" s="1670">
        <f t="shared" si="5"/>
        <v>0</v>
      </c>
      <c r="J53" s="1670">
        <f t="shared" si="5"/>
        <v>0</v>
      </c>
      <c r="K53" s="1670">
        <f t="shared" si="5"/>
        <v>340334</v>
      </c>
      <c r="L53" s="1670">
        <f t="shared" si="5"/>
        <v>400856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240820</v>
      </c>
      <c r="D55" s="481">
        <v>45872</v>
      </c>
      <c r="E55" s="481">
        <v>30084</v>
      </c>
      <c r="F55" s="481">
        <v>40</v>
      </c>
      <c r="G55" s="481"/>
      <c r="H55" s="481"/>
      <c r="I55" s="467"/>
      <c r="J55" s="467"/>
      <c r="K55" s="1672">
        <f>SUM(C55:J55)</f>
        <v>316816</v>
      </c>
      <c r="L55" s="481">
        <v>321171</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240820</v>
      </c>
      <c r="D57" s="1674">
        <f t="shared" ref="D57:K57" si="6">SUM(D55:D56)</f>
        <v>45872</v>
      </c>
      <c r="E57" s="1674">
        <f t="shared" si="6"/>
        <v>30084</v>
      </c>
      <c r="F57" s="1674">
        <f t="shared" si="6"/>
        <v>40</v>
      </c>
      <c r="G57" s="1674">
        <f t="shared" si="6"/>
        <v>0</v>
      </c>
      <c r="H57" s="1674">
        <f t="shared" si="6"/>
        <v>0</v>
      </c>
      <c r="I57" s="1674">
        <f t="shared" si="6"/>
        <v>0</v>
      </c>
      <c r="J57" s="1674">
        <f t="shared" si="6"/>
        <v>0</v>
      </c>
      <c r="K57" s="1674">
        <f t="shared" si="6"/>
        <v>316816</v>
      </c>
      <c r="L57" s="1670">
        <f>SUM(L55:L56)</f>
        <v>321171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55457</v>
      </c>
      <c r="D60" s="466">
        <v>6928</v>
      </c>
      <c r="E60" s="466"/>
      <c r="F60" s="466"/>
      <c r="G60" s="466"/>
      <c r="H60" s="466">
        <v>325</v>
      </c>
      <c r="I60" s="467"/>
      <c r="J60" s="467"/>
      <c r="K60" s="1672">
        <f t="shared" si="7"/>
        <v>62710</v>
      </c>
      <c r="L60" s="466">
        <v>62012</v>
      </c>
      <c r="M60" s="609"/>
      <c r="N60" s="609"/>
    </row>
    <row r="61" spans="1:14" s="343" customFormat="1" x14ac:dyDescent="0.2">
      <c r="A61" s="1504" t="s">
        <v>197</v>
      </c>
      <c r="B61" s="614">
        <v>2540</v>
      </c>
      <c r="C61" s="466">
        <v>188987</v>
      </c>
      <c r="D61" s="466">
        <v>12527</v>
      </c>
      <c r="E61" s="466">
        <v>11979</v>
      </c>
      <c r="F61" s="466"/>
      <c r="G61" s="466"/>
      <c r="H61" s="466"/>
      <c r="I61" s="467"/>
      <c r="J61" s="467"/>
      <c r="K61" s="1672">
        <f t="shared" si="7"/>
        <v>213493</v>
      </c>
      <c r="L61" s="466">
        <v>218925</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100147</v>
      </c>
      <c r="D63" s="466">
        <v>13776</v>
      </c>
      <c r="E63" s="466">
        <v>5404</v>
      </c>
      <c r="F63" s="466">
        <v>231131</v>
      </c>
      <c r="G63" s="466">
        <v>13678</v>
      </c>
      <c r="H63" s="466">
        <v>155</v>
      </c>
      <c r="I63" s="467"/>
      <c r="J63" s="467"/>
      <c r="K63" s="1672">
        <f t="shared" si="7"/>
        <v>364291</v>
      </c>
      <c r="L63" s="466">
        <v>357184</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344591</v>
      </c>
      <c r="D65" s="1670">
        <f t="shared" ref="D65:L65" si="8">SUM(D59:D64)</f>
        <v>33231</v>
      </c>
      <c r="E65" s="1670">
        <f t="shared" si="8"/>
        <v>17383</v>
      </c>
      <c r="F65" s="1670">
        <f t="shared" si="8"/>
        <v>231131</v>
      </c>
      <c r="G65" s="1670">
        <f t="shared" si="8"/>
        <v>13678</v>
      </c>
      <c r="H65" s="1670">
        <f t="shared" si="8"/>
        <v>480</v>
      </c>
      <c r="I65" s="1670">
        <f t="shared" si="8"/>
        <v>0</v>
      </c>
      <c r="J65" s="1670">
        <f t="shared" si="8"/>
        <v>0</v>
      </c>
      <c r="K65" s="1670">
        <f t="shared" si="8"/>
        <v>640494</v>
      </c>
      <c r="L65" s="1670">
        <f t="shared" si="8"/>
        <v>638121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v>125000</v>
      </c>
      <c r="F67" s="466">
        <v>1192</v>
      </c>
      <c r="G67" s="466"/>
      <c r="H67" s="466"/>
      <c r="I67" s="467"/>
      <c r="J67" s="467"/>
      <c r="K67" s="1672">
        <f>SUM(C67:J67)</f>
        <v>126192</v>
      </c>
      <c r="L67" s="481">
        <v>105187</v>
      </c>
      <c r="M67" s="609"/>
      <c r="N67" s="609"/>
    </row>
    <row r="68" spans="1:14" s="343" customFormat="1" x14ac:dyDescent="0.2">
      <c r="A68" s="1504" t="s">
        <v>607</v>
      </c>
      <c r="B68" s="614">
        <v>2620</v>
      </c>
      <c r="C68" s="466"/>
      <c r="D68" s="466"/>
      <c r="E68" s="466">
        <v>2000</v>
      </c>
      <c r="F68" s="466"/>
      <c r="G68" s="466"/>
      <c r="H68" s="466"/>
      <c r="I68" s="467"/>
      <c r="J68" s="467"/>
      <c r="K68" s="1672">
        <f>SUM(C68:J68)</f>
        <v>2000</v>
      </c>
      <c r="L68" s="466">
        <v>2000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v>7759</v>
      </c>
      <c r="F70" s="466"/>
      <c r="G70" s="466"/>
      <c r="H70" s="466"/>
      <c r="I70" s="467"/>
      <c r="J70" s="467"/>
      <c r="K70" s="1672">
        <f>SUM(C70:J70)</f>
        <v>7759</v>
      </c>
      <c r="L70" s="466">
        <v>5010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134759</v>
      </c>
      <c r="F72" s="1670">
        <f t="shared" si="9"/>
        <v>1192</v>
      </c>
      <c r="G72" s="1670">
        <f t="shared" si="9"/>
        <v>0</v>
      </c>
      <c r="H72" s="1670">
        <f t="shared" si="9"/>
        <v>0</v>
      </c>
      <c r="I72" s="1670">
        <f t="shared" si="9"/>
        <v>0</v>
      </c>
      <c r="J72" s="1670">
        <f t="shared" si="9"/>
        <v>0</v>
      </c>
      <c r="K72" s="1670">
        <f t="shared" si="9"/>
        <v>135951</v>
      </c>
      <c r="L72" s="1670">
        <f>SUM(L67:L71)</f>
        <v>112197</v>
      </c>
      <c r="M72" s="609"/>
      <c r="N72" s="609"/>
    </row>
    <row r="73" spans="1:14" s="343" customFormat="1" ht="14.25" thickTop="1" thickBot="1" x14ac:dyDescent="0.25">
      <c r="A73" s="1510" t="s">
        <v>980</v>
      </c>
      <c r="B73" s="632" t="s">
        <v>574</v>
      </c>
      <c r="C73" s="573">
        <v>12706</v>
      </c>
      <c r="D73" s="573">
        <v>184</v>
      </c>
      <c r="E73" s="573">
        <v>3662</v>
      </c>
      <c r="F73" s="573">
        <v>465</v>
      </c>
      <c r="G73" s="573"/>
      <c r="H73" s="573"/>
      <c r="I73" s="531"/>
      <c r="J73" s="531"/>
      <c r="K73" s="1670">
        <f>SUM(C73:J73)</f>
        <v>17017</v>
      </c>
      <c r="L73" s="576">
        <v>23189</v>
      </c>
      <c r="M73" s="609"/>
      <c r="N73" s="609"/>
    </row>
    <row r="74" spans="1:14" ht="12.75" customHeight="1" thickTop="1" thickBot="1" x14ac:dyDescent="0.25">
      <c r="A74" s="1668" t="s">
        <v>811</v>
      </c>
      <c r="B74" s="1676">
        <v>2000</v>
      </c>
      <c r="C74" s="1677">
        <f>SUM(C42,C47,C53,C57,C65,C72,C73)</f>
        <v>1278321</v>
      </c>
      <c r="D74" s="1677">
        <f t="shared" ref="D74:K74" si="10">SUM(D42,D47,D53,D57,D65,D72,D73)</f>
        <v>201917</v>
      </c>
      <c r="E74" s="1677">
        <f t="shared" si="10"/>
        <v>461857</v>
      </c>
      <c r="F74" s="1677">
        <f t="shared" si="10"/>
        <v>272624</v>
      </c>
      <c r="G74" s="1677">
        <f t="shared" si="10"/>
        <v>17716</v>
      </c>
      <c r="H74" s="1677">
        <f t="shared" si="10"/>
        <v>13124</v>
      </c>
      <c r="I74" s="1677">
        <f t="shared" si="10"/>
        <v>0</v>
      </c>
      <c r="J74" s="1677">
        <f t="shared" si="10"/>
        <v>0</v>
      </c>
      <c r="K74" s="1677">
        <f t="shared" si="10"/>
        <v>2245559</v>
      </c>
      <c r="L74" s="1677">
        <f>SUM(L42,L47,L53,L57,L65,L72,L73)</f>
        <v>2224250</v>
      </c>
    </row>
    <row r="75" spans="1:14" s="259" customFormat="1" ht="15.75" customHeight="1" thickTop="1" thickBot="1" x14ac:dyDescent="0.25">
      <c r="A75" s="1610" t="s">
        <v>47</v>
      </c>
      <c r="B75" s="1611" t="s">
        <v>575</v>
      </c>
      <c r="C75" s="573">
        <v>41871</v>
      </c>
      <c r="D75" s="573">
        <v>9144</v>
      </c>
      <c r="E75" s="573">
        <v>2774</v>
      </c>
      <c r="F75" s="573">
        <v>17363</v>
      </c>
      <c r="G75" s="573"/>
      <c r="H75" s="573"/>
      <c r="I75" s="531"/>
      <c r="J75" s="531"/>
      <c r="K75" s="1670">
        <f>SUM(C75:J75)</f>
        <v>71152</v>
      </c>
      <c r="L75" s="576">
        <v>100287</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3754</v>
      </c>
      <c r="I78" s="477"/>
      <c r="J78" s="477"/>
      <c r="K78" s="1671">
        <f t="shared" ref="K78:K83" si="11">SUM(C78:J78)</f>
        <v>3754</v>
      </c>
      <c r="L78" s="481">
        <v>4000</v>
      </c>
    </row>
    <row r="79" spans="1:14" x14ac:dyDescent="0.2">
      <c r="A79" s="1504" t="s">
        <v>304</v>
      </c>
      <c r="B79" s="614">
        <v>4120</v>
      </c>
      <c r="C79" s="616"/>
      <c r="D79" s="616"/>
      <c r="E79" s="466"/>
      <c r="F79" s="616"/>
      <c r="G79" s="616"/>
      <c r="H79" s="466">
        <v>220860</v>
      </c>
      <c r="I79" s="477"/>
      <c r="J79" s="477"/>
      <c r="K79" s="1671">
        <f t="shared" si="11"/>
        <v>220860</v>
      </c>
      <c r="L79" s="466">
        <v>190000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224614</v>
      </c>
      <c r="I84" s="477"/>
      <c r="J84" s="477"/>
      <c r="K84" s="1670">
        <f>SUM(K78:K83)</f>
        <v>224614</v>
      </c>
      <c r="L84" s="1670">
        <f>SUM(L78:L83)</f>
        <v>194000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224614</v>
      </c>
      <c r="I102" s="477"/>
      <c r="J102" s="477"/>
      <c r="K102" s="1677">
        <f>SUM(K84,K92,K100,K101)</f>
        <v>224614</v>
      </c>
      <c r="L102" s="1677">
        <f>SUM(L84,L92,L100,L101)</f>
        <v>194000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3105377</v>
      </c>
      <c r="D114" s="1670">
        <f t="shared" ref="D114:K114" si="13">SUM(D33,D74,D75,D102,D112,D113)</f>
        <v>557518</v>
      </c>
      <c r="E114" s="1670">
        <f t="shared" si="13"/>
        <v>640900</v>
      </c>
      <c r="F114" s="1670">
        <f t="shared" si="13"/>
        <v>542031</v>
      </c>
      <c r="G114" s="1670">
        <f t="shared" si="13"/>
        <v>51346</v>
      </c>
      <c r="H114" s="1670">
        <f>SUM(H33,H74,H75,H102,H112,H113)</f>
        <v>239891</v>
      </c>
      <c r="I114" s="1670">
        <f t="shared" si="13"/>
        <v>0</v>
      </c>
      <c r="J114" s="1670">
        <f t="shared" si="13"/>
        <v>0</v>
      </c>
      <c r="K114" s="1670">
        <f t="shared" si="13"/>
        <v>5137063</v>
      </c>
      <c r="L114" s="1670">
        <f>SUM(L33,L74,L75,L102,L112,L113)</f>
        <v>5213239</v>
      </c>
    </row>
    <row r="115" spans="1:14" ht="13.5" thickTop="1" x14ac:dyDescent="0.2">
      <c r="A115" s="2188" t="s">
        <v>996</v>
      </c>
      <c r="B115" s="2189"/>
      <c r="C115" s="618"/>
      <c r="D115" s="618"/>
      <c r="E115" s="618"/>
      <c r="F115" s="618"/>
      <c r="G115" s="618"/>
      <c r="H115" s="618"/>
      <c r="I115" s="618"/>
      <c r="J115" s="618"/>
      <c r="K115" s="1684">
        <f>'Revenues 9-14'!C268-'Expenditures 15-22'!K114</f>
        <v>1187531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296</v>
      </c>
      <c r="B117" s="216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c r="D124" s="466"/>
      <c r="E124" s="466">
        <v>138892</v>
      </c>
      <c r="F124" s="466">
        <v>175140</v>
      </c>
      <c r="G124" s="466">
        <v>19478</v>
      </c>
      <c r="H124" s="466">
        <v>6000</v>
      </c>
      <c r="I124" s="467"/>
      <c r="J124" s="467"/>
      <c r="K124" s="1670">
        <f>SUM(C124:J124)</f>
        <v>339510</v>
      </c>
      <c r="L124" s="466">
        <v>391479</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0</v>
      </c>
      <c r="D127" s="1670">
        <f t="shared" ref="D127:L127" si="14">SUM(D122:D126)</f>
        <v>0</v>
      </c>
      <c r="E127" s="1670">
        <f t="shared" si="14"/>
        <v>138892</v>
      </c>
      <c r="F127" s="1670">
        <f t="shared" si="14"/>
        <v>175140</v>
      </c>
      <c r="G127" s="1670">
        <f t="shared" si="14"/>
        <v>19478</v>
      </c>
      <c r="H127" s="1670">
        <f t="shared" si="14"/>
        <v>6000</v>
      </c>
      <c r="I127" s="1670">
        <f t="shared" si="14"/>
        <v>0</v>
      </c>
      <c r="J127" s="1670">
        <f t="shared" si="14"/>
        <v>0</v>
      </c>
      <c r="K127" s="1670">
        <f t="shared" si="14"/>
        <v>339510</v>
      </c>
      <c r="L127" s="1670">
        <f t="shared" si="14"/>
        <v>391479</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0</v>
      </c>
      <c r="D129" s="1677">
        <f t="shared" ref="D129:L129" si="15">SUM(D120,D127,D128)</f>
        <v>0</v>
      </c>
      <c r="E129" s="1677">
        <f t="shared" si="15"/>
        <v>138892</v>
      </c>
      <c r="F129" s="1677">
        <f t="shared" si="15"/>
        <v>175140</v>
      </c>
      <c r="G129" s="1677">
        <f t="shared" si="15"/>
        <v>19478</v>
      </c>
      <c r="H129" s="1677">
        <f t="shared" si="15"/>
        <v>6000</v>
      </c>
      <c r="I129" s="1677">
        <f t="shared" si="15"/>
        <v>0</v>
      </c>
      <c r="J129" s="1677">
        <f t="shared" si="15"/>
        <v>0</v>
      </c>
      <c r="K129" s="1677">
        <f t="shared" si="15"/>
        <v>339510</v>
      </c>
      <c r="L129" s="1677">
        <f t="shared" si="15"/>
        <v>391479</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v>95</v>
      </c>
      <c r="I134" s="477"/>
      <c r="J134" s="616"/>
      <c r="K134" s="1672">
        <f>SUM(E134,H134)</f>
        <v>95</v>
      </c>
      <c r="L134" s="481">
        <v>150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95</v>
      </c>
      <c r="I137" s="477"/>
      <c r="J137" s="616"/>
      <c r="K137" s="1670">
        <f>SUM(K133:K136)</f>
        <v>95</v>
      </c>
      <c r="L137" s="1670">
        <f>SUM(L133:L136)</f>
        <v>150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95</v>
      </c>
      <c r="I139" s="477"/>
      <c r="J139" s="616"/>
      <c r="K139" s="1672">
        <f>SUM(K137,K138)</f>
        <v>95</v>
      </c>
      <c r="L139" s="1679">
        <f>SUM(L137,L138)</f>
        <v>150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8" t="s">
        <v>620</v>
      </c>
      <c r="B151" s="2160"/>
      <c r="C151" s="1670">
        <f>SUM(C129,C130,C139,C149,C150)</f>
        <v>0</v>
      </c>
      <c r="D151" s="1670">
        <f t="shared" ref="D151:K151" si="16">SUM(D129,D130,D139,D149,D150)</f>
        <v>0</v>
      </c>
      <c r="E151" s="1670">
        <f t="shared" si="16"/>
        <v>138892</v>
      </c>
      <c r="F151" s="1670">
        <f t="shared" si="16"/>
        <v>175140</v>
      </c>
      <c r="G151" s="1670">
        <f t="shared" si="16"/>
        <v>19478</v>
      </c>
      <c r="H151" s="1670">
        <f t="shared" si="16"/>
        <v>6095</v>
      </c>
      <c r="I151" s="1670">
        <f t="shared" si="16"/>
        <v>0</v>
      </c>
      <c r="J151" s="1670">
        <f t="shared" si="16"/>
        <v>0</v>
      </c>
      <c r="K151" s="1670">
        <f t="shared" si="16"/>
        <v>339605</v>
      </c>
      <c r="L151" s="1670">
        <f>SUM(L129,L130,L139,L149,L150)</f>
        <v>391629</v>
      </c>
    </row>
    <row r="152" spans="1:14" ht="12.75" customHeight="1" thickTop="1" x14ac:dyDescent="0.2">
      <c r="A152" s="2181" t="s">
        <v>1178</v>
      </c>
      <c r="B152" s="2182"/>
      <c r="C152" s="618"/>
      <c r="D152" s="618"/>
      <c r="E152" s="618"/>
      <c r="F152" s="618"/>
      <c r="G152" s="618"/>
      <c r="H152" s="618"/>
      <c r="I152" s="618"/>
      <c r="J152" s="616"/>
      <c r="K152" s="1684">
        <f>'Revenues 9-14'!D268-'Expenditures 15-22'!K151</f>
        <v>-27444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621</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v>0</v>
      </c>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98971</v>
      </c>
      <c r="I169" s="616"/>
      <c r="J169" s="616"/>
      <c r="K169" s="1671">
        <f>SUM(C169:H169)</f>
        <v>98971</v>
      </c>
      <c r="L169" s="656">
        <v>107000</v>
      </c>
    </row>
    <row r="170" spans="1:14" ht="33.75" customHeight="1" x14ac:dyDescent="0.2">
      <c r="A170" s="669" t="s">
        <v>1670</v>
      </c>
      <c r="B170" s="671" t="s">
        <v>31</v>
      </c>
      <c r="C170" s="616"/>
      <c r="D170" s="616"/>
      <c r="E170" s="616"/>
      <c r="F170" s="616"/>
      <c r="G170" s="616"/>
      <c r="H170" s="569">
        <v>180858</v>
      </c>
      <c r="I170" s="616"/>
      <c r="J170" s="616"/>
      <c r="K170" s="1671">
        <f>SUM(C170:J170)</f>
        <v>180858</v>
      </c>
      <c r="L170" s="569">
        <v>171240</v>
      </c>
    </row>
    <row r="171" spans="1:14" ht="15.75" customHeight="1" x14ac:dyDescent="0.2">
      <c r="A171" s="621" t="s">
        <v>766</v>
      </c>
      <c r="B171" s="672" t="s">
        <v>84</v>
      </c>
      <c r="C171" s="616"/>
      <c r="D171" s="616"/>
      <c r="E171" s="466"/>
      <c r="F171" s="616"/>
      <c r="G171" s="616"/>
      <c r="H171" s="569">
        <v>92803</v>
      </c>
      <c r="I171" s="477"/>
      <c r="J171" s="616"/>
      <c r="K171" s="1671">
        <f>SUM(C171:J171)</f>
        <v>92803</v>
      </c>
      <c r="L171" s="569">
        <v>78712</v>
      </c>
    </row>
    <row r="172" spans="1:14" ht="12.75" customHeight="1" thickBot="1" x14ac:dyDescent="0.25">
      <c r="A172" s="1668" t="s">
        <v>638</v>
      </c>
      <c r="B172" s="1669" t="s">
        <v>492</v>
      </c>
      <c r="C172" s="616"/>
      <c r="D172" s="616"/>
      <c r="E172" s="1677">
        <f>SUM(E168,E169,E170,E171)</f>
        <v>0</v>
      </c>
      <c r="F172" s="616"/>
      <c r="G172" s="616"/>
      <c r="H172" s="1677">
        <f>SUM(H168,H169,H170,H171)</f>
        <v>372632</v>
      </c>
      <c r="I172" s="638"/>
      <c r="J172" s="616"/>
      <c r="K172" s="1677">
        <f>SUM(K168,K169,K170,K171)</f>
        <v>372632</v>
      </c>
      <c r="L172" s="1677">
        <f>SUM(L168,L169,L170,L171)</f>
        <v>356952</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372632</v>
      </c>
      <c r="I174" s="638"/>
      <c r="J174" s="616"/>
      <c r="K174" s="1677">
        <f>SUM(K160,K172,K173)</f>
        <v>372632</v>
      </c>
      <c r="L174" s="1677">
        <f>SUM(L160,L172,L173)</f>
        <v>356952</v>
      </c>
    </row>
    <row r="175" spans="1:14" ht="13.5" thickTop="1" x14ac:dyDescent="0.2">
      <c r="A175" s="2188" t="s">
        <v>996</v>
      </c>
      <c r="B175" s="2189"/>
      <c r="C175" s="616"/>
      <c r="D175" s="616"/>
      <c r="E175" s="616"/>
      <c r="F175" s="616"/>
      <c r="G175" s="616"/>
      <c r="H175" s="618"/>
      <c r="I175" s="616"/>
      <c r="J175" s="616"/>
      <c r="K175" s="1684">
        <f>'Revenues 9-14'!E268-'Expenditures 15-22'!K174</f>
        <v>-98418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519080</v>
      </c>
      <c r="F182" s="466"/>
      <c r="G182" s="466"/>
      <c r="H182" s="466"/>
      <c r="I182" s="467"/>
      <c r="J182" s="467"/>
      <c r="K182" s="1671">
        <f>SUM(C182:J182)</f>
        <v>519080</v>
      </c>
      <c r="L182" s="466">
        <v>602280</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0</v>
      </c>
      <c r="D184" s="1677">
        <f t="shared" ref="D184:J184" si="17">SUM(D180,D182,D183)</f>
        <v>0</v>
      </c>
      <c r="E184" s="1677">
        <f t="shared" si="17"/>
        <v>519080</v>
      </c>
      <c r="F184" s="1677">
        <f t="shared" si="17"/>
        <v>0</v>
      </c>
      <c r="G184" s="1677">
        <f t="shared" si="17"/>
        <v>0</v>
      </c>
      <c r="H184" s="1677">
        <f t="shared" si="17"/>
        <v>0</v>
      </c>
      <c r="I184" s="1677">
        <f t="shared" si="17"/>
        <v>0</v>
      </c>
      <c r="J184" s="1677">
        <f t="shared" si="17"/>
        <v>0</v>
      </c>
      <c r="K184" s="1677">
        <f>SUM(K180,K182,K183)</f>
        <v>519080</v>
      </c>
      <c r="L184" s="1677">
        <f>SUM(L180, L182:L183)</f>
        <v>602280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0</v>
      </c>
      <c r="D210" s="1670">
        <f>SUM(D184,D185)</f>
        <v>0</v>
      </c>
      <c r="E210" s="1670">
        <f>SUM(E184,E185,E196)</f>
        <v>519080</v>
      </c>
      <c r="F210" s="1670">
        <f>SUM(F184,F185)</f>
        <v>0</v>
      </c>
      <c r="G210" s="1670">
        <f>SUM(G184,G185)</f>
        <v>0</v>
      </c>
      <c r="H210" s="1670">
        <f>SUM(H184,H185,H196,H208,H209)</f>
        <v>0</v>
      </c>
      <c r="I210" s="1670">
        <f>SUM(I184,I185)</f>
        <v>0</v>
      </c>
      <c r="J210" s="1670">
        <f>SUM(J184,J185)</f>
        <v>0</v>
      </c>
      <c r="K210" s="1671">
        <f>SUM(K184,K185,K196,K208,K209)</f>
        <v>519080</v>
      </c>
      <c r="L210" s="1670">
        <f>SUM(L184,L185,L196,L208,L209)</f>
        <v>602280</v>
      </c>
    </row>
    <row r="211" spans="1:14" ht="13.5" thickTop="1" x14ac:dyDescent="0.2">
      <c r="A211" s="2188" t="s">
        <v>996</v>
      </c>
      <c r="B211" s="2189"/>
      <c r="C211" s="618"/>
      <c r="D211" s="618"/>
      <c r="E211" s="618"/>
      <c r="F211" s="618"/>
      <c r="G211" s="618"/>
      <c r="H211" s="618"/>
      <c r="I211" s="616"/>
      <c r="J211" s="616"/>
      <c r="K211" s="1684">
        <f>'Revenues 9-14'!F268-'Expenditures 15-22'!K210</f>
        <v>163449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965</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30158</v>
      </c>
      <c r="E215" s="616"/>
      <c r="F215" s="616"/>
      <c r="G215" s="616"/>
      <c r="H215" s="616"/>
      <c r="I215" s="616"/>
      <c r="J215" s="616"/>
      <c r="K215" s="1671">
        <f>D215</f>
        <v>30158</v>
      </c>
      <c r="L215" s="466">
        <v>33024</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v>15898</v>
      </c>
      <c r="E217" s="616"/>
      <c r="F217" s="616"/>
      <c r="G217" s="616"/>
      <c r="H217" s="616"/>
      <c r="I217" s="616"/>
      <c r="J217" s="616"/>
      <c r="K217" s="1671">
        <f t="shared" si="19"/>
        <v>15898</v>
      </c>
      <c r="L217" s="466">
        <v>25700</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c r="E219" s="616"/>
      <c r="F219" s="616"/>
      <c r="G219" s="616"/>
      <c r="H219" s="616"/>
      <c r="I219" s="616"/>
      <c r="J219" s="616"/>
      <c r="K219" s="1671">
        <f t="shared" si="19"/>
        <v>0</v>
      </c>
      <c r="L219" s="466">
        <v>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806</v>
      </c>
      <c r="E222" s="616"/>
      <c r="F222" s="616"/>
      <c r="G222" s="616"/>
      <c r="H222" s="616"/>
      <c r="I222" s="616"/>
      <c r="J222" s="616"/>
      <c r="K222" s="1671">
        <f t="shared" si="19"/>
        <v>806</v>
      </c>
      <c r="L222" s="466">
        <v>940</v>
      </c>
    </row>
    <row r="223" spans="1:14" x14ac:dyDescent="0.2">
      <c r="A223" s="1504" t="s">
        <v>963</v>
      </c>
      <c r="B223" s="614">
        <v>1500</v>
      </c>
      <c r="C223" s="616"/>
      <c r="D223" s="466">
        <v>8793</v>
      </c>
      <c r="E223" s="616"/>
      <c r="F223" s="616"/>
      <c r="G223" s="616"/>
      <c r="H223" s="616"/>
      <c r="I223" s="616"/>
      <c r="J223" s="616"/>
      <c r="K223" s="1671">
        <f t="shared" si="19"/>
        <v>8793</v>
      </c>
      <c r="L223" s="466">
        <v>9825</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55655</v>
      </c>
      <c r="E229" s="616"/>
      <c r="F229" s="616"/>
      <c r="G229" s="616"/>
      <c r="H229" s="616"/>
      <c r="I229" s="616"/>
      <c r="J229" s="616"/>
      <c r="K229" s="1670">
        <f>SUM(K215:K228)</f>
        <v>55655</v>
      </c>
      <c r="L229" s="1670">
        <f>SUM(L215:L228)</f>
        <v>69489</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650</v>
      </c>
    </row>
    <row r="233" spans="1:12" x14ac:dyDescent="0.2">
      <c r="A233" s="1504" t="s">
        <v>1090</v>
      </c>
      <c r="B233" s="614">
        <v>2120</v>
      </c>
      <c r="C233" s="616"/>
      <c r="D233" s="466">
        <v>8979</v>
      </c>
      <c r="E233" s="616"/>
      <c r="F233" s="616"/>
      <c r="G233" s="616"/>
      <c r="H233" s="616"/>
      <c r="I233" s="616"/>
      <c r="J233" s="616"/>
      <c r="K233" s="1671">
        <f t="shared" si="20"/>
        <v>8979</v>
      </c>
      <c r="L233" s="466">
        <v>8600</v>
      </c>
    </row>
    <row r="234" spans="1:12" x14ac:dyDescent="0.2">
      <c r="A234" s="1504" t="s">
        <v>198</v>
      </c>
      <c r="B234" s="614">
        <v>2130</v>
      </c>
      <c r="C234" s="616"/>
      <c r="D234" s="466">
        <v>833</v>
      </c>
      <c r="E234" s="616"/>
      <c r="F234" s="616"/>
      <c r="G234" s="616"/>
      <c r="H234" s="616"/>
      <c r="I234" s="616"/>
      <c r="J234" s="616"/>
      <c r="K234" s="1671">
        <f t="shared" si="20"/>
        <v>833</v>
      </c>
      <c r="L234" s="466">
        <v>850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550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9812</v>
      </c>
      <c r="E238" s="616"/>
      <c r="F238" s="616"/>
      <c r="G238" s="616"/>
      <c r="H238" s="616"/>
      <c r="I238" s="616"/>
      <c r="J238" s="616"/>
      <c r="K238" s="1670">
        <f>SUM(K232:K237)</f>
        <v>9812</v>
      </c>
      <c r="L238" s="1670">
        <f>SUM(L232:L237)</f>
        <v>10650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v>4342</v>
      </c>
      <c r="E241" s="616"/>
      <c r="F241" s="616"/>
      <c r="G241" s="616"/>
      <c r="H241" s="616"/>
      <c r="I241" s="616"/>
      <c r="J241" s="616"/>
      <c r="K241" s="1672">
        <f>D241</f>
        <v>4342</v>
      </c>
      <c r="L241" s="466">
        <v>700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4342</v>
      </c>
      <c r="E243" s="616"/>
      <c r="F243" s="616"/>
      <c r="G243" s="616"/>
      <c r="H243" s="616"/>
      <c r="I243" s="616"/>
      <c r="J243" s="616"/>
      <c r="K243" s="1670">
        <f>SUM(K240:K242)</f>
        <v>4342</v>
      </c>
      <c r="L243" s="1670">
        <f>SUM(L240:L242)</f>
        <v>700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0</v>
      </c>
    </row>
    <row r="246" spans="1:12" x14ac:dyDescent="0.2">
      <c r="A246" s="1504" t="s">
        <v>818</v>
      </c>
      <c r="B246" s="614">
        <v>2320</v>
      </c>
      <c r="C246" s="616"/>
      <c r="D246" s="466">
        <v>4038</v>
      </c>
      <c r="E246" s="616"/>
      <c r="F246" s="616"/>
      <c r="G246" s="616"/>
      <c r="H246" s="616"/>
      <c r="I246" s="616"/>
      <c r="J246" s="616"/>
      <c r="K246" s="1672">
        <f t="shared" ref="K246:K256" si="21">D246</f>
        <v>4038</v>
      </c>
      <c r="L246" s="466">
        <v>8500</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1802</v>
      </c>
      <c r="B249" s="683" t="s">
        <v>282</v>
      </c>
      <c r="C249" s="616"/>
      <c r="D249" s="474"/>
      <c r="E249" s="616"/>
      <c r="F249" s="616"/>
      <c r="G249" s="616"/>
      <c r="H249" s="616"/>
      <c r="I249" s="616"/>
      <c r="J249" s="616"/>
      <c r="K249" s="1672">
        <f t="shared" si="21"/>
        <v>0</v>
      </c>
      <c r="L249" s="466">
        <v>0</v>
      </c>
    </row>
    <row r="250" spans="1:12" x14ac:dyDescent="0.2">
      <c r="A250" s="1505" t="s">
        <v>1803</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4038</v>
      </c>
      <c r="E257" s="616"/>
      <c r="F257" s="616"/>
      <c r="G257" s="616"/>
      <c r="H257" s="616"/>
      <c r="I257" s="616"/>
      <c r="J257" s="616"/>
      <c r="K257" s="1670">
        <f>SUM(K245:K256)</f>
        <v>4038</v>
      </c>
      <c r="L257" s="1670">
        <f>SUM(L245:L256)</f>
        <v>8500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15220</v>
      </c>
      <c r="E259" s="616"/>
      <c r="F259" s="616"/>
      <c r="G259" s="616"/>
      <c r="H259" s="616"/>
      <c r="I259" s="616"/>
      <c r="J259" s="616"/>
      <c r="K259" s="1672">
        <f>D259</f>
        <v>15220</v>
      </c>
      <c r="L259" s="481">
        <v>16050</v>
      </c>
    </row>
    <row r="260" spans="1:14" s="597" customFormat="1" x14ac:dyDescent="0.2">
      <c r="A260" s="1522" t="s">
        <v>1801</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15220</v>
      </c>
      <c r="E261" s="616"/>
      <c r="F261" s="616"/>
      <c r="G261" s="616"/>
      <c r="H261" s="616"/>
      <c r="I261" s="616"/>
      <c r="J261" s="616"/>
      <c r="K261" s="1670">
        <f>SUM(K259:K260)</f>
        <v>15220</v>
      </c>
      <c r="L261" s="1670">
        <f>SUM(L259:L260)</f>
        <v>16050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9569</v>
      </c>
      <c r="E264" s="616"/>
      <c r="F264" s="616"/>
      <c r="G264" s="616"/>
      <c r="H264" s="616"/>
      <c r="I264" s="616"/>
      <c r="J264" s="616"/>
      <c r="K264" s="1672">
        <f t="shared" ref="K264:K269" si="22">D264</f>
        <v>9569</v>
      </c>
      <c r="L264" s="466">
        <v>9700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36121</v>
      </c>
      <c r="E266" s="616"/>
      <c r="F266" s="616"/>
      <c r="G266" s="616"/>
      <c r="H266" s="616"/>
      <c r="I266" s="616"/>
      <c r="J266" s="616"/>
      <c r="K266" s="1672">
        <f t="shared" si="22"/>
        <v>36121</v>
      </c>
      <c r="L266" s="466">
        <v>36300</v>
      </c>
    </row>
    <row r="267" spans="1:14" x14ac:dyDescent="0.2">
      <c r="A267" s="1504" t="s">
        <v>953</v>
      </c>
      <c r="B267" s="614">
        <v>2550</v>
      </c>
      <c r="C267" s="616"/>
      <c r="D267" s="466"/>
      <c r="E267" s="616"/>
      <c r="F267" s="616"/>
      <c r="G267" s="616"/>
      <c r="H267" s="616"/>
      <c r="I267" s="616"/>
      <c r="J267" s="616"/>
      <c r="K267" s="1672">
        <f t="shared" si="22"/>
        <v>0</v>
      </c>
      <c r="L267" s="466">
        <v>0</v>
      </c>
    </row>
    <row r="268" spans="1:14" x14ac:dyDescent="0.2">
      <c r="A268" s="1504" t="s">
        <v>100</v>
      </c>
      <c r="B268" s="614">
        <v>2560</v>
      </c>
      <c r="C268" s="616"/>
      <c r="D268" s="466">
        <v>17776</v>
      </c>
      <c r="E268" s="616"/>
      <c r="F268" s="616"/>
      <c r="G268" s="616"/>
      <c r="H268" s="616"/>
      <c r="I268" s="616"/>
      <c r="J268" s="616"/>
      <c r="K268" s="1672">
        <f t="shared" si="22"/>
        <v>17776</v>
      </c>
      <c r="L268" s="466">
        <v>19000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63466</v>
      </c>
      <c r="E270" s="616"/>
      <c r="F270" s="616"/>
      <c r="G270" s="616"/>
      <c r="H270" s="616"/>
      <c r="I270" s="616"/>
      <c r="J270" s="616"/>
      <c r="K270" s="1670">
        <f>SUM(K263:K269)</f>
        <v>63466</v>
      </c>
      <c r="L270" s="1670">
        <f>SUM(L263:L269)</f>
        <v>65000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96878</v>
      </c>
      <c r="E279" s="616"/>
      <c r="F279" s="616"/>
      <c r="G279" s="616"/>
      <c r="H279" s="616"/>
      <c r="I279" s="616"/>
      <c r="J279" s="616"/>
      <c r="K279" s="1677">
        <f>SUM(K238,K243,K257,K261,K270,K277,K278)</f>
        <v>96878</v>
      </c>
      <c r="L279" s="1677">
        <f>SUM(L238,L243,L257,L261,L270,L277,L278)</f>
        <v>100900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9" t="s">
        <v>505</v>
      </c>
      <c r="B295" s="2180"/>
      <c r="C295" s="616"/>
      <c r="D295" s="1670">
        <f>SUM(D229,D279,D280,D285)</f>
        <v>152533</v>
      </c>
      <c r="E295" s="616"/>
      <c r="F295" s="616"/>
      <c r="G295" s="616"/>
      <c r="H295" s="1670">
        <f>H293</f>
        <v>0</v>
      </c>
      <c r="I295" s="616"/>
      <c r="J295" s="616"/>
      <c r="K295" s="1670">
        <f>SUM(K229,K279,K280,K285,K293,K294)</f>
        <v>152533</v>
      </c>
      <c r="L295" s="1670">
        <f>SUM(L229,L279,L280,L285,L293,L294)</f>
        <v>170389</v>
      </c>
    </row>
    <row r="296" spans="1:14" ht="13.5" thickTop="1" x14ac:dyDescent="0.2">
      <c r="A296" s="2188" t="s">
        <v>996</v>
      </c>
      <c r="B296" s="2189"/>
      <c r="C296" s="616"/>
      <c r="D296" s="618"/>
      <c r="E296" s="616"/>
      <c r="F296" s="616"/>
      <c r="G296" s="616"/>
      <c r="H296" s="687"/>
      <c r="I296" s="616"/>
      <c r="J296" s="616"/>
      <c r="K296" s="1684">
        <f>'Revenues 9-14'!G268-'Expenditures 15-22'!K295</f>
        <v>42486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13222</v>
      </c>
      <c r="H301" s="466"/>
      <c r="I301" s="467"/>
      <c r="J301" s="467"/>
      <c r="K301" s="1671">
        <f>SUM(C301:J301)</f>
        <v>13222</v>
      </c>
      <c r="L301" s="467">
        <v>132513</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13222</v>
      </c>
      <c r="H303" s="1677">
        <f t="shared" si="23"/>
        <v>0</v>
      </c>
      <c r="I303" s="1677">
        <f t="shared" si="23"/>
        <v>0</v>
      </c>
      <c r="J303" s="1677">
        <f t="shared" si="23"/>
        <v>0</v>
      </c>
      <c r="K303" s="1677">
        <f t="shared" si="23"/>
        <v>13222</v>
      </c>
      <c r="L303" s="1677">
        <f t="shared" si="23"/>
        <v>132513</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6" t="s">
        <v>277</v>
      </c>
      <c r="B312" s="2177"/>
      <c r="C312" s="1670">
        <f>SUM(C303)</f>
        <v>0</v>
      </c>
      <c r="D312" s="1670">
        <f>SUM(D303)</f>
        <v>0</v>
      </c>
      <c r="E312" s="1670">
        <f>SUM(E303,E310)</f>
        <v>0</v>
      </c>
      <c r="F312" s="1670">
        <f>SUM(F303)</f>
        <v>0</v>
      </c>
      <c r="G312" s="1670">
        <f>SUM(G303)</f>
        <v>13222</v>
      </c>
      <c r="H312" s="1670">
        <f>SUM(H303,H310)</f>
        <v>0</v>
      </c>
      <c r="I312" s="1670">
        <f>SUM(I303)</f>
        <v>0</v>
      </c>
      <c r="J312" s="1670">
        <f>SUM(J303)</f>
        <v>0</v>
      </c>
      <c r="K312" s="1670">
        <f>SUM(K303,K310,K311)</f>
        <v>13222</v>
      </c>
      <c r="L312" s="1670">
        <f>SUM(L303,L310,L311)</f>
        <v>132513</v>
      </c>
      <c r="M312" s="665"/>
      <c r="N312" s="665"/>
    </row>
    <row r="313" spans="1:14" ht="13.5" thickTop="1" x14ac:dyDescent="0.2">
      <c r="A313" s="2172" t="s">
        <v>996</v>
      </c>
      <c r="B313" s="2173"/>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898</v>
      </c>
      <c r="B317" s="218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v>39000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39000</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39000</v>
      </c>
    </row>
    <row r="343" spans="1:14" ht="12.75" customHeight="1" thickTop="1" x14ac:dyDescent="0.2">
      <c r="A343" s="2174" t="s">
        <v>996</v>
      </c>
      <c r="B343" s="2175"/>
      <c r="C343" s="616"/>
      <c r="D343" s="616"/>
      <c r="E343" s="616"/>
      <c r="F343" s="616"/>
      <c r="G343" s="616"/>
      <c r="H343" s="616"/>
      <c r="I343" s="616"/>
      <c r="J343" s="616"/>
      <c r="K343" s="1684">
        <f>'Revenues 9-14'!J268-'Expenditures 15-22'!K342</f>
        <v>21893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966</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v>14766</v>
      </c>
      <c r="F349" s="466"/>
      <c r="G349" s="466">
        <v>387275</v>
      </c>
      <c r="H349" s="466"/>
      <c r="I349" s="467"/>
      <c r="J349" s="467"/>
      <c r="K349" s="1671">
        <f>SUM(C349:J349)</f>
        <v>402041</v>
      </c>
      <c r="L349" s="466">
        <v>11500</v>
      </c>
    </row>
    <row r="350" spans="1:14" ht="12.75" customHeight="1" thickBot="1" x14ac:dyDescent="0.25">
      <c r="A350" s="1668" t="s">
        <v>719</v>
      </c>
      <c r="B350" s="1669" t="s">
        <v>35</v>
      </c>
      <c r="C350" s="1670">
        <f>SUM(C348:C349)</f>
        <v>0</v>
      </c>
      <c r="D350" s="1670">
        <f t="shared" ref="D350:L350" si="26">SUM(D348:D349)</f>
        <v>0</v>
      </c>
      <c r="E350" s="1670">
        <f t="shared" si="26"/>
        <v>14766</v>
      </c>
      <c r="F350" s="1670">
        <f t="shared" si="26"/>
        <v>0</v>
      </c>
      <c r="G350" s="1670">
        <f t="shared" si="26"/>
        <v>387275</v>
      </c>
      <c r="H350" s="1670">
        <f t="shared" si="26"/>
        <v>0</v>
      </c>
      <c r="I350" s="1670">
        <f t="shared" si="26"/>
        <v>0</v>
      </c>
      <c r="J350" s="1670">
        <f t="shared" si="26"/>
        <v>0</v>
      </c>
      <c r="K350" s="1670">
        <f t="shared" si="26"/>
        <v>402041</v>
      </c>
      <c r="L350" s="1670">
        <f t="shared" si="26"/>
        <v>11500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14766</v>
      </c>
      <c r="F352" s="1670">
        <f t="shared" si="27"/>
        <v>0</v>
      </c>
      <c r="G352" s="1670">
        <f t="shared" si="27"/>
        <v>387275</v>
      </c>
      <c r="H352" s="1670">
        <f t="shared" si="27"/>
        <v>0</v>
      </c>
      <c r="I352" s="1670">
        <f t="shared" si="27"/>
        <v>0</v>
      </c>
      <c r="J352" s="1670">
        <f t="shared" si="27"/>
        <v>0</v>
      </c>
      <c r="K352" s="1670">
        <f t="shared" si="27"/>
        <v>402041</v>
      </c>
      <c r="L352" s="1670">
        <f t="shared" si="27"/>
        <v>11500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v>0</v>
      </c>
    </row>
    <row r="355" spans="1:14" ht="12.75" customHeight="1" x14ac:dyDescent="0.2">
      <c r="A355" s="1513" t="s">
        <v>1850</v>
      </c>
      <c r="B355" s="690" t="s">
        <v>1843</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14766</v>
      </c>
      <c r="F367" s="1670">
        <f t="shared" si="28"/>
        <v>0</v>
      </c>
      <c r="G367" s="1670">
        <f t="shared" si="28"/>
        <v>387275</v>
      </c>
      <c r="H367" s="1670">
        <f t="shared" si="28"/>
        <v>0</v>
      </c>
      <c r="I367" s="1670">
        <f t="shared" si="28"/>
        <v>0</v>
      </c>
      <c r="J367" s="1670">
        <f t="shared" si="28"/>
        <v>0</v>
      </c>
      <c r="K367" s="1670">
        <f t="shared" si="28"/>
        <v>402041</v>
      </c>
      <c r="L367" s="1670">
        <f t="shared" si="28"/>
        <v>11500</v>
      </c>
    </row>
    <row r="368" spans="1:14" ht="13.5" thickTop="1" x14ac:dyDescent="0.2">
      <c r="A368" s="2188" t="s">
        <v>996</v>
      </c>
      <c r="B368" s="2189"/>
      <c r="C368" s="654"/>
      <c r="D368" s="654"/>
      <c r="E368" s="626"/>
      <c r="F368" s="626"/>
      <c r="G368" s="626"/>
      <c r="H368" s="626"/>
      <c r="I368" s="626"/>
      <c r="J368" s="623"/>
      <c r="K368" s="1671">
        <f>'Revenues 9-14'!K268-'Expenditures 15-22'!K367</f>
        <v>-122583</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headings="1" gridLinesSet="0"/>
  <pageMargins left="0.1" right="0.2" top="1.1100000000000001" bottom="0.5" header="0.53" footer="0.35"/>
  <pageSetup scale="65"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6ce3111e-7420-4802-b50a-75d4e9a0b980"/>
    <ds:schemaRef ds:uri="http://purl.org/dc/elements/1.1/"/>
    <ds:schemaRef ds:uri="http://www.w3.org/XML/1998/namespace"/>
    <ds:schemaRef ds:uri="http://schemas.microsoft.com/office/infopath/2007/PartnerControls"/>
    <ds:schemaRef ds:uri="http://schemas.microsoft.com/office/2006/metadata/properties"/>
    <ds:schemaRef ds:uri="http://purl.org/dc/terms/"/>
    <ds:schemaRef ds:uri="4d435f69-8686-490b-bd6d-b153bf22ab50"/>
    <ds:schemaRef ds:uri="http://schemas.openxmlformats.org/package/2006/metadata/core-properties"/>
    <ds:schemaRef ds:uri="http://schemas.microsoft.com/sharepoint/v3"/>
    <ds:schemaRef ds:uri="http://purl.org/dc/dcmityp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22</vt:i4>
      </vt:variant>
    </vt:vector>
  </HeadingPairs>
  <TitlesOfParts>
    <vt:vector size="6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 1.1</vt:lpstr>
      <vt:lpstr> SEFA 1.2</vt:lpstr>
      <vt:lpstr> SEFA 1.3</vt:lpstr>
      <vt:lpstr> SEFA 1.4</vt:lpstr>
      <vt:lpstr> SEFA 1.5</vt:lpstr>
      <vt:lpstr>SEFA NOTES</vt:lpstr>
      <vt:lpstr>SF&amp;QC Sec-1</vt:lpstr>
      <vt:lpstr>SF&amp;QC Sec-1.1</vt:lpstr>
      <vt:lpstr>SF&amp;QC Sec-1.2</vt:lpstr>
      <vt:lpstr>SF&amp;QC Sec-1.3</vt:lpstr>
      <vt:lpstr>SF&amp;QC Sec-1.4</vt:lpstr>
      <vt:lpstr>SF&amp;QC Sec-2.1</vt:lpstr>
      <vt:lpstr>SF&amp;QC Sec-2.2</vt:lpstr>
      <vt:lpstr>SSPAF</vt:lpstr>
      <vt:lpstr>' SEFA 1.1'!Print_Area</vt:lpstr>
      <vt:lpstr>' SEFA 1.2'!Print_Area</vt:lpstr>
      <vt:lpstr>' SEFA 1.3'!Print_Area</vt:lpstr>
      <vt:lpstr>' SEFA 1.4'!Print_Area</vt:lpstr>
      <vt:lpstr>' SEFA 1.5'!Print_Area</vt:lpstr>
      <vt:lpstr>'SEFA NOTES'!Print_Area</vt:lpstr>
      <vt:lpstr>'SEFA Reconcile'!Print_Area</vt:lpstr>
      <vt:lpstr>'SF&amp;QC Sec-1'!Print_Area</vt:lpstr>
      <vt:lpstr>'SF&amp;QC Sec-2.1'!Print_Area</vt:lpstr>
      <vt:lpstr>'SF&amp;QC Sec-2.2'!Print_Area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2019-11-01T19:09:15Z</cp:lastPrinted>
  <dcterms:created xsi:type="dcterms:W3CDTF">2003-10-29T19:06:34Z</dcterms:created>
  <dcterms:modified xsi:type="dcterms:W3CDTF">2019-12-12T17:54:46Z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