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E406CF9-5D7E-44E7-BF95-04BF78FCF883}" xr6:coauthVersionLast="36" xr6:coauthVersionMax="36" xr10:uidLastSave="{00000000-0000-0000-0000-000000000000}"/>
  <bookViews>
    <workbookView xWindow="20370" yWindow="-120" windowWidth="29040" windowHeight="164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B7765" i="106"/>
  <c r="B7764" i="106"/>
  <c r="D7764" i="106" s="1"/>
  <c r="J85" i="28"/>
  <c r="B7758" i="106" s="1"/>
  <c r="D7758" i="106" s="1"/>
  <c r="J88" i="28"/>
  <c r="K6" i="29"/>
  <c r="B7763" i="106" s="1"/>
  <c r="D7763" i="106" s="1"/>
  <c r="B7762" i="106"/>
  <c r="K12" i="12"/>
  <c r="B7719" i="106" s="1"/>
  <c r="D7719" i="106" s="1"/>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B6999" i="106" s="1"/>
  <c r="D6999" i="106" s="1"/>
  <c r="K95" i="29"/>
  <c r="B7001" i="106" s="1"/>
  <c r="D7001" i="106" s="1"/>
  <c r="K96" i="29"/>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K251" i="29"/>
  <c r="K252" i="29"/>
  <c r="K253" i="29"/>
  <c r="B7092" i="106" s="1"/>
  <c r="D7092" i="106" s="1"/>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5" i="106"/>
  <c r="D7085" i="106" s="1"/>
  <c r="B7086" i="106"/>
  <c r="D7086" i="106" s="1"/>
  <c r="B7087" i="106"/>
  <c r="D7087" i="106" s="1"/>
  <c r="B7088" i="106"/>
  <c r="D7088" i="106" s="1"/>
  <c r="B7089" i="106"/>
  <c r="D7089" i="106" s="1"/>
  <c r="B7090" i="106"/>
  <c r="D7090" i="106" s="1"/>
  <c r="B7091" i="106"/>
  <c r="D7091"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64" i="127"/>
  <c r="B65" i="127"/>
  <c r="D26" i="108"/>
  <c r="E26" i="108"/>
  <c r="E27" i="108"/>
  <c r="G27" i="108"/>
  <c r="F31" i="108"/>
  <c r="F37" i="108"/>
  <c r="G28" i="108"/>
  <c r="E29" i="108"/>
  <c r="G29" i="108"/>
  <c r="D31" i="108"/>
  <c r="D36" i="108"/>
  <c r="D37"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F50" i="34"/>
  <c r="C51" i="34"/>
  <c r="D51" i="34"/>
  <c r="C52" i="34"/>
  <c r="C53" i="34"/>
  <c r="D53" i="34"/>
  <c r="C56" i="34"/>
  <c r="F56" i="34"/>
  <c r="C57" i="34"/>
  <c r="D57" i="34"/>
  <c r="C61" i="34"/>
  <c r="C62" i="34"/>
  <c r="C63" i="34"/>
  <c r="D63" i="34"/>
  <c r="C64" i="34"/>
  <c r="C67" i="34"/>
  <c r="D67" i="34"/>
  <c r="F67" i="34"/>
  <c r="C68" i="34"/>
  <c r="D68" i="34"/>
  <c r="F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J22" i="37"/>
  <c r="D9" i="7"/>
  <c r="B1767" i="106" s="1"/>
  <c r="D1767" i="106" s="1"/>
  <c r="B5752" i="106"/>
  <c r="D5752" i="106" s="1"/>
  <c r="F34" i="34" l="1"/>
  <c r="I210" i="29"/>
  <c r="B7071" i="106" s="1"/>
  <c r="D7071" i="106" s="1"/>
  <c r="B3647" i="106"/>
  <c r="D3647" i="106" s="1"/>
  <c r="G39" i="108"/>
  <c r="D54" i="36"/>
  <c r="N22" i="3"/>
  <c r="B283" i="106" s="1"/>
  <c r="D283" i="106" s="1"/>
  <c r="D68" i="36"/>
  <c r="H29" i="118"/>
  <c r="K28" i="118" s="1"/>
  <c r="O27" i="118" s="1"/>
  <c r="O29" i="118" s="1"/>
  <c r="L5" i="11"/>
  <c r="B2056" i="106" s="1"/>
  <c r="D2056" i="106" s="1"/>
  <c r="L342" i="29"/>
  <c r="F52" i="34"/>
  <c r="C14" i="4"/>
  <c r="B2558" i="106" s="1"/>
  <c r="D2558" i="106" s="1"/>
  <c r="H28" i="118"/>
  <c r="D11" i="37"/>
  <c r="F42" i="34"/>
  <c r="E38" i="108"/>
  <c r="F36" i="108"/>
  <c r="G26" i="108"/>
  <c r="C352" i="29"/>
  <c r="B3621" i="106" s="1"/>
  <c r="D3621" i="106" s="1"/>
  <c r="B1124" i="106"/>
  <c r="D1124" i="106" s="1"/>
  <c r="G38" i="108"/>
  <c r="B7047" i="106"/>
  <c r="D7047" i="106" s="1"/>
  <c r="D24" i="37"/>
  <c r="B4270" i="106" s="1"/>
  <c r="D4270" i="106" s="1"/>
  <c r="F14" i="4"/>
  <c r="B2597" i="106" s="1"/>
  <c r="D2597" i="106" s="1"/>
  <c r="L22" i="37"/>
  <c r="F19" i="7"/>
  <c r="B1807" i="106" s="1"/>
  <c r="D1807" i="106" s="1"/>
  <c r="F70" i="34"/>
  <c r="F62" i="34"/>
  <c r="F38" i="34"/>
  <c r="F26" i="108"/>
  <c r="B6995" i="106"/>
  <c r="D6995" i="106" s="1"/>
  <c r="B1274" i="106"/>
  <c r="D1274" i="106" s="1"/>
  <c r="F28" i="108"/>
  <c r="E28" i="108"/>
  <c r="G30" i="108"/>
  <c r="E30" i="108"/>
  <c r="D27" i="108"/>
  <c r="D41" i="108" s="1"/>
  <c r="E43" i="108" s="1"/>
  <c r="D17" i="7"/>
  <c r="B4104" i="106" s="1"/>
  <c r="D4104" i="106" s="1"/>
  <c r="F46" i="34"/>
  <c r="H76" i="4"/>
  <c r="B3298" i="106" s="1"/>
  <c r="D3298" i="106" s="1"/>
  <c r="F44" i="34"/>
  <c r="J352" i="29"/>
  <c r="J367" i="29" s="1"/>
  <c r="B7245" i="106" s="1"/>
  <c r="D7245" i="106" s="1"/>
  <c r="D6103" i="106"/>
  <c r="K41" i="3"/>
  <c r="L15" i="11"/>
  <c r="B3459" i="106" s="1"/>
  <c r="D3459" i="106" s="1"/>
  <c r="L13" i="11"/>
  <c r="B2060" i="106" s="1"/>
  <c r="D2060" i="106" s="1"/>
  <c r="C129" i="29"/>
  <c r="C151" i="29" s="1"/>
  <c r="B1226" i="106" s="1"/>
  <c r="D1226" i="106" s="1"/>
  <c r="C342" i="29"/>
  <c r="B7216" i="106" s="1"/>
  <c r="D7216" i="106" s="1"/>
  <c r="J41" i="3"/>
  <c r="D51" i="36" s="1"/>
  <c r="H365" i="29"/>
  <c r="B7242" i="106" s="1"/>
  <c r="D7242" i="106" s="1"/>
  <c r="F77" i="4"/>
  <c r="B3255" i="106" s="1"/>
  <c r="D3255" i="106" s="1"/>
  <c r="K184" i="29"/>
  <c r="F13" i="4" s="1"/>
  <c r="B2596" i="106" s="1"/>
  <c r="D2596" i="106" s="1"/>
  <c r="G210" i="29"/>
  <c r="G15" i="145"/>
  <c r="L367" i="29"/>
  <c r="B1308" i="106"/>
  <c r="D1308" i="106" s="1"/>
  <c r="E174" i="29"/>
  <c r="B1309" i="106" s="1"/>
  <c r="D1309" i="106" s="1"/>
  <c r="B3254" i="106"/>
  <c r="D3254" i="106" s="1"/>
  <c r="I24" i="12"/>
  <c r="B3649" i="106"/>
  <c r="D3649" i="106" s="1"/>
  <c r="G367" i="29"/>
  <c r="B3650" i="106" s="1"/>
  <c r="D3650" i="106" s="1"/>
  <c r="D5" i="4"/>
  <c r="B3406" i="106" s="1"/>
  <c r="D3406" i="106" s="1"/>
  <c r="L312" i="29"/>
  <c r="I342" i="29"/>
  <c r="B7222" i="106" s="1"/>
  <c r="D7222" i="106" s="1"/>
  <c r="K350" i="29"/>
  <c r="F21" i="8"/>
  <c r="K24" i="12"/>
  <c r="C367" i="29"/>
  <c r="B3622" i="106" s="1"/>
  <c r="D3622" i="106" s="1"/>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7235" i="106" l="1"/>
  <c r="D7235" i="106" s="1"/>
  <c r="B6216" i="106"/>
  <c r="D6216" i="106" s="1"/>
  <c r="L16" i="11"/>
  <c r="B2061" i="106" s="1"/>
  <c r="D2061" i="106" s="1"/>
  <c r="B2031" i="106"/>
  <c r="D2031" i="106" s="1"/>
  <c r="B1317" i="106"/>
  <c r="D1317" i="106" s="1"/>
  <c r="B1225" i="106"/>
  <c r="D1225" i="106" s="1"/>
  <c r="F41" i="108"/>
  <c r="G43" i="108" s="1"/>
  <c r="H151" i="29"/>
  <c r="B1273" i="106" s="1"/>
  <c r="D1273" i="106" s="1"/>
  <c r="K365" i="29"/>
  <c r="I7" i="4"/>
  <c r="B4444" i="106" s="1"/>
  <c r="D4444" i="106" s="1"/>
  <c r="L114" i="29"/>
  <c r="B1381" i="106"/>
  <c r="D1381" i="106" s="1"/>
  <c r="B1328" i="106"/>
  <c r="D1328" i="106" s="1"/>
  <c r="D7256" i="106"/>
  <c r="C114" i="29"/>
  <c r="B757" i="106" s="1"/>
  <c r="D757" i="106" s="1"/>
  <c r="B3568" i="106"/>
  <c r="D3568" i="106" s="1"/>
  <c r="D52" i="36"/>
  <c r="D7251" i="106"/>
  <c r="D7253" i="106"/>
  <c r="F174" i="34"/>
  <c r="D7254" i="106"/>
  <c r="D7250" i="106"/>
  <c r="B5778" i="106"/>
  <c r="D5778" i="106" s="1"/>
  <c r="G6" i="4"/>
  <c r="B2604" i="106" s="1"/>
  <c r="D2604" i="106" s="1"/>
  <c r="K342" i="29"/>
  <c r="F13" i="34" s="1"/>
  <c r="B5770" i="106"/>
  <c r="D5770" i="106" s="1"/>
  <c r="B1365" i="106"/>
  <c r="D1365" i="106" s="1"/>
  <c r="F65" i="34"/>
  <c r="B1996" i="106"/>
  <c r="D1996" i="106" s="1"/>
  <c r="I26" i="12"/>
  <c r="B7741" i="106" s="1"/>
  <c r="D774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0" i="4" l="1"/>
  <c r="B6225" i="106" s="1"/>
  <c r="D6225" i="106" s="1"/>
  <c r="J20" i="4"/>
  <c r="K17" i="4"/>
  <c r="K20" i="4" s="1"/>
  <c r="D8" i="146"/>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3575" i="106" l="1"/>
  <c r="D3575"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<sst xmlns="http://schemas.openxmlformats.org/spreadsheetml/2006/main" count="5070" uniqueCount="2092">
  <si>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</si>
  <si>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</si>
  <si>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</si>
  <si>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</si>
  <si>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</si>
  <si>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</si>
  <si>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</si>
  <si>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</si>
  <si>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</si>
  <si>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</si>
  <si>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</si>
  <si>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</si>
  <si>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</si>
  <si>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</si>
  <si>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</si>
  <si>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</si>
  <si>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</si>
  <si>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</si>
  <si>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</si>
  <si>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</si>
  <si>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</si>
  <si>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</si>
  <si>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</si>
  <si>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</si>
  <si>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</si>
  <si>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</si>
  <si>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</si>
  <si>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</si>
  <si>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</si>
  <si>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</si>
  <si>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</si>
  <si>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</si>
  <si>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</si>
  <si>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</si>
  <si>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</si>
  <si>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</si>
  <si>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</si>
  <si>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</si>
  <si>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</si>
  <si>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</si>
  <si>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</si>
  <si>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</si>
  <si>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</si>
  <si>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</si>
  <si>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</si>
  <si>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</si>
  <si>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</si>
  <si>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</si>
  <si>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</si>
  <si>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</si>
  <si>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</si>
  <si>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</si>
  <si>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</si>
  <si>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</si>
  <si>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</si>
  <si>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</si>
  <si>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</si>
  <si>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</si>
  <si>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</si>
  <si>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</si>
  <si>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</si>
  <si>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</si>
  <si>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</si>
  <si>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</si>
  <si>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</si>
  <si>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</si>
  <si>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</si>
  <si>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</si>
  <si>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</si>
  <si>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</si>
  <si>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</si>
  <si>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</si>
  <si>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</si>
  <si>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</si>
  <si>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</si>
  <si>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</si>
  <si>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</si>
  <si>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</si>
  <si>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</si>
  <si>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</si>
  <si>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</si>
  <si>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</si>
  <si>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</si>
  <si>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</si>
  <si>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</si>
  <si>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</si>
  <si>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</si>
  <si>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</si>
  <si>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</si>
  <si>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</si>
  <si>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</si>
  <si>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</si>
  <si>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</si>
  <si>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</si>
  <si>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</si>
  <si>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</si>
  <si>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</si>
  <si>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</si>
  <si>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</si>
  <si>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</si>
  <si>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</si>
  <si>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</si>
  <si>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</si>
  <si>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</si>
  <si>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</si>
  <si>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</si>
  <si>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</si>
  <si>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</si>
  <si>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</si>
  <si>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</si>
  <si>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</si>
  <si>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</si>
  <si>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</si>
  <si>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</si>
  <si>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</si>
  <si>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</si>
  <si>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</si>
  <si>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</si>
  <si>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</si>
  <si>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</si>
  <si>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</si>
  <si>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</si>
  <si>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</si>
  <si>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</si>
  <si>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</si>
  <si>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</si>
  <si>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</si>
  <si>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</si>
  <si>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</si>
  <si>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</si>
  <si>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</si>
  <si>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</si>
  <si>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</si>
  <si>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</si>
  <si>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</si>
  <si>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</si>
  <si>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</si>
  <si>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</si>
  <si>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</si>
  <si>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</si>
  <si>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</si>
  <si>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</si>
  <si>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</si>
  <si>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</si>
  <si>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</si>
  <si>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</si>
  <si>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</si>
  <si>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</si>
  <si>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</si>
  <si>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</si>
  <si>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</si>
  <si>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</si>
  <si>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</si>
  <si>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</si>
  <si>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</si>
  <si>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</si>
  <si>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</si>
  <si>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</si>
  <si>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</si>
  <si>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</si>
  <si>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</si>
  <si>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</si>
  <si>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</si>
  <si>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</si>
  <si>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</si>
  <si>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</si>
  <si>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</si>
  <si>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</si>
  <si>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</si>
  <si>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</si>
  <si>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</si>
  <si>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</si>
  <si>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</si>
  <si>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</si>
  <si>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</si>
  <si>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</si>
  <si>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</si>
  <si>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</si>
  <si>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</si>
  <si>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</si>
  <si>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</si>
  <si>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</si>
  <si>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</si>
  <si>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</si>
  <si>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</si>
  <si>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</si>
  <si>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</si>
  <si>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</si>
  <si>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</si>
  <si>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</si>
  <si>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</si>
  <si>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</si>
  <si>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</si>
  <si>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</si>
  <si>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</si>
  <si>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</si>
  <si>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</si>
  <si>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</si>
  <si>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</si>
  <si>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</si>
  <si>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</si>
  <si>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</si>
  <si>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</si>
  <si>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</si>
  <si>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</si>
  <si>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</si>
  <si>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</si>
  <si>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</si>
  <si>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</si>
  <si>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</si>
  <si>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</si>
  <si>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</si>
  <si>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</si>
  <si>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</si>
  <si>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</si>
  <si>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</si>
  <si>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</si>
  <si>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</si>
  <si>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</si>
  <si>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</si>
  <si>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</si>
  <si>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</si>
  <si>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</si>
  <si>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</si>
  <si>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</si>
  <si>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</si>
  <si>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</si>
  <si>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</si>
  <si>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</si>
  <si>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</si>
  <si>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</si>
  <si>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</si>
  <si>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</si>
  <si>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</si>
  <si>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</si>
  <si>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</si>
  <si>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</si>
  <si>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</si>
  <si>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</si>
  <si>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</si>
  <si>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</si>
  <si>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</si>
  <si>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</si>
  <si>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</si>
  <si>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</si>
  <si>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</si>
  <si>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</si>
  <si>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</si>
  <si>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</si>
  <si>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</si>
  <si>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</si>
  <si>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</si>
  <si>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</si>
  <si>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</si>
  <si>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</si>
  <si>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</si>
  <si>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</si>
  <si>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</si>
  <si>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</si>
  <si>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</si>
  <si>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</si>
  <si>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</si>
  <si>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</si>
  <si>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</si>
  <si>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</si>
  <si>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</si>
  <si>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</si>
  <si>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</si>
  <si>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</si>
  <si>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</si>
  <si>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</si>
  <si>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</si>
  <si>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</si>
  <si>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</si>
  <si>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</si>
  <si>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</si>
  <si>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</si>
  <si>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</si>
  <si>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</si>
  <si>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</si>
  <si>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</si>
  <si>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</si>
  <si>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</si>
  <si>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</si>
  <si>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</si>
  <si>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</si>
  <si>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</si>
  <si>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</si>
  <si>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</si>
  <si>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</si>
  <si>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</si>
  <si>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</si>
  <si>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</si>
  <si>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</si>
  <si>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</si>
  <si>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</si>
  <si>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</si>
  <si>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</si>
  <si>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</si>
  <si>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</si>
  <si>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</si>
  <si>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</si>
  <si>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</si>
  <si>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</si>
  <si>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</si>
  <si>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</si>
  <si>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</si>
  <si>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</si>
  <si>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</si>
  <si>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</si>
  <si>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</si>
  <si>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</si>
  <si>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</si>
  <si>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</si>
  <si>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</si>
  <si>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</si>
  <si>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</si>
  <si>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</si>
  <si>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</si>
  <si>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</si>
  <si>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</si>
  <si>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</si>
  <si>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</si>
  <si>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</si>
  <si>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</si>
  <si>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</si>
  <si>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</si>
  <si>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</si>
  <si>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</si>
  <si>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</si>
  <si>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</si>
  <si>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</si>
  <si>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</si>
  <si>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</si>
  <si>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</si>
  <si>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</si>
  <si>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</si>
  <si>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</si>
  <si>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</si>
  <si>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</si>
  <si>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</si>
  <si>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</si>
  <si>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</si>
  <si>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</si>
  <si>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</si>
  <si>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</si>
  <si>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</si>
  <si>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</si>
  <si>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</si>
  <si>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</si>
  <si>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</si>
  <si>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</si>
  <si>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</si>
  <si>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</si>
  <si>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</si>
  <si>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</si>
  <si>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</si>
  <si>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</si>
  <si>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</si>
  <si>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</si>
  <si>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</si>
  <si>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</si>
  <si>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</si>
  <si>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</si>
  <si>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</si>
  <si>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</si>
  <si>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</si>
  <si>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</si>
  <si>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</si>
  <si>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</si>
  <si>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</si>
  <si>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</si>
  <si>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</si>
  <si>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</si>
  <si>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</si>
  <si>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</si>
  <si>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</si>
  <si>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</si>
  <si>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</si>
  <si>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</si>
  <si>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</si>
  <si>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</si>
  <si>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</si>
  <si>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</si>
  <si>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</si>
  <si>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</si>
  <si>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</si>
  <si>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</si>
  <si>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</si>
  <si>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</si>
  <si>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</si>
  <si>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</si>
  <si>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</si>
  <si>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</si>
  <si>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</si>
  <si>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</si>
  <si>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</si>
  <si>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</si>
  <si>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</si>
  <si>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</si>
  <si>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</si>
  <si>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</si>
  <si>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</si>
  <si>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</si>
  <si>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</si>
  <si>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</si>
  <si>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</si>
  <si>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</si>
  <si>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</si>
  <si>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</si>
  <si>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</si>
  <si>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</si>
  <si>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</si>
  <si>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</si>
  <si>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</si>
  <si>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</si>
  <si>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</si>
  <si>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</si>
  <si>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</si>
  <si>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</si>
  <si>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</si>
  <si>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</si>
  <si>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</si>
  <si>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</si>
  <si>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</si>
  <si>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</si>
  <si>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</si>
  <si>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</si>
  <si>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</si>
  <si>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</si>
  <si>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</si>
  <si>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</si>
  <si>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</si>
  <si>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</si>
  <si>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</si>
  <si>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</si>
  <si>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</si>
  <si>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</si>
  <si>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</si>
  <si>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</si>
  <si>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</si>
  <si>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</si>
  <si>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</si>
  <si>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</si>
  <si>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</si>
  <si>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</si>
  <si>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</si>
  <si>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</si>
  <si>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</si>
  <si>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</si>
  <si>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</si>
  <si>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</si>
  <si>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</si>
  <si>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</si>
  <si>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</si>
  <si>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</si>
  <si>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</si>
  <si>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</si>
  <si>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</si>
  <si>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</si>
  <si>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</si>
  <si>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</si>
  <si>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</si>
  <si>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</si>
  <si>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</si>
  <si>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</si>
  <si>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</si>
  <si>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</si>
  <si>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</si>
  <si>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</si>
  <si>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</si>
  <si>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</si>
  <si>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</si>
  <si>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</si>
  <si>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</si>
  <si>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</si>
  <si>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</si>
  <si>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</si>
  <si>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</si>
  <si>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</si>
  <si>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</si>
  <si>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</si>
  <si>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</si>
  <si>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</si>
  <si>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</si>
  <si>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</si>
  <si>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</si>
  <si>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</si>
  <si>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</si>
  <si>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</si>
  <si>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</si>
  <si>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</si>
  <si>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</si>
  <si>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</si>
  <si>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</si>
  <si>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</si>
  <si>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</si>
  <si>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</si>
  <si>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</si>
  <si>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</si>
  <si>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</si>
  <si>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</si>
  <si>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</si>
  <si>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</si>
  <si>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</si>
  <si>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</si>
  <si>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</si>
  <si>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</si>
  <si>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</si>
  <si>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</si>
  <si>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</si>
  <si>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</si>
  <si>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</si>
  <si>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</si>
  <si>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</si>
  <si>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</si>
  <si>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</si>
  <si>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</si>
  <si>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</si>
  <si>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</si>
  <si>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</si>
  <si>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</si>
  <si>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</si>
  <si>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</si>
  <si>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</si>
  <si>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</si>
  <si>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</si>
  <si>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</si>
  <si>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</si>
  <si>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</si>
  <si>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</si>
  <si>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</si>
  <si>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</si>
  <si>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</si>
  <si>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</si>
  <si>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</si>
  <si>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</si>
  <si>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</si>
  <si>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</si>
  <si>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</si>
  <si>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</si>
  <si>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</si>
  <si>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</si>
  <si>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</si>
  <si>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</si>
  <si>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</si>
  <si>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</si>
  <si>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</si>
  <si>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</si>
  <si>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</si>
  <si>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</si>
  <si>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</si>
  <si>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</si>
  <si>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</si>
  <si>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</si>
  <si>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</si>
  <si>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</si>
  <si>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</si>
  <si>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</si>
  <si>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</si>
  <si>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</si>
  <si>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</si>
  <si>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</si>
  <si>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</si>
  <si>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</si>
  <si>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</si>
  <si>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</si>
  <si>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</si>
  <si>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</si>
  <si>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</si>
  <si>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</si>
  <si>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</si>
  <si>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</si>
  <si>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</si>
  <si>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</si>
  <si>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</si>
  <si>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</si>
  <si>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</si>
  <si>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</si>
  <si>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</si>
  <si>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</si>
  <si>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</si>
  <si>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</si>
  <si>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</si>
  <si>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</si>
  <si>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</si>
  <si>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</si>
  <si>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</si>
  <si>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</si>
  <si>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</si>
  <si>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</si>
  <si>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</si>
  <si>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</si>
  <si>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</si>
  <si>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</si>
  <si>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</si>
  <si>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</si>
  <si>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</si>
  <si>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</si>
  <si>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</si>
  <si>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</si>
  <si>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</si>
  <si>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</si>
  <si>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</si>
  <si>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</si>
  <si>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</si>
  <si>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</si>
  <si>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</si>
  <si>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</si>
  <si>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</si>
  <si>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</si>
  <si>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</si>
  <si>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</si>
  <si>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</si>
  <si>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</si>
  <si>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</si>
  <si>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</si>
  <si>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</si>
  <si>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</si>
  <si>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</si>
  <si>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</si>
  <si>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</si>
  <si>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</si>
  <si>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</si>
  <si>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</si>
  <si>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</si>
  <si>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</si>
  <si>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</si>
  <si>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</si>
  <si>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</si>
  <si>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</si>
  <si>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</si>
  <si>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</si>
  <si>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</si>
  <si>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</si>
  <si>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</si>
  <si>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</si>
  <si>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</si>
  <si>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</si>
  <si>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</si>
  <si>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</si>
  <si>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</si>
  <si>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</si>
  <si>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</si>
  <si>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</si>
  <si>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</si>
  <si>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</si>
  <si>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</si>
  <si>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</si>
  <si>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</si>
  <si>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</si>
  <si>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</si>
  <si>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</si>
  <si>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</si>
  <si>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</si>
  <si>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</si>
  <si>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</si>
  <si>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</si>
  <si>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</si>
  <si>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</si>
  <si>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</si>
  <si>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</si>
  <si>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</si>
  <si>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</si>
  <si>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</si>
  <si>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</si>
  <si>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</si>
  <si>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</si>
  <si>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</si>
  <si>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</si>
  <si>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</si>
  <si>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</si>
  <si>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</si>
  <si>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</si>
  <si>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</si>
  <si>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</si>
  <si>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</si>
  <si>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</si>
  <si>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</si>
  <si>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</si>
  <si>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</si>
  <si>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</si>
  <si>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</si>
  <si>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</si>
  <si>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</si>
  <si>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</si>
  <si>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</si>
  <si>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</si>
  <si>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</si>
  <si>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</si>
  <si>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</si>
  <si>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</si>
  <si>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</si>
  <si>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</si>
  <si>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</si>
  <si>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</si>
  <si>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</si>
  <si>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</si>
  <si>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</si>
  <si>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</si>
  <si>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</si>
  <si>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</si>
  <si>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</si>
  <si>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</si>
  <si>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</si>
  <si>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</si>
  <si>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</si>
  <si>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</si>
  <si>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</si>
  <si>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</si>
  <si>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</si>
  <si>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</si>
  <si>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</si>
  <si>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</si>
  <si>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</si>
  <si>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</si>
  <si>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</si>
  <si>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</si>
  <si>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</si>
  <si>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</si>
  <si>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</si>
  <si>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</si>
  <si>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</si>
  <si>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</si>
  <si>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</si>
  <si>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</si>
  <si>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</si>
  <si>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</si>
  <si>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</si>
  <si>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</si>
  <si>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</si>
  <si>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</si>
  <si>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</si>
  <si>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</si>
  <si>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</si>
  <si>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</si>
  <si>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</si>
  <si>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</si>
  <si>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</si>
  <si>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</si>
  <si>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</si>
  <si>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</si>
  <si>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</si>
  <si>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</si>
  <si>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</si>
  <si>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</si>
  <si>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</si>
  <si>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</si>
  <si>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</si>
  <si>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</si>
  <si>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</si>
  <si>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</si>
  <si>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</si>
  <si>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</si>
  <si>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</si>
  <si>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</si>
  <si>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</si>
  <si>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</si>
  <si>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</si>
  <si>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</si>
  <si>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</si>
  <si>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</si>
  <si>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</si>
  <si>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</si>
  <si>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</si>
  <si>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</si>
  <si>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</si>
  <si>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</si>
  <si>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</si>
  <si>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</si>
  <si>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</si>
  <si>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</si>
  <si>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</si>
  <si>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</si>
  <si>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</si>
  <si>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</si>
  <si>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</si>
  <si>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</si>
  <si>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</si>
  <si>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</si>
  <si>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</si>
  <si>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</si>
  <si>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</si>
  <si>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</si>
  <si>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</si>
  <si>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</si>
  <si>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</si>
  <si>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</si>
  <si>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</si>
  <si>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</si>
  <si>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</si>
  <si>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</si>
  <si>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</si>
  <si>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</si>
  <si>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</si>
  <si>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</si>
  <si>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</si>
  <si>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</si>
  <si>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</si>
  <si>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</si>
  <si>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</si>
  <si>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</si>
  <si>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</si>
  <si>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</si>
  <si>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</si>
  <si>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</si>
  <si>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</si>
  <si>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</si>
  <si>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</si>
  <si>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</si>
  <si>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</si>
  <si>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</si>
  <si>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</si>
  <si>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</si>
  <si>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</si>
  <si>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</si>
  <si>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</si>
  <si>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</si>
  <si>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</si>
  <si>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</si>
  <si>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</si>
  <si>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</si>
  <si>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</si>
  <si>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</si>
  <si>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</si>
  <si>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</si>
  <si>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</si>
  <si>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</si>
  <si>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</si>
  <si>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</si>
  <si>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</si>
  <si>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</si>
  <si>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</si>
  <si>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</si>
  <si>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</si>
  <si>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</si>
  <si>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</si>
  <si>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</si>
  <si>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</si>
  <si>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</si>
  <si>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</si>
  <si>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</si>
  <si>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</si>
  <si>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</si>
  <si>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</si>
  <si>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</si>
  <si>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</si>
  <si>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</si>
  <si>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</si>
  <si>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</si>
  <si>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</si>
  <si>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</si>
  <si>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</si>
  <si>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</si>
  <si>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</si>
  <si>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</si>
  <si>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</si>
  <si>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</si>
  <si>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</si>
  <si>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</si>
  <si>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</si>
  <si>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</si>
  <si>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</si>
  <si>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</si>
  <si>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</si>
  <si>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</si>
  <si>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</si>
  <si>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</si>
  <si>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</si>
  <si>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</si>
  <si>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</si>
  <si>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</si>
  <si>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</si>
  <si>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</si>
  <si>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</si>
  <si>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</si>
  <si>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</si>
  <si>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</si>
  <si>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</si>
  <si>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</si>
  <si>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</si>
  <si>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</si>
  <si>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</si>
  <si>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</si>
  <si>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</si>
  <si>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</si>
  <si>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</si>
  <si>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</si>
  <si>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</si>
  <si>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</si>
  <si>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</si>
  <si>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</si>
  <si>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</si>
  <si>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</si>
  <si>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</si>
  <si>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</si>
  <si>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</si>
  <si>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</si>
  <si>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</si>
  <si>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</si>
  <si>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</si>
  <si>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</si>
  <si>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</si>
  <si>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</si>
  <si>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</si>
  <si>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</si>
  <si>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</si>
  <si>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</si>
  <si>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</si>
  <si>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</si>
  <si>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</si>
  <si>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</si>
  <si>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</si>
  <si>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</si>
  <si>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</si>
  <si>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</si>
  <si>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</si>
  <si>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</si>
  <si>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</si>
  <si>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</si>
  <si>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</si>
  <si>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</si>
  <si>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</si>
  <si>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</si>
  <si>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</si>
  <si>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</si>
  <si>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</si>
  <si>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</si>
  <si>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</si>
  <si>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</si>
  <si>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</si>
  <si>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</si>
  <si>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</si>
  <si>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</si>
  <si>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</si>
  <si>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</si>
  <si>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</si>
  <si>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</si>
  <si>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</si>
  <si>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</si>
  <si>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</si>
  <si>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</si>
  <si>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</si>
  <si>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</si>
  <si>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</si>
  <si>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</si>
  <si>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</si>
  <si>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</si>
  <si>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</si>
  <si>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</si>
  <si>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</si>
  <si>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</si>
  <si>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</si>
  <si>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</si>
  <si>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</si>
  <si>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</si>
  <si>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</si>
  <si>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</si>
  <si>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</si>
  <si>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</si>
  <si>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</si>
  <si>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</si>
  <si>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</si>
  <si>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</si>
  <si>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</si>
  <si>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</si>
  <si>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</si>
  <si>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</si>
  <si>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</si>
  <si>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</si>
  <si>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</si>
  <si>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</si>
  <si>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</si>
  <si>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</si>
  <si>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</si>
  <si>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</si>
  <si>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</si>
  <si>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</si>
  <si>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</si>
  <si>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</si>
  <si>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</si>
  <si>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</si>
  <si>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</si>
  <si>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</si>
  <si>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</si>
  <si>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</si>
  <si>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</si>
  <si>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</si>
  <si>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</si>
  <si>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</si>
  <si>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</si>
  <si>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</si>
  <si>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</si>
  <si>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</si>
  <si>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</si>
  <si>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</si>
  <si>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</si>
  <si>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</si>
  <si>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</si>
  <si>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</si>
  <si>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</si>
  <si>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</si>
  <si>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</si>
  <si>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</si>
  <si>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</si>
  <si>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</si>
  <si>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</si>
  <si>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</si>
  <si>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</si>
  <si>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</si>
  <si>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</si>
  <si>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</si>
  <si>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</si>
  <si>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</si>
  <si>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</si>
  <si>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</si>
  <si>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</si>
  <si>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</si>
  <si>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</si>
  <si>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</si>
  <si>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</si>
  <si>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</si>
  <si>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</si>
  <si>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</si>
  <si>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</si>
  <si>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</si>
  <si>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</si>
  <si>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</si>
  <si>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</si>
  <si>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</si>
  <si>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</si>
  <si>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</si>
  <si>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</si>
  <si>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</si>
  <si>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</si>
  <si>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</si>
  <si>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</si>
  <si>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</si>
  <si>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</si>
  <si>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</si>
  <si>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</si>
  <si>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</si>
  <si>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</si>
  <si>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</si>
  <si>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</si>
  <si>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</si>
  <si>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</si>
  <si>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</si>
  <si>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</si>
  <si>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</si>
  <si>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</si>
  <si>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</si>
  <si>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</si>
  <si>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</si>
  <si>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</si>
  <si>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</si>
  <si>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</si>
  <si>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</si>
  <si>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</si>
  <si>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</si>
  <si>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</si>
  <si>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</si>
  <si>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</si>
  <si>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</si>
  <si>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</si>
  <si>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</si>
  <si>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</si>
  <si>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</si>
  <si>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</si>
  <si>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</si>
  <si>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</si>
  <si>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</si>
  <si>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</si>
  <si>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</si>
  <si>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</si>
  <si>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</si>
  <si>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</si>
  <si>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</si>
  <si>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</si>
  <si>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</si>
  <si>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</si>
  <si>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</si>
  <si>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</si>
  <si>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</si>
  <si>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</si>
  <si>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</si>
  <si>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</si>
  <si>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</si>
  <si>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</si>
  <si>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</si>
  <si>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</si>
  <si>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</si>
  <si>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</si>
  <si>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</si>
  <si>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</si>
  <si>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</si>
  <si>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</si>
  <si>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</si>
  <si>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</si>
  <si>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</si>
  <si>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</si>
  <si>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</si>
  <si>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</si>
  <si>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</si>
  <si>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</si>
  <si>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</si>
  <si>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</si>
  <si>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</si>
  <si>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</si>
  <si>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</si>
  <si>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</si>
  <si>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</si>
  <si>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</si>
  <si>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</si>
  <si>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</si>
  <si>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</si>
  <si>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</si>
  <si>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</si>
  <si>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</si>
  <si>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</si>
  <si>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</si>
  <si>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</si>
  <si>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</si>
  <si>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</si>
  <si>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</si>
  <si>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</si>
  <si>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</si>
  <si>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</si>
  <si>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</si>
  <si>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</si>
  <si>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</si>
  <si>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</si>
  <si>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</si>
  <si>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</si>
  <si>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</si>
  <si>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</si>
  <si>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</si>
  <si>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</si>
  <si>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</si>
  <si>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</si>
  <si>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</si>
  <si>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</si>
  <si>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</si>
  <si>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</si>
  <si>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</si>
  <si>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</si>
  <si>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</si>
  <si>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</si>
  <si>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</si>
  <si>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</si>
  <si>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</si>
  <si>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</si>
  <si>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</si>
  <si>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</si>
  <si>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</si>
  <si>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</si>
  <si>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</si>
  <si>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</si>
  <si>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</si>
  <si>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</si>
  <si>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</si>
  <si>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</si>
  <si>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</si>
  <si>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</si>
  <si>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</si>
  <si>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</si>
  <si>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</si>
  <si>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</si>
  <si>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</si>
  <si>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</si>
  <si>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</si>
  <si>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</si>
  <si>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</si>
  <si>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</si>
  <si>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</si>
  <si>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</si>
  <si>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</si>
  <si>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</si>
  <si>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</si>
  <si>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</si>
  <si>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</si>
  <si>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</si>
  <si>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</si>
  <si>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</si>
  <si>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</si>
  <si>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</si>
  <si>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</si>
  <si>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</si>
  <si>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</si>
  <si>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</si>
  <si>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</si>
  <si>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</si>
  <si>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</si>
  <si>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</si>
  <si>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</si>
  <si>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</si>
  <si>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</si>
  <si>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</si>
  <si>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</si>
  <si>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</si>
  <si>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</si>
  <si>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</si>
  <si>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</si>
  <si>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</si>
  <si>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</si>
  <si>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</si>
  <si>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</si>
  <si>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</si>
  <si>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</si>
  <si>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</si>
  <si>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</si>
  <si>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</si>
  <si>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</si>
  <si>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</si>
  <si>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</si>
  <si>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</si>
  <si>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</si>
  <si>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</si>
  <si>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</si>
  <si>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</si>
  <si>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</si>
  <si>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</si>
  <si>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</si>
  <si>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</si>
  <si>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</si>
  <si>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</si>
  <si>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</si>
  <si>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</si>
  <si>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</si>
  <si>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</si>
  <si>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</si>
  <si>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</si>
  <si>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</si>
  <si>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</si>
  <si>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</si>
  <si>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</si>
  <si>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</si>
  <si>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</si>
  <si>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</si>
  <si>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</si>
  <si>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</si>
  <si>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</si>
  <si>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</si>
  <si>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</si>
  <si>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</si>
  <si>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</si>
  <si>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</si>
  <si>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</si>
  <si>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</si>
  <si>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</si>
  <si>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</si>
  <si>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</si>
  <si>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</si>
  <si>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</si>
  <si>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</si>
  <si>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</si>
  <si>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</si>
  <si>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</si>
  <si>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</si>
  <si>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</si>
  <si>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</si>
  <si>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</si>
  <si>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</si>
  <si>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</si>
  <si>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</si>
  <si>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</si>
  <si>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</si>
  <si>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</si>
  <si>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</si>
  <si>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</si>
  <si>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</si>
  <si>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</si>
  <si>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</si>
  <si>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</si>
  <si>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</si>
  <si>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</si>
  <si>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</si>
  <si>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</si>
  <si>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</si>
  <si>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</si>
  <si>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</si>
  <si>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</si>
  <si>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</si>
  <si>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</si>
  <si>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</si>
  <si>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</si>
  <si>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</si>
  <si>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</si>
  <si>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</si>
  <si>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</si>
  <si>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</si>
  <si>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</si>
  <si>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</si>
  <si>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</si>
  <si>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</si>
  <si>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</si>
  <si>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</si>
  <si>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</si>
  <si>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</si>
  <si>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</si>
  <si>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</si>
  <si>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</si>
  <si>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</si>
  <si>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</si>
  <si>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</si>
  <si>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</si>
  <si>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</si>
  <si>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</si>
  <si>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</si>
  <si>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</si>
  <si>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</si>
  <si>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</si>
  <si>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</si>
  <si>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</si>
  <si>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</si>
  <si>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</si>
  <si>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</si>
  <si>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</si>
  <si>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</si>
  <si>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</si>
  <si>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</si>
  <si>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</si>
  <si>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</si>
  <si>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</si>
  <si>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</si>
  <si>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</si>
  <si>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</si>
  <si>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</si>
  <si>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</si>
  <si>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</si>
  <si>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</si>
  <si>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</si>
  <si>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</si>
  <si>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</si>
  <si>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</si>
  <si>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</si>
  <si>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</si>
  <si>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</si>
  <si>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</si>
  <si>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</si>
  <si>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</si>
  <si>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</si>
  <si>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</si>
  <si>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</si>
  <si>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</si>
  <si>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</si>
  <si>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</si>
  <si>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</si>
  <si>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</si>
  <si>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</si>
  <si>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</si>
  <si>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</si>
  <si>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</si>
  <si>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</si>
  <si>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</si>
  <si>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</si>
  <si>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</si>
  <si>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</si>
  <si>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</si>
  <si>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</si>
  <si>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</si>
  <si>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</si>
  <si>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</si>
  <si>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</si>
  <si>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</si>
  <si>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</si>
  <si>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</si>
  <si>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</si>
  <si>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</si>
  <si>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</si>
  <si>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</si>
  <si>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</si>
  <si>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</si>
  <si>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</si>
  <si>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</si>
  <si>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</si>
  <si>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</si>
  <si>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</si>
  <si>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</si>
  <si>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</si>
  <si>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</si>
  <si>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</si>
  <si>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</si>
  <si>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</si>
  <si>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</si>
  <si>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</si>
  <si>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</si>
  <si>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</si>
  <si>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</si>
  <si>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</si>
  <si>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</si>
  <si>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</si>
  <si>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</si>
  <si>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</si>
  <si>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</si>
  <si>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</si>
  <si>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</si>
  <si>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</si>
  <si>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</si>
  <si>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</si>
  <si>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</si>
  <si>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</si>
  <si>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</si>
  <si>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</si>
  <si>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</si>
  <si>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</si>
  <si>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</si>
  <si>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</si>
  <si>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</si>
  <si>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</si>
  <si>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</si>
  <si>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</si>
  <si>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</si>
  <si>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</si>
  <si>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</si>
  <si>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</si>
  <si>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</si>
  <si>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</si>
  <si>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</si>
  <si>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</si>
  <si>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</si>
  <si>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</si>
  <si>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</si>
  <si>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</si>
  <si>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</si>
  <si>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</si>
  <si>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</si>
  <si>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</si>
  <si>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</si>
  <si>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</si>
  <si>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</si>
  <si>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</si>
  <si>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</si>
  <si>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</si>
  <si>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</si>
  <si>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</si>
  <si>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</si>
  <si>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</si>
  <si>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</si>
  <si>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</si>
  <si>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</si>
  <si>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</si>
  <si>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</si>
  <si>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</si>
  <si>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</si>
  <si>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</si>
  <si>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</si>
  <si>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</si>
  <si>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</si>
  <si>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</si>
  <si>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</si>
  <si>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</si>
  <si>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</si>
  <si>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</si>
  <si>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</si>
  <si>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</si>
  <si>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</si>
  <si>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</si>
  <si>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</si>
  <si>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</si>
  <si>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</si>
  <si>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</si>
  <si>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</si>
  <si>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</si>
  <si>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</si>
  <si>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</si>
  <si>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</si>
  <si>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</si>
  <si>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</si>
  <si>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</si>
  <si>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</si>
  <si>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</si>
  <si>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</si>
  <si>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</si>
  <si>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</si>
  <si>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</si>
  <si>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</si>
  <si>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</si>
  <si>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</si>
  <si>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</si>
  <si>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</si>
  <si>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</si>
  <si>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</si>
  <si>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</si>
  <si>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</si>
  <si>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</si>
  <si>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</si>
  <si>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</si>
  <si>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</si>
  <si>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</si>
  <si>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</si>
  <si>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</si>
  <si>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</si>
  <si>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</si>
  <si>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</si>
  <si>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</si>
  <si>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</si>
  <si>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</si>
  <si>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</si>
  <si>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</si>
  <si>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</si>
  <si>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</si>
  <si>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</si>
  <si>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</si>
  <si>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</si>
  <si>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</si>
  <si>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</si>
  <si>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</si>
  <si>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</si>
  <si>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</si>
  <si>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</si>
  <si>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</si>
  <si>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</si>
  <si>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</si>
  <si>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</si>
  <si>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</si>
  <si>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</si>
  <si>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</si>
  <si>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</si>
  <si>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</si>
  <si>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</si>
  <si>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</si>
  <si>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</si>
  <si>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</si>
  <si>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</si>
  <si>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</si>
  <si>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</si>
  <si>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</si>
  <si>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</si>
  <si>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</si>
  <si>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</si>
  <si>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</si>
  <si>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</si>
  <si>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</si>
  <si>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</si>
  <si>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</si>
  <si>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</si>
  <si>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</si>
  <si>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</si>
  <si>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</si>
  <si>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</si>
  <si>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</si>
  <si>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</si>
  <si>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</si>
  <si>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</si>
  <si>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</si>
  <si>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</si>
  <si>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</si>
  <si>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</si>
  <si>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</si>
  <si>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</si>
  <si>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</si>
  <si>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</si>
  <si>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</si>
  <si>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</si>
  <si>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</si>
  <si>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</si>
  <si>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</si>
  <si>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</si>
  <si>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</si>
  <si>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</si>
  <si>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</si>
  <si>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</si>
  <si>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</si>
  <si>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</si>
  <si>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</si>
  <si>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</si>
  <si>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</si>
  <si>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</si>
  <si>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</si>
  <si>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</si>
  <si>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</si>
  <si>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</si>
  <si>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</si>
  <si>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</si>
  <si>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</si>
  <si>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</si>
  <si>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</si>
  <si>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</si>
  <si>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</si>
  <si>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</si>
  <si>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</si>
  <si>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</si>
  <si>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</si>
  <si>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</si>
  <si>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</si>
  <si>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</si>
  <si>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</si>
  <si>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</si>
  <si>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</si>
  <si>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</si>
  <si>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</si>
  <si>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</si>
  <si>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</si>
  <si>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</si>
  <si>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</si>
  <si>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</si>
  <si>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</si>
  <si>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</si>
  <si>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</si>
  <si>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</si>
  <si>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</si>
  <si>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</si>
  <si>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</si>
  <si>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</si>
  <si>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</si>
  <si>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</si>
  <si>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</si>
  <si>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</si>
  <si>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</si>
  <si>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</si>
  <si>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</si>
  <si>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</si>
  <si>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</si>
  <si>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</si>
  <si>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</si>
  <si>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</si>
  <si>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</si>
  <si>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</si>
  <si>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</si>
  <si>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</si>
  <si>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</si>
  <si>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</si>
  <si>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</si>
  <si>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</si>
  <si>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</si>
  <si>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</si>
  <si>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</si>
  <si>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</si>
  <si>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</si>
  <si>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</si>
  <si>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</si>
  <si>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</si>
  <si>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</si>
  <si>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</si>
  <si>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</si>
  <si>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</si>
  <si>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</si>
  <si>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</si>
  <si>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</si>
  <si>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</si>
  <si>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</si>
  <si>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</si>
  <si>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</si>
  <si>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</si>
  <si>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</si>
  <si>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</si>
  <si>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</si>
  <si>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</si>
  <si>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</si>
  <si>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</si>
  <si>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</si>
  <si>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</si>
  <si>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</si>
  <si>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</si>
  <si>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</si>
  <si>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</si>
  <si>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</si>
  <si>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</si>
  <si>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</si>
  <si>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</si>
  <si>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</si>
  <si>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</si>
  <si>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</si>
  <si>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</si>
  <si>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</si>
  <si>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</si>
  <si>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</si>
  <si>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</si>
  <si>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</si>
  <si>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</si>
  <si>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</si>
  <si>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</si>
  <si>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</si>
  <si>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</si>
  <si>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</si>
  <si>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</si>
  <si>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</si>
  <si>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</si>
  <si>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</si>
  <si>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</si>
  <si>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</si>
  <si>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</si>
  <si>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</si>
  <si>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</si>
  <si>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</si>
  <si>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</si>
  <si>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</si>
  <si>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</si>
  <si>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</si>
  <si>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</si>
  <si>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</si>
  <si>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</si>
  <si>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</si>
  <si>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</si>
  <si>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</si>
  <si>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</si>
  <si>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</si>
  <si>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</si>
  <si>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</si>
  <si>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</si>
  <si>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</si>
  <si>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</si>
  <si>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</si>
  <si>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</si>
  <si>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</si>
  <si>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</si>
  <si>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</si>
  <si>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</si>
  <si>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</si>
  <si>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</si>
  <si>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</si>
  <si>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</si>
  <si>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</si>
  <si>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</si>
  <si>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</si>
  <si>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</si>
  <si>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</si>
  <si>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</si>
  <si>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</si>
  <si>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</si>
  <si>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</si>
  <si>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</si>
  <si>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</si>
  <si>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</si>
  <si>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</si>
  <si>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</si>
  <si>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</si>
  <si>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</si>
  <si>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</si>
  <si>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</si>
  <si>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</si>
  <si>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</si>
  <si>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</si>
  <si>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</si>
  <si>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</si>
  <si>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</si>
  <si>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</si>
  <si>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</si>
  <si>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</si>
  <si>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</si>
  <si>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</si>
  <si>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</si>
  <si>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</si>
  <si>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</si>
  <si>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</si>
  <si>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</si>
  <si>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</si>
  <si>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</si>
  <si>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</si>
  <si>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</si>
  <si>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</si>
  <si>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</si>
  <si>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</si>
  <si>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</si>
  <si>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</si>
  <si>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</si>
  <si>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</si>
  <si>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</si>
  <si>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</si>
  <si>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</si>
  <si>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</si>
  <si>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</si>
  <si>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</si>
  <si>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</si>
  <si>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</si>
  <si>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</si>
  <si>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</si>
  <si>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</si>
  <si>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</si>
  <si>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</si>
  <si>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</si>
  <si>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</si>
  <si>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</si>
  <si>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</si>
  <si>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</si>
  <si>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</si>
  <si>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</si>
  <si>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</si>
  <si>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</si>
  <si>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</si>
  <si>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</si>
  <si>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</si>
  <si>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</si>
  <si>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</si>
  <si>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</si>
  <si>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</si>
  <si>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</si>
  <si>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</si>
  <si>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</si>
  <si>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</si>
  <si>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</si>
  <si>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</si>
  <si>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</si>
  <si>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</si>
  <si>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</si>
  <si>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</si>
  <si>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</si>
  <si>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</si>
  <si>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</si>
  <si>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</si>
  <si>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</si>
  <si>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</si>
  <si>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</si>
  <si>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</si>
  <si>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</si>
  <si>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</si>
  <si>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</si>
  <si>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</si>
  <si>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</si>
  <si>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</si>
  <si>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</si>
  <si>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</si>
  <si>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</si>
  <si>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</si>
  <si>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</si>
  <si>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</si>
  <si>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</si>
  <si>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</si>
  <si>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</si>
  <si>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</si>
  <si>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</si>
  <si>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</si>
  <si>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</si>
  <si>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</si>
  <si>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</si>
  <si>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</si>
  <si>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</si>
  <si>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</si>
  <si>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</si>
  <si>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</si>
  <si>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</si>
  <si>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</si>
  <si>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</si>
  <si>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</si>
  <si>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</si>
  <si>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</si>
  <si>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</si>
  <si>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</si>
  <si>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</si>
  <si>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</si>
  <si>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</si>
  <si>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</si>
  <si>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</si>
  <si>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</si>
  <si>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</si>
  <si>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</si>
  <si>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</si>
  <si>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</si>
  <si>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</si>
  <si>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</si>
  <si>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</si>
  <si>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</si>
  <si>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</si>
  <si>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</si>
  <si>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</si>
  <si>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</si>
  <si>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</si>
  <si>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</si>
  <si>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</si>
  <si>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</si>
  <si>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</si>
  <si>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</si>
  <si>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</si>
  <si>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</si>
  <si>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</si>
  <si>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</si>
  <si>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</si>
  <si>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</si>
  <si>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</si>
  <si>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</si>
  <si>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</si>
  <si>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</si>
  <si>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</si>
  <si>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</si>
  <si>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</si>
  <si>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</si>
  <si>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</si>
  <si>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</si>
  <si>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</si>
  <si>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</si>
  <si>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</si>
  <si>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</si>
  <si>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</si>
  <si>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</si>
  <si>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</si>
  <si>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</si>
  <si>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</si>
  <si>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</si>
  <si>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</si>
  <si>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</si>
  <si>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</si>
  <si>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</si>
  <si>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</si>
  <si>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</si>
  <si>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</si>
  <si>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</si>
  <si>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</si>
  <si>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</si>
  <si>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</si>
  <si>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</si>
  <si>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</si>
  <si>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</si>
  <si>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</si>
  <si>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</si>
  <si>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</si>
  <si>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</si>
  <si>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</si>
  <si>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</si>
  <si>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</si>
  <si>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</si>
  <si>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</si>
  <si>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</si>
  <si>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</si>
  <si>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</si>
  <si>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</si>
  <si>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</si>
  <si>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</si>
  <si>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</si>
  <si>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</si>
  <si>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</si>
  <si>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</si>
  <si>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</si>
  <si>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</si>
  <si>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</si>
  <si>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</si>
  <si>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</si>
  <si>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</si>
  <si>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</si>
  <si>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</si>
  <si>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</si>
  <si>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</si>
  <si>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</si>
  <si>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</si>
  <si>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</si>
  <si>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</si>
  <si>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</si>
  <si>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</si>
  <si>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</si>
  <si>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</si>
  <si>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</si>
  <si>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</si>
  <si>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</si>
  <si>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</si>
  <si>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</si>
  <si>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</si>
  <si>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</si>
  <si>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</si>
  <si>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</si>
  <si>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</si>
  <si>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</si>
  <si>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</si>
  <si>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</si>
  <si>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</si>
  <si>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</si>
  <si>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</si>
  <si>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</si>
  <si>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</si>
  <si>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</si>
  <si>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</si>
  <si>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</si>
  <si>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</si>
  <si>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</si>
  <si>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</si>
  <si>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</si>
  <si>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</si>
  <si>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</si>
  <si>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</si>
  <si>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</si>
  <si>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</si>
  <si>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</si>
  <si>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</si>
  <si>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</si>
  <si>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</si>
  <si>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</si>
  <si>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</si>
  <si>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</si>
  <si>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</si>
  <si>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</si>
  <si>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</si>
  <si>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</si>
  <si>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</si>
  <si>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</si>
  <si>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</si>
  <si>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</si>
  <si>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</si>
  <si>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</si>
  <si>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</si>
  <si>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</si>
  <si>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</si>
  <si>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</si>
  <si>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</si>
  <si>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</si>
  <si>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</si>
  <si>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</si>
  <si>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</si>
  <si>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</si>
  <si>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</si>
  <si>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</si>
  <si>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</si>
  <si>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</si>
  <si>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</si>
  <si>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</si>
  <si>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</si>
  <si>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</si>
  <si>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</si>
  <si>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</si>
  <si>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</si>
  <si>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</si>
  <si>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</si>
  <si>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</si>
  <si>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</si>
  <si>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</si>
  <si>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</si>
  <si>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</si>
  <si>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</si>
  <si>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</si>
  <si>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</si>
  <si>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</si>
  <si>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</si>
  <si>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</si>
  <si>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</si>
  <si>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</si>
  <si>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</si>
  <si>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</si>
  <si>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</si>
  <si>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</si>
  <si>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</si>
  <si>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</si>
  <si>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</si>
  <si>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</si>
  <si>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</si>
  <si>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</si>
  <si>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</si>
  <si>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</si>
  <si>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</si>
  <si>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</si>
  <si>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</si>
  <si>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</si>
  <si>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</si>
  <si>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</si>
  <si>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</si>
  <si>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</si>
  <si>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</si>
  <si>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</si>
  <si>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</si>
  <si>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</si>
  <si>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</si>
  <si>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</si>
  <si>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</si>
  <si>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</si>
  <si>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</si>
  <si>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</si>
  <si>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</si>
  <si>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</si>
  <si>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</si>
  <si>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</si>
  <si>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</si>
  <si>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</si>
  <si>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</si>
  <si>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</si>
  <si>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</si>
  <si>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</si>
  <si>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</si>
  <si>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</si>
  <si>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Perry</t>
  </si>
  <si>
    <t>200 W. Main St.</t>
  </si>
  <si>
    <t xml:space="preserve">Tamaroa  </t>
  </si>
  <si>
    <t>Kujawa &amp; Batteau, P.C.</t>
  </si>
  <si>
    <t>Kevin Batteau</t>
  </si>
  <si>
    <t>300 S. Walnut St.</t>
  </si>
  <si>
    <t>Pinckneyville</t>
  </si>
  <si>
    <t>IL</t>
  </si>
  <si>
    <t>618-357-3000</t>
  </si>
  <si>
    <t>618-357-3654</t>
  </si>
  <si>
    <t>kbatteau@kandb-cpa.com</t>
  </si>
  <si>
    <t>j</t>
  </si>
  <si>
    <t>Taxable General Obligation Bonds Series 2013</t>
  </si>
  <si>
    <t>Taxable General Obligation Bonds Series 2016</t>
  </si>
  <si>
    <t>618-496-5513</t>
  </si>
  <si>
    <t>618-496-3911</t>
  </si>
  <si>
    <t>Brian Brink</t>
  </si>
  <si>
    <t>bbrink@tgs5.com</t>
  </si>
  <si>
    <t>awright@tgs5.com</t>
  </si>
  <si>
    <t>x</t>
  </si>
  <si>
    <t>N/A</t>
  </si>
  <si>
    <t>Fiscal SVC Other Object</t>
  </si>
  <si>
    <t>US Bancorp Equipment</t>
  </si>
  <si>
    <t>Village of Tamaroa Community Center Rent (school activities)</t>
  </si>
  <si>
    <t>Tri County Special Education</t>
  </si>
  <si>
    <t>10-2520-600</t>
  </si>
  <si>
    <t>Tamaroa School Dist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</si>
</sst>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458931</xdr:colOff>
          <xdr:row>1</xdr:row>
          <xdr:rowOff>25977</xdr:rowOff>
        </xdr:from>
        <xdr:to>
          <xdr:col>1</xdr:col>
          <xdr:colOff>1373331</xdr:colOff>
          <xdr:row>5</xdr:row>
          <xdr:rowOff>64077</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1" t="s">
        <v>405</v>
      </c>
      <c r="J1" s="1982"/>
      <c r="K1" s="1982"/>
      <c r="L1" s="1982"/>
      <c r="M1" s="1982"/>
      <c r="N1" s="1982"/>
      <c r="O1" s="1982"/>
      <c r="P1" s="1982"/>
      <c r="Q1" s="1982"/>
      <c r="R1" s="1982"/>
      <c r="S1" s="1982"/>
    </row>
    <row r="2" spans="1:28" ht="12" customHeight="1" x14ac:dyDescent="0.2">
      <c r="A2" s="47" t="s">
        <v>1993</v>
      </c>
      <c r="D2" s="48"/>
      <c r="I2" s="1983" t="s">
        <v>979</v>
      </c>
      <c r="J2" s="1982"/>
      <c r="K2" s="1982"/>
      <c r="L2" s="1982"/>
      <c r="M2" s="1982"/>
      <c r="N2" s="1982"/>
      <c r="O2" s="1982"/>
      <c r="P2" s="1982"/>
      <c r="Q2" s="1982"/>
      <c r="R2" s="1982"/>
      <c r="S2" s="1982"/>
    </row>
    <row r="3" spans="1:28" ht="12" customHeight="1" x14ac:dyDescent="0.2">
      <c r="A3" s="155" t="s">
        <v>1945</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t="s">
        <v>2064</v>
      </c>
      <c r="C5" s="26" t="s">
        <v>910</v>
      </c>
      <c r="D5" s="84"/>
      <c r="E5" s="84"/>
      <c r="H5" s="38"/>
      <c r="I5" s="1991" t="s">
        <v>680</v>
      </c>
      <c r="J5" s="1990"/>
      <c r="K5" s="1990"/>
      <c r="L5" s="1990"/>
      <c r="M5" s="1990"/>
      <c r="N5" s="1990"/>
      <c r="O5" s="1990"/>
      <c r="P5" s="1990"/>
      <c r="Q5" s="1990"/>
      <c r="R5" s="1990"/>
      <c r="S5" s="1990"/>
    </row>
    <row r="6" spans="1:28" ht="14.1" customHeight="1" x14ac:dyDescent="0.2">
      <c r="B6" s="104"/>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t="s">
        <v>2064</v>
      </c>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6">
        <v>30073005002</v>
      </c>
      <c r="B13" s="2017"/>
      <c r="C13" s="2017"/>
      <c r="D13" s="2017"/>
      <c r="E13" s="2017"/>
      <c r="F13" s="2017"/>
      <c r="G13" s="2017"/>
      <c r="H13" s="2018"/>
      <c r="I13" s="31"/>
      <c r="J13" s="30"/>
      <c r="K13" s="28"/>
      <c r="L13" s="30"/>
      <c r="M13" s="30"/>
      <c r="N13" s="30"/>
      <c r="O13" s="30"/>
      <c r="P13" s="30"/>
      <c r="Q13" s="30"/>
      <c r="R13" s="30"/>
      <c r="S13" s="30"/>
      <c r="T13" s="2021" t="s">
        <v>2068</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2065</v>
      </c>
      <c r="B15" s="2019"/>
      <c r="C15" s="2019"/>
      <c r="D15" s="2019"/>
      <c r="E15" s="2019"/>
      <c r="F15" s="2019"/>
      <c r="G15" s="2019"/>
      <c r="H15" s="2020"/>
      <c r="T15" s="2025" t="s">
        <v>2069</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2091</v>
      </c>
      <c r="B17" s="1976"/>
      <c r="C17" s="1976"/>
      <c r="D17" s="1976"/>
      <c r="E17" s="1976"/>
      <c r="F17" s="1976"/>
      <c r="G17" s="1976"/>
      <c r="H17" s="2001"/>
      <c r="T17" s="2032" t="s">
        <v>2070</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5" t="s">
        <v>2066</v>
      </c>
      <c r="B19" s="1961"/>
      <c r="C19" s="1961"/>
      <c r="D19" s="1961"/>
      <c r="E19" s="1961"/>
      <c r="F19" s="1961"/>
      <c r="G19" s="1961"/>
      <c r="H19" s="1941"/>
      <c r="I19" s="30"/>
      <c r="J19" s="99"/>
      <c r="K19" s="40"/>
      <c r="L19" s="38"/>
      <c r="M19" s="112" t="s">
        <v>315</v>
      </c>
      <c r="P19" s="27"/>
      <c r="Q19" s="27"/>
      <c r="R19" s="27"/>
      <c r="S19" s="31"/>
      <c r="T19" s="2015" t="s">
        <v>2071</v>
      </c>
      <c r="U19" s="1940"/>
      <c r="V19" s="1940"/>
      <c r="W19" s="1941"/>
      <c r="X19" s="2030" t="s">
        <v>2072</v>
      </c>
      <c r="Y19" s="2031"/>
      <c r="Z19" s="2028">
        <v>62274</v>
      </c>
      <c r="AA19" s="202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2067</v>
      </c>
      <c r="B21" s="1940"/>
      <c r="C21" s="1940"/>
      <c r="D21" s="1940"/>
      <c r="E21" s="1940"/>
      <c r="F21" s="1940"/>
      <c r="G21" s="1940"/>
      <c r="H21" s="1941"/>
      <c r="I21" s="1995" t="s">
        <v>678</v>
      </c>
      <c r="J21" s="1990"/>
      <c r="K21" s="1990"/>
      <c r="L21" s="1990"/>
      <c r="M21" s="1990"/>
      <c r="N21" s="1990"/>
      <c r="O21" s="1990"/>
      <c r="P21" s="1990"/>
      <c r="Q21" s="1990"/>
      <c r="R21" s="1990"/>
      <c r="S21" s="1996"/>
      <c r="T21" s="2039" t="s">
        <v>2073</v>
      </c>
      <c r="U21" s="2040"/>
      <c r="V21" s="2040"/>
      <c r="W21" s="2040"/>
      <c r="X21" s="2045" t="s">
        <v>2074</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t="s">
        <v>2083</v>
      </c>
      <c r="B23" s="1993"/>
      <c r="C23" s="1993"/>
      <c r="D23" s="1993"/>
      <c r="E23" s="1993"/>
      <c r="F23" s="1993"/>
      <c r="G23" s="1993"/>
      <c r="H23" s="1994"/>
      <c r="T23" s="1975">
        <v>65.028419999999997</v>
      </c>
      <c r="U23" s="2038"/>
      <c r="V23" s="2038"/>
      <c r="W23" s="2038"/>
      <c r="X23" s="2042">
        <v>44530</v>
      </c>
      <c r="Y23" s="2043"/>
      <c r="Z23" s="2043"/>
      <c r="AA23" s="2044"/>
    </row>
    <row r="24" spans="1:27" ht="14.1" customHeight="1" x14ac:dyDescent="0.2">
      <c r="A24" s="88" t="s">
        <v>677</v>
      </c>
      <c r="B24" s="49"/>
      <c r="C24" s="49"/>
      <c r="D24" s="49"/>
      <c r="E24" s="49"/>
      <c r="F24" s="49"/>
      <c r="G24" s="49"/>
      <c r="H24" s="61"/>
      <c r="J24" s="1962">
        <f>IF(B5="x",IF(AUDITCHECK!D29="AFR form Incomplete.","",IF(AUDITCHECK!D29="Deficit reduction plan is required.","School District must complete a deficit reduction plan in the 2019-2020 Budget",)),"")</f>
        <v>0</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9">
        <v>62888</v>
      </c>
      <c r="B25" s="1940"/>
      <c r="C25" s="1940"/>
      <c r="D25" s="1940"/>
      <c r="E25" s="1940"/>
      <c r="F25" s="1940"/>
      <c r="G25" s="1940"/>
      <c r="H25" s="1941"/>
      <c r="I25" s="113"/>
      <c r="J25" s="1964"/>
      <c r="K25" s="1964"/>
      <c r="L25" s="1964"/>
      <c r="M25" s="1964"/>
      <c r="N25" s="1964"/>
      <c r="O25" s="1964"/>
      <c r="P25" s="1964"/>
      <c r="Q25" s="1964"/>
      <c r="R25" s="1964"/>
      <c r="S25" s="1965"/>
      <c r="T25" s="2035" t="s">
        <v>2075</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2084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2084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2084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t="s">
        <v>2081</v>
      </c>
      <c r="B38" s="1976"/>
      <c r="C38" s="1976"/>
      <c r="D38" s="1976"/>
      <c r="E38" s="1976"/>
      <c r="F38" s="1940"/>
      <c r="G38" s="1940"/>
      <c r="H38" s="1941"/>
      <c r="I38" s="1968"/>
      <c r="J38" s="1969"/>
      <c r="K38" s="1969"/>
      <c r="L38" s="1969"/>
      <c r="M38" s="1969"/>
      <c r="N38" s="1969"/>
      <c r="O38" s="1969"/>
      <c r="P38" s="1970"/>
      <c r="Q38" s="1970"/>
      <c r="R38" s="1970"/>
      <c r="S38" s="1971"/>
      <c r="T38" s="2025"/>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t="s">
        <v>2082</v>
      </c>
      <c r="B40" s="1954"/>
      <c r="C40" s="1955"/>
      <c r="D40" s="1955"/>
      <c r="E40" s="1955"/>
      <c r="F40" s="1956"/>
      <c r="G40" s="1956"/>
      <c r="H40" s="1957"/>
      <c r="I40" s="1978"/>
      <c r="J40" s="1979"/>
      <c r="K40" s="1979"/>
      <c r="L40" s="1979"/>
      <c r="M40" s="1979"/>
      <c r="N40" s="1979"/>
      <c r="O40" s="1979"/>
      <c r="P40" s="1979"/>
      <c r="Q40" s="1979"/>
      <c r="R40" s="1979"/>
      <c r="S40" s="1980"/>
      <c r="T40" s="1978"/>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t="s">
        <v>2079</v>
      </c>
      <c r="B42" s="1959"/>
      <c r="C42" s="1960"/>
      <c r="D42" s="1958" t="s">
        <v>2080</v>
      </c>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 xml:space="preserve">&amp;L&amp;8
"The notes are an integral part of these statements"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84" sqref="B8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headerFooter>
    <oddFooter>&amp;L"The notes are an integral part of these statements"&amp;CPage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2068</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&amp;L&amp;8"The notes are an integral part of these statements"&amp;CPage 2</oddFooter>
    <evenFooter>&amp;L"The notes are an integral part of these statements"&amp;CPage 2</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72"/>
  <sheetViews>
    <sheetView showGridLines="0" defaultGridColor="0" topLeftCell="A5" colorId="8" zoomScale="110" zoomScaleNormal="110" workbookViewId="0">
      <selection activeCell="P44" sqref="P4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8207565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1.4999999999999999E-2</v>
      </c>
      <c r="E10" s="356" t="s">
        <v>1005</v>
      </c>
      <c r="F10" s="355">
        <v>3.5000000000000001E-3</v>
      </c>
      <c r="G10" s="356" t="s">
        <v>1005</v>
      </c>
      <c r="H10" s="355">
        <v>2E-3</v>
      </c>
      <c r="I10" s="356" t="s">
        <v>1006</v>
      </c>
      <c r="J10" s="1732">
        <f>ROUND(D10+F10+H10,5)</f>
        <v>2.0500000000000001E-2</v>
      </c>
      <c r="K10" s="222"/>
      <c r="L10" s="355">
        <v>5.0000000000000001E-4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1087547</v>
      </c>
      <c r="E16" s="356"/>
      <c r="F16" s="1733">
        <f>SUM('Acct Summary 7-8'!C17,'Acct Summary 7-8'!D17,'Acct Summary 7-8'!F17)</f>
        <v>1054173</v>
      </c>
      <c r="G16" s="356"/>
      <c r="H16" s="1733">
        <f>SUM(D16-F16)</f>
        <v>33374</v>
      </c>
      <c r="I16" s="222"/>
      <c r="J16" s="1733">
        <f>SUM('Acct Summary 7-8'!C81,'Acct Summary 7-8'!D81,'Acct Summary 7-8'!F81,'Acct Summary 7-8'!I81)</f>
        <v>193370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2084</v>
      </c>
      <c r="C31" s="367" t="s">
        <v>586</v>
      </c>
      <c r="D31" s="237" t="s">
        <v>1072</v>
      </c>
      <c r="E31" s="222"/>
      <c r="F31" s="222"/>
      <c r="G31" s="363"/>
      <c r="H31" s="1735">
        <f>IF(B31="X",(J7*0.069),IF(B32="X",(J7*0.138),"Enter x in a.or b."))</f>
        <v>566321.9850000001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233000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8" firstPageNumber="3" orientation="portrait" useFirstPageNumber="1" r:id="rId1"/>
  <headerFooter alignWithMargins="0">
    <oddHeader>&amp;L&amp;8Page &amp;P&amp;C &amp;R&amp;8Page &amp;P</oddHeader>
    <oddFooter>&amp;L&amp;8"The notes are an integral part of these statements"&amp;CPage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R44"/>
  <sheetViews>
    <sheetView showGridLines="0" topLeftCell="A7" zoomScale="110" zoomScaleNormal="110" workbookViewId="0">
      <selection activeCell="P45" sqref="P4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Tamaroa School Dist 5</v>
      </c>
      <c r="E7" s="391"/>
      <c r="G7" s="252"/>
      <c r="H7" s="387"/>
      <c r="I7" s="387"/>
      <c r="J7" s="387"/>
      <c r="K7" s="387"/>
      <c r="L7" s="329"/>
      <c r="M7" s="329"/>
      <c r="N7" s="329"/>
      <c r="O7" s="329"/>
      <c r="P7" s="329"/>
    </row>
    <row r="8" spans="1:18" ht="12.75" x14ac:dyDescent="0.2">
      <c r="A8" s="329"/>
      <c r="B8" s="329"/>
      <c r="C8" s="389" t="s">
        <v>1125</v>
      </c>
      <c r="D8" s="392">
        <f>COVER!A13</f>
        <v>30073005002</v>
      </c>
      <c r="E8" s="393"/>
      <c r="G8" s="329"/>
      <c r="H8" s="329"/>
      <c r="I8" s="329"/>
      <c r="J8" s="329"/>
      <c r="K8" s="329"/>
      <c r="L8" s="329"/>
      <c r="M8" s="329"/>
      <c r="N8" s="329"/>
      <c r="O8" s="329"/>
      <c r="P8" s="329"/>
    </row>
    <row r="9" spans="1:18" ht="12.75" x14ac:dyDescent="0.2">
      <c r="A9" s="329"/>
      <c r="B9" s="329"/>
      <c r="C9" s="389" t="s">
        <v>713</v>
      </c>
      <c r="D9" s="394" t="str">
        <f>COVER!A15</f>
        <v>Perry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193370</v>
      </c>
      <c r="I12" s="404"/>
      <c r="J12" s="404"/>
      <c r="K12" s="405">
        <f>TRUNC((H12/H13*100000),5)/100000</f>
        <v>0.17780380980000002</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1087547</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1054173</v>
      </c>
      <c r="I17" s="404"/>
      <c r="J17" s="416"/>
      <c r="K17" s="405">
        <f>TRUNC((H17/H18*100000),5)/100000</f>
        <v>0.96931259059999997</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1087547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192936</v>
      </c>
      <c r="I24" s="422"/>
      <c r="J24" s="422"/>
      <c r="K24" s="423">
        <f>TRUNC(((H24/H25*100000)/100000),2)</f>
        <v>65.88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2928.2583300000001</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143016.82013000001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233000</v>
      </c>
      <c r="I32" s="420"/>
      <c r="J32" s="420"/>
      <c r="K32" s="423">
        <f>TRUNC(100-((((H32/H33*100))*100)/100),2)</f>
        <v>58.85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566321.9850000001</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3.3499999999999996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6" firstPageNumber="4" orientation="landscape" useFirstPageNumber="1" r:id="rId3"/>
  <headerFooter alignWithMargins="0">
    <oddHeader>&amp;L&amp;8Page &amp;P&amp;C &amp;R&amp;8Page &amp;P</oddHeader>
    <oddFooter>&amp;L&amp;8"The notes are an integral part of these statements"&amp;CPage 4</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0" colorId="8" zoomScale="110" zoomScaleNormal="110" workbookViewId="0">
      <selection activeCell="J38" sqref="J3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v>127362</v>
      </c>
      <c r="D4" s="466">
        <v>0</v>
      </c>
      <c r="E4" s="466">
        <v>0</v>
      </c>
      <c r="F4" s="466">
        <v>4543</v>
      </c>
      <c r="G4" s="466"/>
      <c r="H4" s="466">
        <v>10023</v>
      </c>
      <c r="I4" s="466">
        <v>11446</v>
      </c>
      <c r="J4" s="467">
        <v>77280</v>
      </c>
      <c r="K4" s="466">
        <v>8714</v>
      </c>
      <c r="L4" s="466">
        <v>10856</v>
      </c>
      <c r="M4" s="468"/>
      <c r="N4" s="469"/>
    </row>
    <row r="5" spans="1:14" x14ac:dyDescent="0.2">
      <c r="A5" s="463" t="s">
        <v>992</v>
      </c>
      <c r="B5" s="470">
        <v>120</v>
      </c>
      <c r="C5" s="465">
        <v>2454</v>
      </c>
      <c r="D5" s="466">
        <v>14115</v>
      </c>
      <c r="E5" s="466"/>
      <c r="F5" s="466">
        <v>26047</v>
      </c>
      <c r="G5" s="466">
        <v>17417</v>
      </c>
      <c r="H5" s="466"/>
      <c r="I5" s="466">
        <v>6969</v>
      </c>
      <c r="J5" s="467">
        <v>1913</v>
      </c>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v>6472</v>
      </c>
      <c r="D7" s="467">
        <v>0</v>
      </c>
      <c r="E7" s="467">
        <v>0</v>
      </c>
      <c r="F7" s="467"/>
      <c r="G7" s="467"/>
      <c r="H7" s="467">
        <v>6008</v>
      </c>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136288</v>
      </c>
      <c r="D13" s="1737">
        <f t="shared" ref="D13:L13" si="0">SUM(D4:D12)</f>
        <v>14115</v>
      </c>
      <c r="E13" s="1737">
        <f t="shared" si="0"/>
        <v>0</v>
      </c>
      <c r="F13" s="1737">
        <f t="shared" si="0"/>
        <v>30590</v>
      </c>
      <c r="G13" s="1737">
        <f t="shared" si="0"/>
        <v>17417</v>
      </c>
      <c r="H13" s="1737">
        <f t="shared" si="0"/>
        <v>16031</v>
      </c>
      <c r="I13" s="1737">
        <f t="shared" si="0"/>
        <v>18415</v>
      </c>
      <c r="J13" s="1737">
        <f t="shared" si="0"/>
        <v>79193</v>
      </c>
      <c r="K13" s="1737">
        <f t="shared" si="0"/>
        <v>8714</v>
      </c>
      <c r="L13" s="1737">
        <f t="shared" si="0"/>
        <v>10856</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v>0</v>
      </c>
      <c r="N15" s="484"/>
    </row>
    <row r="16" spans="1:14" s="485" customFormat="1" ht="12.75" customHeight="1" x14ac:dyDescent="0.2">
      <c r="A16" s="482" t="s">
        <v>1402</v>
      </c>
      <c r="B16" s="483">
        <v>220</v>
      </c>
      <c r="C16" s="477"/>
      <c r="D16" s="477"/>
      <c r="E16" s="477"/>
      <c r="F16" s="477"/>
      <c r="G16" s="477"/>
      <c r="H16" s="477"/>
      <c r="I16" s="477"/>
      <c r="J16" s="477"/>
      <c r="K16" s="477"/>
      <c r="L16" s="477"/>
      <c r="M16" s="467">
        <v>1000</v>
      </c>
      <c r="N16" s="484"/>
    </row>
    <row r="17" spans="1:14" s="485" customFormat="1" ht="12.75" customHeight="1" x14ac:dyDescent="0.2">
      <c r="A17" s="482" t="s">
        <v>1403</v>
      </c>
      <c r="B17" s="483">
        <v>230</v>
      </c>
      <c r="C17" s="477"/>
      <c r="D17" s="477"/>
      <c r="E17" s="477"/>
      <c r="F17" s="477"/>
      <c r="G17" s="477"/>
      <c r="H17" s="477"/>
      <c r="I17" s="477"/>
      <c r="J17" s="477"/>
      <c r="K17" s="477"/>
      <c r="L17" s="477"/>
      <c r="M17" s="467">
        <v>913371</v>
      </c>
      <c r="N17" s="484"/>
    </row>
    <row r="18" spans="1:14" s="485" customFormat="1" ht="12.75" customHeight="1" x14ac:dyDescent="0.2">
      <c r="A18" s="482" t="s">
        <v>1404</v>
      </c>
      <c r="B18" s="483">
        <v>240</v>
      </c>
      <c r="C18" s="477"/>
      <c r="D18" s="477"/>
      <c r="E18" s="477"/>
      <c r="F18" s="477"/>
      <c r="G18" s="477"/>
      <c r="H18" s="477"/>
      <c r="I18" s="477"/>
      <c r="J18" s="477"/>
      <c r="K18" s="477"/>
      <c r="L18" s="477"/>
      <c r="M18" s="467">
        <v>116833</v>
      </c>
      <c r="N18" s="484"/>
    </row>
    <row r="19" spans="1:14" s="485" customFormat="1" ht="12.75" customHeight="1" x14ac:dyDescent="0.2">
      <c r="A19" s="482" t="s">
        <v>1405</v>
      </c>
      <c r="B19" s="483">
        <v>250</v>
      </c>
      <c r="C19" s="477"/>
      <c r="D19" s="477"/>
      <c r="E19" s="477"/>
      <c r="F19" s="477"/>
      <c r="G19" s="477"/>
      <c r="H19" s="477"/>
      <c r="I19" s="477"/>
      <c r="J19" s="477"/>
      <c r="K19" s="477"/>
      <c r="L19" s="477"/>
      <c r="M19" s="467">
        <v>357289</v>
      </c>
      <c r="N19" s="484"/>
    </row>
    <row r="20" spans="1:14" s="485" customFormat="1" ht="12.75" customHeight="1" x14ac:dyDescent="0.2">
      <c r="A20" s="482" t="s">
        <v>1406</v>
      </c>
      <c r="B20" s="483">
        <v>260</v>
      </c>
      <c r="C20" s="477"/>
      <c r="D20" s="477"/>
      <c r="E20" s="477"/>
      <c r="F20" s="477"/>
      <c r="G20" s="477"/>
      <c r="H20" s="477"/>
      <c r="I20" s="477"/>
      <c r="J20" s="477"/>
      <c r="K20" s="477"/>
      <c r="L20" s="477"/>
      <c r="M20" s="467">
        <v>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233000</v>
      </c>
    </row>
    <row r="23" spans="1:14" ht="13.5" customHeight="1" thickBot="1" x14ac:dyDescent="0.25">
      <c r="A23" s="1736" t="s">
        <v>643</v>
      </c>
      <c r="B23" s="1741"/>
      <c r="C23" s="468"/>
      <c r="D23" s="468"/>
      <c r="E23" s="468"/>
      <c r="F23" s="468"/>
      <c r="G23" s="468"/>
      <c r="H23" s="468"/>
      <c r="I23" s="468"/>
      <c r="J23" s="468"/>
      <c r="K23" s="468"/>
      <c r="L23" s="468"/>
      <c r="M23" s="1688">
        <f>SUM(M15:M22)</f>
        <v>1388493</v>
      </c>
      <c r="N23" s="1688">
        <f>SUM(N21:N22)</f>
        <v>233000</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c r="D25" s="478">
        <v>6008</v>
      </c>
      <c r="E25" s="478">
        <v>0</v>
      </c>
      <c r="F25" s="478">
        <v>0</v>
      </c>
      <c r="G25" s="478">
        <v>6472</v>
      </c>
      <c r="H25" s="479">
        <v>0</v>
      </c>
      <c r="I25" s="468"/>
      <c r="J25" s="478">
        <v>0</v>
      </c>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30</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10856</v>
      </c>
      <c r="M33" s="468"/>
      <c r="N33" s="469"/>
    </row>
    <row r="34" spans="1:14" ht="13.5" customHeight="1" thickBot="1" x14ac:dyDescent="0.25">
      <c r="A34" s="1738" t="s">
        <v>654</v>
      </c>
      <c r="B34" s="1739"/>
      <c r="C34" s="1740">
        <f>SUM(C25:C33)</f>
        <v>30</v>
      </c>
      <c r="D34" s="1740">
        <f t="shared" ref="D34:K34" si="1">SUM(D25:D33)</f>
        <v>6008</v>
      </c>
      <c r="E34" s="1740">
        <f t="shared" si="1"/>
        <v>0</v>
      </c>
      <c r="F34" s="1740">
        <f t="shared" si="1"/>
        <v>0</v>
      </c>
      <c r="G34" s="1740">
        <f t="shared" si="1"/>
        <v>6472</v>
      </c>
      <c r="H34" s="1740">
        <f t="shared" si="1"/>
        <v>0</v>
      </c>
      <c r="I34" s="1740">
        <f t="shared" si="1"/>
        <v>0</v>
      </c>
      <c r="J34" s="1740">
        <f t="shared" si="1"/>
        <v>0</v>
      </c>
      <c r="K34" s="1740">
        <f t="shared" si="1"/>
        <v>0</v>
      </c>
      <c r="L34" s="1721">
        <f>SUM(L33)</f>
        <v>10856</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233000</v>
      </c>
    </row>
    <row r="37" spans="1:14" ht="13.5" thickBot="1" x14ac:dyDescent="0.25">
      <c r="A37" s="1736" t="s">
        <v>653</v>
      </c>
      <c r="B37" s="1741"/>
      <c r="C37" s="477"/>
      <c r="D37" s="477"/>
      <c r="E37" s="477"/>
      <c r="F37" s="477"/>
      <c r="G37" s="477"/>
      <c r="H37" s="477"/>
      <c r="I37" s="477"/>
      <c r="J37" s="477"/>
      <c r="K37" s="477"/>
      <c r="L37" s="480"/>
      <c r="M37" s="468"/>
      <c r="N37" s="1688">
        <f>SUM(N36:N36)</f>
        <v>233000</v>
      </c>
    </row>
    <row r="38" spans="1:14" s="329" customFormat="1" ht="13.5" customHeight="1" thickTop="1" x14ac:dyDescent="0.2">
      <c r="A38" s="496" t="s">
        <v>420</v>
      </c>
      <c r="B38" s="483">
        <v>714</v>
      </c>
      <c r="C38" s="466"/>
      <c r="D38" s="466"/>
      <c r="E38" s="466"/>
      <c r="F38" s="466">
        <v>30590</v>
      </c>
      <c r="G38" s="466">
        <v>10945</v>
      </c>
      <c r="H38" s="466">
        <v>16031</v>
      </c>
      <c r="I38" s="466">
        <v>0</v>
      </c>
      <c r="J38" s="467">
        <v>79193</v>
      </c>
      <c r="K38" s="466">
        <v>8714</v>
      </c>
      <c r="L38" s="481"/>
      <c r="M38" s="497"/>
      <c r="N38" s="497"/>
    </row>
    <row r="39" spans="1:14" s="329" customFormat="1" ht="13.5" customHeight="1" x14ac:dyDescent="0.2">
      <c r="A39" s="496" t="s">
        <v>342</v>
      </c>
      <c r="B39" s="483">
        <v>730</v>
      </c>
      <c r="C39" s="466">
        <v>136258</v>
      </c>
      <c r="D39" s="466">
        <v>8107</v>
      </c>
      <c r="E39" s="466"/>
      <c r="F39" s="466">
        <v>0</v>
      </c>
      <c r="G39" s="466">
        <v>0</v>
      </c>
      <c r="H39" s="466">
        <v>0</v>
      </c>
      <c r="I39" s="466">
        <v>18415</v>
      </c>
      <c r="J39" s="467" t="s">
        <v>1169</v>
      </c>
      <c r="K39" s="466">
        <v>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1388493</v>
      </c>
      <c r="N40" s="497"/>
    </row>
    <row r="41" spans="1:14" ht="13.5" customHeight="1" thickBot="1" x14ac:dyDescent="0.25">
      <c r="A41" s="1736" t="s">
        <v>655</v>
      </c>
      <c r="B41" s="1706"/>
      <c r="C41" s="1688">
        <f>(SUM(C34,C37,C38,C39))</f>
        <v>136288</v>
      </c>
      <c r="D41" s="1688">
        <f t="shared" ref="D41:L41" si="2">SUM(D34,D37,D38:D39)</f>
        <v>14115</v>
      </c>
      <c r="E41" s="1688">
        <f t="shared" si="2"/>
        <v>0</v>
      </c>
      <c r="F41" s="1688">
        <f t="shared" si="2"/>
        <v>30590</v>
      </c>
      <c r="G41" s="1688">
        <f t="shared" si="2"/>
        <v>17417</v>
      </c>
      <c r="H41" s="1688">
        <f t="shared" si="2"/>
        <v>16031</v>
      </c>
      <c r="I41" s="1688">
        <f t="shared" si="2"/>
        <v>18415</v>
      </c>
      <c r="J41" s="1688">
        <f t="shared" si="2"/>
        <v>79193</v>
      </c>
      <c r="K41" s="1688">
        <f t="shared" si="2"/>
        <v>8714</v>
      </c>
      <c r="L41" s="1688">
        <f t="shared" si="2"/>
        <v>10856</v>
      </c>
      <c r="M41" s="1688">
        <f>SUM(M40)</f>
        <v>1388493</v>
      </c>
      <c r="N41" s="1688">
        <f>SUM(N37)</f>
        <v>233000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&amp;L&amp;8"The notes are an integral part of these statements"&amp;C5-6</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A70" colorId="8" zoomScale="110" zoomScaleNormal="110" zoomScaleSheetLayoutView="100" workbookViewId="0">
      <selection activeCell="J43" sqref="J4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8" t="s">
        <v>1499</v>
      </c>
      <c r="B4" s="1929">
        <v>1000</v>
      </c>
      <c r="C4" s="1742">
        <f>'Revenues 9-14'!C109</f>
        <v>144615</v>
      </c>
      <c r="D4" s="1742">
        <f>'Revenues 9-14'!D109</f>
        <v>36909</v>
      </c>
      <c r="E4" s="1742">
        <f>'Revenues 9-14'!E109</f>
        <v>13138</v>
      </c>
      <c r="F4" s="1742">
        <f>'Revenues 9-14'!F109</f>
        <v>15800</v>
      </c>
      <c r="G4" s="1742">
        <f>'Revenues 9-14'!G109</f>
        <v>28211</v>
      </c>
      <c r="H4" s="1742">
        <f>'Revenues 9-14'!H109</f>
        <v>47322</v>
      </c>
      <c r="I4" s="1742">
        <f>'Revenues 9-14'!I109</f>
        <v>3950</v>
      </c>
      <c r="J4" s="1742">
        <f>'Revenues 9-14'!J109</f>
        <v>63697</v>
      </c>
      <c r="K4" s="1742">
        <f>'Revenues 9-14'!K109</f>
        <v>3950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681999</v>
      </c>
      <c r="D6" s="1743">
        <f>'Revenues 9-14'!D170</f>
        <v>31657</v>
      </c>
      <c r="E6" s="1743">
        <f>'Revenues 9-14'!E170</f>
        <v>0</v>
      </c>
      <c r="F6" s="1743">
        <f>'Revenues 9-14'!F170</f>
        <v>60919</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111698</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938312</v>
      </c>
      <c r="D8" s="1688">
        <f t="shared" ref="D8:K8" si="0">SUM(D4:D7)</f>
        <v>68566</v>
      </c>
      <c r="E8" s="1688">
        <f t="shared" si="0"/>
        <v>13138</v>
      </c>
      <c r="F8" s="1688">
        <f t="shared" si="0"/>
        <v>76719</v>
      </c>
      <c r="G8" s="1688">
        <f t="shared" si="0"/>
        <v>28211</v>
      </c>
      <c r="H8" s="1688">
        <f t="shared" si="0"/>
        <v>47322</v>
      </c>
      <c r="I8" s="1688">
        <f t="shared" si="0"/>
        <v>3950</v>
      </c>
      <c r="J8" s="1688">
        <f t="shared" si="0"/>
        <v>63697</v>
      </c>
      <c r="K8" s="1688">
        <f t="shared" si="0"/>
        <v>3950</v>
      </c>
      <c r="L8" s="347"/>
    </row>
    <row r="9" spans="1:13" ht="15.75" thickTop="1" x14ac:dyDescent="0.2">
      <c r="A9" s="514" t="s">
        <v>1653</v>
      </c>
      <c r="B9" s="515">
        <v>3998</v>
      </c>
      <c r="C9" s="481">
        <v>64100</v>
      </c>
      <c r="D9" s="516"/>
      <c r="E9" s="481"/>
      <c r="F9" s="481"/>
      <c r="G9" s="517"/>
      <c r="H9" s="481"/>
      <c r="I9" s="509" t="s">
        <v>1169</v>
      </c>
      <c r="J9" s="478"/>
      <c r="K9" s="481"/>
      <c r="L9" s="347"/>
    </row>
    <row r="10" spans="1:13" s="519" customFormat="1" ht="13.5" thickBot="1" x14ac:dyDescent="0.25">
      <c r="A10" s="1736" t="s">
        <v>1173</v>
      </c>
      <c r="B10" s="1709"/>
      <c r="C10" s="1688">
        <f>SUM(C8:C9)</f>
        <v>1002412</v>
      </c>
      <c r="D10" s="1688">
        <f t="shared" ref="D10:K10" si="1">SUM(D8:D9)</f>
        <v>68566</v>
      </c>
      <c r="E10" s="1688">
        <f t="shared" si="1"/>
        <v>13138</v>
      </c>
      <c r="F10" s="1688">
        <f t="shared" si="1"/>
        <v>76719</v>
      </c>
      <c r="G10" s="1688">
        <f t="shared" si="1"/>
        <v>28211</v>
      </c>
      <c r="H10" s="1688">
        <f t="shared" si="1"/>
        <v>47322</v>
      </c>
      <c r="I10" s="1688">
        <f t="shared" si="1"/>
        <v>3950</v>
      </c>
      <c r="J10" s="1688">
        <f t="shared" si="1"/>
        <v>63697</v>
      </c>
      <c r="K10" s="1688">
        <f t="shared" si="1"/>
        <v>3950</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2">
        <f>'Expenditures 15-22'!K33</f>
        <v>622911</v>
      </c>
      <c r="D12" s="520" t="s">
        <v>1169</v>
      </c>
      <c r="E12" s="468" t="s">
        <v>1169</v>
      </c>
      <c r="F12" s="468" t="s">
        <v>1169</v>
      </c>
      <c r="G12" s="1742">
        <f>'Expenditures 15-22'!K229</f>
        <v>15354</v>
      </c>
      <c r="H12" s="521"/>
      <c r="I12" s="468" t="s">
        <v>1169</v>
      </c>
      <c r="J12" s="468" t="s">
        <v>1169</v>
      </c>
      <c r="K12" s="521" t="s">
        <v>1169</v>
      </c>
      <c r="L12" s="347"/>
    </row>
    <row r="13" spans="1:13" ht="15.75" customHeight="1" x14ac:dyDescent="0.2">
      <c r="A13" s="1576" t="s">
        <v>457</v>
      </c>
      <c r="B13" s="1578">
        <v>2000</v>
      </c>
      <c r="C13" s="1743">
        <f>'Expenditures 15-22'!K74</f>
        <v>227091</v>
      </c>
      <c r="D13" s="1743">
        <f>'Expenditures 15-22'!K129</f>
        <v>72101</v>
      </c>
      <c r="E13" s="469" t="s">
        <v>1169</v>
      </c>
      <c r="F13" s="1743">
        <f>'Expenditures 15-22'!K184</f>
        <v>100560</v>
      </c>
      <c r="G13" s="1743">
        <f>'Expenditures 15-22'!K279</f>
        <v>19868</v>
      </c>
      <c r="H13" s="1743">
        <f>'Expenditures 15-22'!K303</f>
        <v>5305</v>
      </c>
      <c r="I13" s="468" t="s">
        <v>1169</v>
      </c>
      <c r="J13" s="1743">
        <f>'Expenditures 15-22'!K330</f>
        <v>74365</v>
      </c>
      <c r="K13" s="1747">
        <f>'Expenditures 15-22'!K352</f>
        <v>1227</v>
      </c>
      <c r="L13" s="347"/>
    </row>
    <row r="14" spans="1:13" ht="15.75" customHeight="1" x14ac:dyDescent="0.2">
      <c r="A14" s="1576" t="s">
        <v>449</v>
      </c>
      <c r="B14" s="1578">
        <v>3000</v>
      </c>
      <c r="C14" s="1743">
        <f>'Expenditures 15-22'!K75</f>
        <v>351</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30536</v>
      </c>
      <c r="D15" s="1743">
        <f>'Expenditures 15-22'!K139</f>
        <v>623</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45905</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880889</v>
      </c>
      <c r="D17" s="1688">
        <f t="shared" si="2"/>
        <v>72724</v>
      </c>
      <c r="E17" s="1688">
        <f t="shared" si="2"/>
        <v>45905</v>
      </c>
      <c r="F17" s="1688">
        <f t="shared" si="2"/>
        <v>100560</v>
      </c>
      <c r="G17" s="1688">
        <f t="shared" si="2"/>
        <v>35222</v>
      </c>
      <c r="H17" s="1688">
        <f t="shared" si="2"/>
        <v>5305</v>
      </c>
      <c r="I17" s="468"/>
      <c r="J17" s="1688">
        <f>SUM(J12:J16)</f>
        <v>74365</v>
      </c>
      <c r="K17" s="1688">
        <f>SUM(K12:K16)</f>
        <v>1227</v>
      </c>
      <c r="L17" s="347"/>
    </row>
    <row r="18" spans="1:12" ht="15" customHeight="1" thickTop="1" x14ac:dyDescent="0.2">
      <c r="A18" s="1744" t="s">
        <v>1654</v>
      </c>
      <c r="B18" s="1745">
        <v>4180</v>
      </c>
      <c r="C18" s="1742">
        <f t="shared" ref="C18:H18" si="3">C9</f>
        <v>64100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944989</v>
      </c>
      <c r="D19" s="1688">
        <f t="shared" si="4"/>
        <v>72724</v>
      </c>
      <c r="E19" s="1688">
        <f t="shared" si="4"/>
        <v>45905</v>
      </c>
      <c r="F19" s="1688">
        <f t="shared" si="4"/>
        <v>100560</v>
      </c>
      <c r="G19" s="1688">
        <f t="shared" si="4"/>
        <v>35222</v>
      </c>
      <c r="H19" s="1688">
        <f t="shared" si="4"/>
        <v>5305</v>
      </c>
      <c r="I19" s="468"/>
      <c r="J19" s="1688">
        <f>SUM(J17:J18)</f>
        <v>74365</v>
      </c>
      <c r="K19" s="1688">
        <f>SUM(K17:K18)</f>
        <v>1227</v>
      </c>
      <c r="L19" s="347"/>
    </row>
    <row r="20" spans="1:12" ht="16.5" thickTop="1" thickBot="1" x14ac:dyDescent="0.25">
      <c r="A20" s="2124" t="s">
        <v>1655</v>
      </c>
      <c r="B20" s="2125"/>
      <c r="C20" s="1746">
        <f>C8-C17</f>
        <v>57423</v>
      </c>
      <c r="D20" s="1746">
        <f t="shared" ref="D20:K20" si="5">D8-D17</f>
        <v>-4158</v>
      </c>
      <c r="E20" s="1746">
        <f t="shared" si="5"/>
        <v>-32767</v>
      </c>
      <c r="F20" s="1746">
        <f t="shared" si="5"/>
        <v>-23841</v>
      </c>
      <c r="G20" s="1746">
        <f t="shared" si="5"/>
        <v>-7011</v>
      </c>
      <c r="H20" s="1746">
        <f t="shared" si="5"/>
        <v>42017</v>
      </c>
      <c r="I20" s="1746">
        <f t="shared" si="5"/>
        <v>3950</v>
      </c>
      <c r="J20" s="1746">
        <f t="shared" si="5"/>
        <v>-10668</v>
      </c>
      <c r="K20" s="1746">
        <f t="shared" si="5"/>
        <v>2723</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v>56472</v>
      </c>
      <c r="F43" s="467"/>
      <c r="G43" s="467"/>
      <c r="H43" s="467"/>
      <c r="I43" s="467"/>
      <c r="J43" s="467">
        <v>18231</v>
      </c>
      <c r="K43" s="467"/>
      <c r="L43" s="524"/>
    </row>
    <row r="44" spans="1:12" s="485" customFormat="1" ht="13.5" customHeight="1" thickBot="1" x14ac:dyDescent="0.25">
      <c r="A44" s="2138" t="s">
        <v>374</v>
      </c>
      <c r="B44" s="2139"/>
      <c r="C44" s="1703">
        <f>SUM(C24:C43)</f>
        <v>0</v>
      </c>
      <c r="D44" s="1703">
        <f t="shared" ref="D44:K44" si="6">SUM(D24:D43)</f>
        <v>0</v>
      </c>
      <c r="E44" s="1703">
        <f t="shared" si="6"/>
        <v>56472</v>
      </c>
      <c r="F44" s="1703">
        <f t="shared" si="6"/>
        <v>0</v>
      </c>
      <c r="G44" s="1703">
        <f t="shared" si="6"/>
        <v>0</v>
      </c>
      <c r="H44" s="1703">
        <f t="shared" si="6"/>
        <v>0</v>
      </c>
      <c r="I44" s="1703">
        <f t="shared" si="6"/>
        <v>0</v>
      </c>
      <c r="J44" s="1703">
        <f t="shared" si="6"/>
        <v>18231</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v>18231</v>
      </c>
      <c r="D75" s="531"/>
      <c r="E75" s="530">
        <v>0</v>
      </c>
      <c r="F75" s="532"/>
      <c r="G75" s="532"/>
      <c r="H75" s="532">
        <v>56472</v>
      </c>
      <c r="I75" s="530"/>
      <c r="J75" s="530"/>
      <c r="K75" s="532"/>
      <c r="L75" s="524"/>
    </row>
    <row r="76" spans="1:12" s="485" customFormat="1" ht="14.25" thickTop="1" thickBot="1" x14ac:dyDescent="0.25">
      <c r="A76" s="2114" t="s">
        <v>440</v>
      </c>
      <c r="B76" s="2115"/>
      <c r="C76" s="1703">
        <f t="shared" ref="C76:K76" si="7">SUM(C47:C75)</f>
        <v>18231</v>
      </c>
      <c r="D76" s="1703">
        <f t="shared" si="7"/>
        <v>0</v>
      </c>
      <c r="E76" s="1703">
        <f t="shared" si="7"/>
        <v>0</v>
      </c>
      <c r="F76" s="1703">
        <f t="shared" si="7"/>
        <v>0</v>
      </c>
      <c r="G76" s="1703">
        <f t="shared" si="7"/>
        <v>0</v>
      </c>
      <c r="H76" s="1703">
        <f t="shared" si="7"/>
        <v>56472</v>
      </c>
      <c r="I76" s="1703">
        <f t="shared" si="7"/>
        <v>0</v>
      </c>
      <c r="J76" s="1703">
        <f t="shared" si="7"/>
        <v>0</v>
      </c>
      <c r="K76" s="1703">
        <f t="shared" si="7"/>
        <v>0</v>
      </c>
      <c r="L76" s="524"/>
    </row>
    <row r="77" spans="1:12" ht="14.25" thickTop="1" thickBot="1" x14ac:dyDescent="0.25">
      <c r="A77" s="2116" t="s">
        <v>1177</v>
      </c>
      <c r="B77" s="2117"/>
      <c r="C77" s="1703">
        <f t="shared" ref="C77:K77" si="8">C44-C76</f>
        <v>-18231</v>
      </c>
      <c r="D77" s="1703">
        <f t="shared" si="8"/>
        <v>0</v>
      </c>
      <c r="E77" s="1703">
        <f t="shared" si="8"/>
        <v>56472</v>
      </c>
      <c r="F77" s="1703">
        <f t="shared" si="8"/>
        <v>0</v>
      </c>
      <c r="G77" s="1703">
        <f t="shared" si="8"/>
        <v>0</v>
      </c>
      <c r="H77" s="1703">
        <f t="shared" si="8"/>
        <v>-56472</v>
      </c>
      <c r="I77" s="1703">
        <f t="shared" si="8"/>
        <v>0</v>
      </c>
      <c r="J77" s="1703">
        <f t="shared" si="8"/>
        <v>18231</v>
      </c>
      <c r="K77" s="1703">
        <f t="shared" si="8"/>
        <v>0</v>
      </c>
      <c r="L77" s="347"/>
    </row>
    <row r="78" spans="1:12" ht="21.75" customHeight="1" thickTop="1" thickBot="1" x14ac:dyDescent="0.25">
      <c r="A78" s="2120" t="s">
        <v>597</v>
      </c>
      <c r="B78" s="2121"/>
      <c r="C78" s="1702">
        <f t="shared" ref="C78:K78" si="9">C20+C77</f>
        <v>39192</v>
      </c>
      <c r="D78" s="1702">
        <f t="shared" si="9"/>
        <v>-4158</v>
      </c>
      <c r="E78" s="1702">
        <f t="shared" si="9"/>
        <v>23705</v>
      </c>
      <c r="F78" s="1702">
        <f t="shared" si="9"/>
        <v>-23841</v>
      </c>
      <c r="G78" s="1702">
        <f t="shared" si="9"/>
        <v>-7011</v>
      </c>
      <c r="H78" s="1702">
        <f t="shared" si="9"/>
        <v>-14455</v>
      </c>
      <c r="I78" s="1702">
        <f t="shared" si="9"/>
        <v>3950</v>
      </c>
      <c r="J78" s="1702">
        <f t="shared" si="9"/>
        <v>7563</v>
      </c>
      <c r="K78" s="1702">
        <f t="shared" si="9"/>
        <v>2723</v>
      </c>
      <c r="L78" s="533"/>
    </row>
    <row r="79" spans="1:12" ht="13.5" thickTop="1" x14ac:dyDescent="0.2">
      <c r="A79" s="1494" t="s">
        <v>1949</v>
      </c>
      <c r="B79" s="534"/>
      <c r="C79" s="478">
        <v>97066</v>
      </c>
      <c r="D79" s="535">
        <v>12265</v>
      </c>
      <c r="E79" s="535">
        <v>-23705</v>
      </c>
      <c r="F79" s="535">
        <v>54431</v>
      </c>
      <c r="G79" s="535">
        <v>17956</v>
      </c>
      <c r="H79" s="535">
        <v>30486</v>
      </c>
      <c r="I79" s="535">
        <v>14465</v>
      </c>
      <c r="J79" s="535">
        <v>71630</v>
      </c>
      <c r="K79" s="535">
        <v>5991</v>
      </c>
      <c r="L79" s="347"/>
    </row>
    <row r="80" spans="1:12" x14ac:dyDescent="0.2">
      <c r="A80" s="2126" t="s">
        <v>1795</v>
      </c>
      <c r="B80" s="2127"/>
      <c r="C80" s="467"/>
      <c r="D80" s="467"/>
      <c r="E80" s="467"/>
      <c r="F80" s="467"/>
      <c r="G80" s="467"/>
      <c r="H80" s="467"/>
      <c r="I80" s="467"/>
      <c r="J80" s="467"/>
      <c r="K80" s="467"/>
      <c r="L80" s="347"/>
    </row>
    <row r="81" spans="1:12" ht="13.5" thickBot="1" x14ac:dyDescent="0.25">
      <c r="A81" s="2118" t="s">
        <v>1950</v>
      </c>
      <c r="B81" s="2119"/>
      <c r="C81" s="1688">
        <f>(SUM(C78:C80))</f>
        <v>136258</v>
      </c>
      <c r="D81" s="1688">
        <f>SUM(D78:D80)</f>
        <v>8107</v>
      </c>
      <c r="E81" s="1688">
        <f t="shared" ref="E81:K81" si="10">SUM(E78:E80)</f>
        <v>0</v>
      </c>
      <c r="F81" s="1688">
        <f t="shared" si="10"/>
        <v>30590</v>
      </c>
      <c r="G81" s="1688">
        <f t="shared" si="10"/>
        <v>10945</v>
      </c>
      <c r="H81" s="1688">
        <f t="shared" si="10"/>
        <v>16031</v>
      </c>
      <c r="I81" s="1688">
        <f t="shared" si="10"/>
        <v>18415</v>
      </c>
      <c r="J81" s="1688">
        <f t="shared" si="10"/>
        <v>79193</v>
      </c>
      <c r="K81" s="1688">
        <f t="shared" si="10"/>
        <v>8714</v>
      </c>
      <c r="L81" s="347"/>
    </row>
    <row r="82" spans="1:12" ht="0.75" customHeight="1" thickTop="1" thickBot="1" x14ac:dyDescent="0.25">
      <c r="A82" s="536" t="s">
        <v>343</v>
      </c>
      <c r="B82" s="537"/>
      <c r="C82" s="538">
        <f>(C81-C79)</f>
        <v>39192</v>
      </c>
      <c r="D82" s="538">
        <f t="shared" ref="D82:K82" si="11">(D81-D79)</f>
        <v>-4158</v>
      </c>
      <c r="E82" s="538">
        <f t="shared" si="11"/>
        <v>23705</v>
      </c>
      <c r="F82" s="538">
        <f t="shared" si="11"/>
        <v>-23841</v>
      </c>
      <c r="G82" s="538">
        <f t="shared" si="11"/>
        <v>-7011</v>
      </c>
      <c r="H82" s="538">
        <f t="shared" si="11"/>
        <v>-14455</v>
      </c>
      <c r="I82" s="538">
        <f t="shared" si="11"/>
        <v>3950</v>
      </c>
      <c r="J82" s="538">
        <f t="shared" si="11"/>
        <v>7563</v>
      </c>
      <c r="K82" s="538">
        <f t="shared" si="11"/>
        <v>2723</v>
      </c>
    </row>
    <row r="83" spans="1:12" ht="14.25" hidden="1" thickTop="1" thickBot="1" x14ac:dyDescent="0.25">
      <c r="A83" s="539" t="s">
        <v>344</v>
      </c>
      <c r="B83" s="464"/>
      <c r="C83" s="540">
        <f>C82/C81</f>
        <v>0.28763081800701612</v>
      </c>
      <c r="D83" s="540">
        <f t="shared" ref="D83:K83" si="12">D82/D81</f>
        <v>-0.51289009497964722</v>
      </c>
      <c r="E83" s="540" t="e">
        <f t="shared" si="12"/>
        <v>#DIV/0!</v>
      </c>
      <c r="F83" s="540">
        <f t="shared" si="12"/>
        <v>-0.7793723439032364</v>
      </c>
      <c r="G83" s="540">
        <f t="shared" si="12"/>
        <v>-0.64056646870717227</v>
      </c>
      <c r="H83" s="540">
        <f t="shared" si="12"/>
        <v>-0.90169047470525854</v>
      </c>
      <c r="I83" s="540">
        <f t="shared" si="12"/>
        <v>0.21449904968775454</v>
      </c>
      <c r="J83" s="540">
        <f t="shared" si="12"/>
        <v>9.5500864975439748E-2</v>
      </c>
      <c r="K83" s="540">
        <f t="shared" si="12"/>
        <v>0.31248565526738581</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&amp;L&amp;8"The notes are an integral part of these statements"&amp;CPages 7-8</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selection activeCell="G16" sqref="G1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1802</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118498</v>
      </c>
      <c r="D5" s="481">
        <v>27650</v>
      </c>
      <c r="E5" s="466">
        <v>13138</v>
      </c>
      <c r="F5" s="548">
        <v>15800</v>
      </c>
      <c r="G5" s="466">
        <v>11242</v>
      </c>
      <c r="H5" s="466"/>
      <c r="I5" s="466">
        <v>3950</v>
      </c>
      <c r="J5" s="467">
        <v>63697</v>
      </c>
      <c r="K5" s="466">
        <v>3950</v>
      </c>
    </row>
    <row r="6" spans="1:12" ht="15" x14ac:dyDescent="0.2">
      <c r="A6" s="463" t="s">
        <v>1662</v>
      </c>
      <c r="B6" s="470">
        <v>1130</v>
      </c>
      <c r="C6" s="466"/>
      <c r="D6" s="466"/>
      <c r="E6" s="475"/>
      <c r="F6" s="475"/>
      <c r="G6" s="468"/>
      <c r="H6" s="468"/>
      <c r="I6" s="468"/>
      <c r="J6" s="468"/>
      <c r="K6" s="468"/>
    </row>
    <row r="7" spans="1:12" x14ac:dyDescent="0.2">
      <c r="A7" s="463" t="s">
        <v>110</v>
      </c>
      <c r="B7" s="549">
        <v>1140</v>
      </c>
      <c r="C7" s="466">
        <v>1580</v>
      </c>
      <c r="D7" s="466"/>
      <c r="E7" s="468"/>
      <c r="F7" s="467"/>
      <c r="G7" s="467"/>
      <c r="H7" s="467"/>
      <c r="I7" s="468"/>
      <c r="J7" s="468"/>
      <c r="K7" s="468"/>
    </row>
    <row r="8" spans="1:12" x14ac:dyDescent="0.2">
      <c r="A8" s="463" t="s">
        <v>413</v>
      </c>
      <c r="B8" s="470">
        <v>1150</v>
      </c>
      <c r="C8" s="475"/>
      <c r="D8" s="475"/>
      <c r="E8" s="477"/>
      <c r="F8" s="477"/>
      <c r="G8" s="481">
        <v>16969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v>3950</v>
      </c>
      <c r="I11" s="466"/>
      <c r="J11" s="467"/>
      <c r="K11" s="466"/>
      <c r="L11" s="552"/>
    </row>
    <row r="12" spans="1:12" ht="12.75" customHeight="1" thickBot="1" x14ac:dyDescent="0.25">
      <c r="A12" s="1705" t="s">
        <v>29</v>
      </c>
      <c r="B12" s="1706"/>
      <c r="C12" s="1707">
        <f t="shared" ref="C12:K12" si="0">SUM(C5:C11)</f>
        <v>120078</v>
      </c>
      <c r="D12" s="1707">
        <f t="shared" si="0"/>
        <v>27650</v>
      </c>
      <c r="E12" s="1707">
        <f t="shared" si="0"/>
        <v>13138</v>
      </c>
      <c r="F12" s="1707">
        <f t="shared" si="0"/>
        <v>15800</v>
      </c>
      <c r="G12" s="1707">
        <f t="shared" si="0"/>
        <v>28211</v>
      </c>
      <c r="H12" s="1707">
        <f t="shared" si="0"/>
        <v>3950</v>
      </c>
      <c r="I12" s="1707">
        <f t="shared" si="0"/>
        <v>3950</v>
      </c>
      <c r="J12" s="1707">
        <f t="shared" si="0"/>
        <v>63697</v>
      </c>
      <c r="K12" s="1688">
        <f t="shared" si="0"/>
        <v>3950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17757</v>
      </c>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17757</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213</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213</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77</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77</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1452</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1452</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43372</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5038</v>
      </c>
      <c r="D107" s="466">
        <v>9259</v>
      </c>
      <c r="E107" s="466"/>
      <c r="F107" s="466"/>
      <c r="G107" s="466"/>
      <c r="H107" s="466"/>
      <c r="I107" s="466"/>
      <c r="J107" s="467"/>
      <c r="K107" s="466"/>
    </row>
    <row r="108" spans="1:12" ht="12.75" customHeight="1" thickBot="1" x14ac:dyDescent="0.25">
      <c r="A108" s="1708" t="s">
        <v>487</v>
      </c>
      <c r="B108" s="1712"/>
      <c r="C108" s="1707">
        <f>SUM(C95:C107)</f>
        <v>5038</v>
      </c>
      <c r="D108" s="1707">
        <f t="shared" ref="D108:K108" si="3">SUM(D95:D107)</f>
        <v>9259</v>
      </c>
      <c r="E108" s="1707">
        <f t="shared" si="3"/>
        <v>0</v>
      </c>
      <c r="F108" s="1707">
        <f t="shared" si="3"/>
        <v>0</v>
      </c>
      <c r="G108" s="1707">
        <f t="shared" si="3"/>
        <v>0</v>
      </c>
      <c r="H108" s="1707">
        <f t="shared" si="3"/>
        <v>43372</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144615</v>
      </c>
      <c r="D109" s="1715">
        <f t="shared" si="4"/>
        <v>36909</v>
      </c>
      <c r="E109" s="1715">
        <f t="shared" si="4"/>
        <v>13138</v>
      </c>
      <c r="F109" s="1715">
        <f t="shared" si="4"/>
        <v>15800</v>
      </c>
      <c r="G109" s="1715">
        <f t="shared" si="4"/>
        <v>28211</v>
      </c>
      <c r="H109" s="1715">
        <f t="shared" si="4"/>
        <v>47322</v>
      </c>
      <c r="I109" s="1715">
        <f t="shared" si="4"/>
        <v>3950</v>
      </c>
      <c r="J109" s="1715">
        <f t="shared" si="4"/>
        <v>63697</v>
      </c>
      <c r="K109" s="1702">
        <f t="shared" si="4"/>
        <v>3950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654818</v>
      </c>
      <c r="D117" s="481">
        <v>31657</v>
      </c>
      <c r="E117" s="466"/>
      <c r="F117" s="481">
        <v>10000</v>
      </c>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t="s">
        <v>2076</v>
      </c>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654818</v>
      </c>
      <c r="D122" s="1707">
        <f t="shared" si="5"/>
        <v>31657</v>
      </c>
      <c r="E122" s="1707">
        <f t="shared" si="5"/>
        <v>0</v>
      </c>
      <c r="F122" s="1707">
        <f t="shared" si="5"/>
        <v>10000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1346</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23883</v>
      </c>
      <c r="G152" s="467"/>
      <c r="H152" s="468"/>
      <c r="I152" s="468"/>
      <c r="J152" s="468"/>
      <c r="K152" s="468"/>
    </row>
    <row r="153" spans="1:11" ht="12.75" customHeight="1" x14ac:dyDescent="0.2">
      <c r="A153" s="463" t="s">
        <v>1057</v>
      </c>
      <c r="B153" s="562">
        <v>3510</v>
      </c>
      <c r="C153" s="551"/>
      <c r="D153" s="466"/>
      <c r="E153" s="561"/>
      <c r="F153" s="466">
        <v>27036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50919</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25835</v>
      </c>
      <c r="D168" s="580"/>
      <c r="E168" s="580"/>
      <c r="F168" s="580"/>
      <c r="G168" s="581"/>
      <c r="H168" s="582"/>
      <c r="I168" s="581"/>
      <c r="J168" s="581"/>
      <c r="K168" s="582"/>
    </row>
    <row r="169" spans="1:11" ht="12.75" customHeight="1" thickTop="1" thickBot="1" x14ac:dyDescent="0.25">
      <c r="A169" s="2142" t="s">
        <v>398</v>
      </c>
      <c r="B169" s="2143"/>
      <c r="C169" s="1722">
        <f t="shared" ref="C169:K169" si="6">SUM(C132,C141,C145,C146:C150,C155,C156:C167,C168)</f>
        <v>27181</v>
      </c>
      <c r="D169" s="1722">
        <f t="shared" si="6"/>
        <v>0</v>
      </c>
      <c r="E169" s="1722">
        <f t="shared" si="6"/>
        <v>0</v>
      </c>
      <c r="F169" s="1722">
        <f t="shared" si="6"/>
        <v>50919</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681999</v>
      </c>
      <c r="D170" s="1715">
        <f t="shared" si="7"/>
        <v>31657</v>
      </c>
      <c r="E170" s="1715">
        <f t="shared" si="7"/>
        <v>0</v>
      </c>
      <c r="F170" s="1715">
        <f t="shared" si="7"/>
        <v>60919</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v>13675</v>
      </c>
      <c r="D174" s="466"/>
      <c r="E174" s="467"/>
      <c r="F174" s="466"/>
      <c r="G174" s="466"/>
      <c r="H174" s="467"/>
      <c r="I174" s="467"/>
      <c r="J174" s="467"/>
      <c r="K174" s="467"/>
    </row>
    <row r="175" spans="1:11" ht="13.5" thickBot="1" x14ac:dyDescent="0.25">
      <c r="A175" s="2148" t="s">
        <v>1665</v>
      </c>
      <c r="B175" s="2149"/>
      <c r="C175" s="1707">
        <f>SUM(C173:C174)</f>
        <v>13675</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0" t="s">
        <v>785</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1803</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40697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18612</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59309</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13472</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13472</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8998</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8998</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2544</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13700</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98023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111698</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938312</v>
      </c>
      <c r="D268" s="1715">
        <f t="shared" si="12"/>
        <v>68566</v>
      </c>
      <c r="E268" s="1715">
        <f t="shared" si="12"/>
        <v>13138</v>
      </c>
      <c r="F268" s="1715">
        <f t="shared" si="12"/>
        <v>76719</v>
      </c>
      <c r="G268" s="1715">
        <f t="shared" si="12"/>
        <v>28211</v>
      </c>
      <c r="H268" s="1715">
        <f t="shared" si="12"/>
        <v>47322</v>
      </c>
      <c r="I268" s="1715">
        <f t="shared" si="12"/>
        <v>3950</v>
      </c>
      <c r="J268" s="1715">
        <f t="shared" si="12"/>
        <v>63697</v>
      </c>
      <c r="K268" s="1702">
        <f t="shared" si="12"/>
        <v>3950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&amp;L&amp;8"The notes are an integral part of these statements"&amp;CPages 9-14</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34" colorId="8" zoomScale="110" zoomScaleNormal="110" workbookViewId="0">
      <selection activeCell="G15" sqref="G1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410887</v>
      </c>
      <c r="D5" s="466">
        <v>106336</v>
      </c>
      <c r="E5" s="466"/>
      <c r="F5" s="466">
        <v>9883</v>
      </c>
      <c r="G5" s="466">
        <v>2927</v>
      </c>
      <c r="H5" s="466">
        <v>11980</v>
      </c>
      <c r="I5" s="467"/>
      <c r="J5" s="467"/>
      <c r="K5" s="1671">
        <f>SUM(C5:J5)</f>
        <v>542013</v>
      </c>
      <c r="L5" s="466">
        <v>494534</v>
      </c>
    </row>
    <row r="6" spans="1:14" x14ac:dyDescent="0.2">
      <c r="A6" s="1504" t="s">
        <v>1433</v>
      </c>
      <c r="B6" s="614" t="s">
        <v>1431</v>
      </c>
      <c r="C6" s="477"/>
      <c r="D6" s="477"/>
      <c r="E6" s="466"/>
      <c r="F6" s="477"/>
      <c r="G6" s="477"/>
      <c r="H6" s="477"/>
      <c r="I6" s="477"/>
      <c r="J6" s="477"/>
      <c r="K6" s="1671">
        <f>SUM(C6,E6)</f>
        <v>0</v>
      </c>
      <c r="L6" s="466">
        <v>0</v>
      </c>
    </row>
    <row r="7" spans="1:14" x14ac:dyDescent="0.2">
      <c r="A7" s="1504" t="s">
        <v>163</v>
      </c>
      <c r="B7" s="614" t="s">
        <v>967</v>
      </c>
      <c r="C7" s="467"/>
      <c r="D7" s="467"/>
      <c r="E7" s="467"/>
      <c r="F7" s="467"/>
      <c r="G7" s="467"/>
      <c r="H7" s="467"/>
      <c r="I7" s="467"/>
      <c r="J7" s="467"/>
      <c r="K7" s="1671">
        <f t="shared" ref="K7:K32" si="0">SUM(C7:J7)</f>
        <v>0</v>
      </c>
      <c r="L7" s="466">
        <v>0</v>
      </c>
    </row>
    <row r="8" spans="1:14" x14ac:dyDescent="0.2">
      <c r="A8" s="1504" t="s">
        <v>164</v>
      </c>
      <c r="B8" s="614">
        <v>1200</v>
      </c>
      <c r="C8" s="466">
        <v>10422</v>
      </c>
      <c r="D8" s="466"/>
      <c r="E8" s="466"/>
      <c r="F8" s="466">
        <v>6875</v>
      </c>
      <c r="G8" s="466"/>
      <c r="H8" s="466"/>
      <c r="I8" s="467"/>
      <c r="J8" s="467"/>
      <c r="K8" s="1671">
        <f t="shared" si="0"/>
        <v>17297</v>
      </c>
      <c r="L8" s="466">
        <v>43788</v>
      </c>
    </row>
    <row r="9" spans="1:14" x14ac:dyDescent="0.2">
      <c r="A9" s="1504" t="s">
        <v>721</v>
      </c>
      <c r="B9" s="614" t="s">
        <v>968</v>
      </c>
      <c r="C9" s="467"/>
      <c r="D9" s="467"/>
      <c r="E9" s="467"/>
      <c r="F9" s="467"/>
      <c r="G9" s="467"/>
      <c r="H9" s="467"/>
      <c r="I9" s="467"/>
      <c r="J9" s="467"/>
      <c r="K9" s="1671">
        <f t="shared" si="0"/>
        <v>0</v>
      </c>
      <c r="L9" s="466">
        <v>0</v>
      </c>
    </row>
    <row r="10" spans="1:14" x14ac:dyDescent="0.2">
      <c r="A10" s="1504" t="s">
        <v>722</v>
      </c>
      <c r="B10" s="614">
        <v>1250</v>
      </c>
      <c r="C10" s="466">
        <v>26385</v>
      </c>
      <c r="D10" s="466"/>
      <c r="E10" s="466">
        <v>5929</v>
      </c>
      <c r="F10" s="466">
        <v>10788</v>
      </c>
      <c r="G10" s="466">
        <v>13684</v>
      </c>
      <c r="H10" s="466">
        <v>75</v>
      </c>
      <c r="I10" s="467"/>
      <c r="J10" s="467"/>
      <c r="K10" s="1671">
        <f t="shared" si="0"/>
        <v>56861</v>
      </c>
      <c r="L10" s="466">
        <v>63364</v>
      </c>
    </row>
    <row r="11" spans="1:14" x14ac:dyDescent="0.2">
      <c r="A11" s="1504" t="s">
        <v>1130</v>
      </c>
      <c r="B11" s="614" t="s">
        <v>161</v>
      </c>
      <c r="C11" s="467"/>
      <c r="D11" s="467"/>
      <c r="E11" s="467"/>
      <c r="F11" s="467"/>
      <c r="G11" s="467"/>
      <c r="H11" s="467"/>
      <c r="I11" s="467"/>
      <c r="J11" s="467"/>
      <c r="K11" s="1671">
        <f t="shared" si="0"/>
        <v>0</v>
      </c>
      <c r="L11" s="466">
        <v>0</v>
      </c>
    </row>
    <row r="12" spans="1:14" x14ac:dyDescent="0.2">
      <c r="A12" s="1504" t="s">
        <v>962</v>
      </c>
      <c r="B12" s="614">
        <v>1300</v>
      </c>
      <c r="C12" s="466"/>
      <c r="D12" s="466"/>
      <c r="E12" s="466"/>
      <c r="F12" s="466"/>
      <c r="G12" s="466"/>
      <c r="H12" s="466"/>
      <c r="I12" s="467"/>
      <c r="J12" s="467"/>
      <c r="K12" s="1671">
        <f t="shared" si="0"/>
        <v>0</v>
      </c>
      <c r="L12" s="466">
        <v>0</v>
      </c>
    </row>
    <row r="13" spans="1:14" x14ac:dyDescent="0.2">
      <c r="A13" s="1504" t="s">
        <v>723</v>
      </c>
      <c r="B13" s="614">
        <v>1400</v>
      </c>
      <c r="C13" s="466"/>
      <c r="D13" s="466"/>
      <c r="E13" s="466"/>
      <c r="F13" s="466"/>
      <c r="G13" s="466"/>
      <c r="H13" s="466"/>
      <c r="I13" s="467"/>
      <c r="J13" s="467"/>
      <c r="K13" s="1671">
        <f t="shared" si="0"/>
        <v>0</v>
      </c>
      <c r="L13" s="466">
        <v>0</v>
      </c>
    </row>
    <row r="14" spans="1:14" x14ac:dyDescent="0.2">
      <c r="A14" s="1504" t="s">
        <v>963</v>
      </c>
      <c r="B14" s="614">
        <v>1500</v>
      </c>
      <c r="C14" s="466"/>
      <c r="D14" s="466"/>
      <c r="E14" s="466">
        <v>6240</v>
      </c>
      <c r="F14" s="466"/>
      <c r="G14" s="466"/>
      <c r="H14" s="466">
        <v>500</v>
      </c>
      <c r="I14" s="467"/>
      <c r="J14" s="467"/>
      <c r="K14" s="1671">
        <f t="shared" si="0"/>
        <v>6740</v>
      </c>
      <c r="L14" s="466">
        <v>11000</v>
      </c>
    </row>
    <row r="15" spans="1:14" x14ac:dyDescent="0.2">
      <c r="A15" s="1504" t="s">
        <v>964</v>
      </c>
      <c r="B15" s="614">
        <v>1600</v>
      </c>
      <c r="C15" s="466"/>
      <c r="D15" s="466"/>
      <c r="E15" s="466"/>
      <c r="F15" s="466"/>
      <c r="G15" s="466"/>
      <c r="H15" s="466"/>
      <c r="I15" s="467"/>
      <c r="J15" s="467"/>
      <c r="K15" s="1671">
        <f t="shared" si="0"/>
        <v>0</v>
      </c>
      <c r="L15" s="466">
        <v>0</v>
      </c>
    </row>
    <row r="16" spans="1:14" x14ac:dyDescent="0.2">
      <c r="A16" s="1504" t="s">
        <v>987</v>
      </c>
      <c r="B16" s="614" t="s">
        <v>424</v>
      </c>
      <c r="C16" s="466"/>
      <c r="D16" s="466"/>
      <c r="E16" s="466"/>
      <c r="F16" s="466"/>
      <c r="G16" s="466"/>
      <c r="H16" s="466"/>
      <c r="I16" s="467"/>
      <c r="J16" s="467"/>
      <c r="K16" s="1671">
        <f t="shared" si="0"/>
        <v>0</v>
      </c>
      <c r="L16" s="466">
        <v>0</v>
      </c>
    </row>
    <row r="17" spans="1:12" x14ac:dyDescent="0.2">
      <c r="A17" s="1504" t="s">
        <v>724</v>
      </c>
      <c r="B17" s="614" t="s">
        <v>162</v>
      </c>
      <c r="C17" s="467"/>
      <c r="D17" s="467"/>
      <c r="E17" s="467"/>
      <c r="F17" s="467"/>
      <c r="G17" s="467"/>
      <c r="H17" s="467"/>
      <c r="I17" s="467"/>
      <c r="J17" s="467"/>
      <c r="K17" s="1671">
        <f t="shared" si="0"/>
        <v>0</v>
      </c>
      <c r="L17" s="466">
        <v>0</v>
      </c>
    </row>
    <row r="18" spans="1:12" x14ac:dyDescent="0.2">
      <c r="A18" s="1504" t="s">
        <v>1087</v>
      </c>
      <c r="B18" s="614">
        <v>1800</v>
      </c>
      <c r="C18" s="466"/>
      <c r="D18" s="466"/>
      <c r="E18" s="466"/>
      <c r="F18" s="466"/>
      <c r="G18" s="466"/>
      <c r="H18" s="466"/>
      <c r="I18" s="467"/>
      <c r="J18" s="467"/>
      <c r="K18" s="1671">
        <f t="shared" si="0"/>
        <v>0</v>
      </c>
      <c r="L18" s="466">
        <v>0</v>
      </c>
    </row>
    <row r="19" spans="1:12" x14ac:dyDescent="0.2">
      <c r="A19" s="1504" t="s">
        <v>134</v>
      </c>
      <c r="B19" s="614">
        <v>1900</v>
      </c>
      <c r="C19" s="466"/>
      <c r="D19" s="466"/>
      <c r="E19" s="466"/>
      <c r="F19" s="466"/>
      <c r="G19" s="466"/>
      <c r="H19" s="466"/>
      <c r="I19" s="467"/>
      <c r="J19" s="467"/>
      <c r="K19" s="1671">
        <f t="shared" si="0"/>
        <v>0</v>
      </c>
      <c r="L19" s="466">
        <v>0</v>
      </c>
    </row>
    <row r="20" spans="1:12" x14ac:dyDescent="0.2">
      <c r="A20" s="1505" t="s">
        <v>738</v>
      </c>
      <c r="B20" s="602" t="s">
        <v>725</v>
      </c>
      <c r="C20" s="477"/>
      <c r="D20" s="477"/>
      <c r="E20" s="477"/>
      <c r="F20" s="477"/>
      <c r="G20" s="477"/>
      <c r="H20" s="474"/>
      <c r="I20" s="616"/>
      <c r="J20" s="475"/>
      <c r="K20" s="1671">
        <f t="shared" si="0"/>
        <v>0</v>
      </c>
      <c r="L20" s="471">
        <v>0</v>
      </c>
    </row>
    <row r="21" spans="1:12" x14ac:dyDescent="0.2">
      <c r="A21" s="1505" t="s">
        <v>739</v>
      </c>
      <c r="B21" s="602" t="s">
        <v>726</v>
      </c>
      <c r="C21" s="477"/>
      <c r="D21" s="477"/>
      <c r="E21" s="477"/>
      <c r="F21" s="477"/>
      <c r="G21" s="477"/>
      <c r="H21" s="474"/>
      <c r="I21" s="616"/>
      <c r="J21" s="477"/>
      <c r="K21" s="1671">
        <f t="shared" si="0"/>
        <v>0</v>
      </c>
      <c r="L21" s="471">
        <v>0</v>
      </c>
    </row>
    <row r="22" spans="1:12" x14ac:dyDescent="0.2">
      <c r="A22" s="1505" t="s">
        <v>740</v>
      </c>
      <c r="B22" s="602" t="s">
        <v>727</v>
      </c>
      <c r="C22" s="477"/>
      <c r="D22" s="477"/>
      <c r="E22" s="477"/>
      <c r="F22" s="477"/>
      <c r="G22" s="477"/>
      <c r="H22" s="474"/>
      <c r="I22" s="616"/>
      <c r="J22" s="477"/>
      <c r="K22" s="1671">
        <f t="shared" si="0"/>
        <v>0</v>
      </c>
      <c r="L22" s="471">
        <v>0</v>
      </c>
    </row>
    <row r="23" spans="1:12" x14ac:dyDescent="0.2">
      <c r="A23" s="1505" t="s">
        <v>741</v>
      </c>
      <c r="B23" s="602" t="s">
        <v>728</v>
      </c>
      <c r="C23" s="477"/>
      <c r="D23" s="477"/>
      <c r="E23" s="477"/>
      <c r="F23" s="477"/>
      <c r="G23" s="477"/>
      <c r="H23" s="474"/>
      <c r="I23" s="616"/>
      <c r="J23" s="477"/>
      <c r="K23" s="1671">
        <f t="shared" si="0"/>
        <v>0</v>
      </c>
      <c r="L23" s="471">
        <v>0</v>
      </c>
    </row>
    <row r="24" spans="1:12" ht="12.75" customHeight="1" x14ac:dyDescent="0.2">
      <c r="A24" s="1505" t="s">
        <v>742</v>
      </c>
      <c r="B24" s="602" t="s">
        <v>729</v>
      </c>
      <c r="C24" s="477"/>
      <c r="D24" s="477"/>
      <c r="E24" s="477"/>
      <c r="F24" s="477"/>
      <c r="G24" s="477"/>
      <c r="H24" s="474"/>
      <c r="I24" s="616"/>
      <c r="J24" s="477"/>
      <c r="K24" s="1671">
        <f t="shared" si="0"/>
        <v>0</v>
      </c>
      <c r="L24" s="471">
        <v>0</v>
      </c>
    </row>
    <row r="25" spans="1:12" ht="12.75" customHeight="1" x14ac:dyDescent="0.2">
      <c r="A25" s="1505" t="s">
        <v>802</v>
      </c>
      <c r="B25" s="602" t="s">
        <v>730</v>
      </c>
      <c r="C25" s="477"/>
      <c r="D25" s="477"/>
      <c r="E25" s="477"/>
      <c r="F25" s="477"/>
      <c r="G25" s="477"/>
      <c r="H25" s="474"/>
      <c r="I25" s="616"/>
      <c r="J25" s="477"/>
      <c r="K25" s="1671">
        <f t="shared" si="0"/>
        <v>0</v>
      </c>
      <c r="L25" s="471">
        <v>0</v>
      </c>
    </row>
    <row r="26" spans="1:12" x14ac:dyDescent="0.2">
      <c r="A26" s="1505" t="s">
        <v>622</v>
      </c>
      <c r="B26" s="602" t="s">
        <v>731</v>
      </c>
      <c r="C26" s="477"/>
      <c r="D26" s="477"/>
      <c r="E26" s="477"/>
      <c r="F26" s="477"/>
      <c r="G26" s="477"/>
      <c r="H26" s="474"/>
      <c r="I26" s="616"/>
      <c r="J26" s="477"/>
      <c r="K26" s="1671">
        <f t="shared" si="0"/>
        <v>0</v>
      </c>
      <c r="L26" s="471">
        <v>0</v>
      </c>
    </row>
    <row r="27" spans="1:12" x14ac:dyDescent="0.2">
      <c r="A27" s="1505" t="s">
        <v>623</v>
      </c>
      <c r="B27" s="602" t="s">
        <v>732</v>
      </c>
      <c r="C27" s="477"/>
      <c r="D27" s="477"/>
      <c r="E27" s="477"/>
      <c r="F27" s="477"/>
      <c r="G27" s="477"/>
      <c r="H27" s="474"/>
      <c r="I27" s="616"/>
      <c r="J27" s="477"/>
      <c r="K27" s="1671">
        <f t="shared" si="0"/>
        <v>0</v>
      </c>
      <c r="L27" s="471">
        <v>0</v>
      </c>
    </row>
    <row r="28" spans="1:12" x14ac:dyDescent="0.2">
      <c r="A28" s="1505" t="s">
        <v>150</v>
      </c>
      <c r="B28" s="602" t="s">
        <v>733</v>
      </c>
      <c r="C28" s="477"/>
      <c r="D28" s="477"/>
      <c r="E28" s="477"/>
      <c r="F28" s="477"/>
      <c r="G28" s="477"/>
      <c r="H28" s="474"/>
      <c r="I28" s="616"/>
      <c r="J28" s="477"/>
      <c r="K28" s="1671">
        <f t="shared" si="0"/>
        <v>0</v>
      </c>
      <c r="L28" s="471">
        <v>0</v>
      </c>
    </row>
    <row r="29" spans="1:12" x14ac:dyDescent="0.2">
      <c r="A29" s="1505" t="s">
        <v>151</v>
      </c>
      <c r="B29" s="602" t="s">
        <v>734</v>
      </c>
      <c r="C29" s="477"/>
      <c r="D29" s="477"/>
      <c r="E29" s="477"/>
      <c r="F29" s="477"/>
      <c r="G29" s="477"/>
      <c r="H29" s="474"/>
      <c r="I29" s="616"/>
      <c r="J29" s="477"/>
      <c r="K29" s="1671">
        <f t="shared" si="0"/>
        <v>0</v>
      </c>
      <c r="L29" s="471">
        <v>0</v>
      </c>
    </row>
    <row r="30" spans="1:12" x14ac:dyDescent="0.2">
      <c r="A30" s="1505" t="s">
        <v>152</v>
      </c>
      <c r="B30" s="602" t="s">
        <v>735</v>
      </c>
      <c r="C30" s="477"/>
      <c r="D30" s="477"/>
      <c r="E30" s="477"/>
      <c r="F30" s="477"/>
      <c r="G30" s="477"/>
      <c r="H30" s="474"/>
      <c r="I30" s="616"/>
      <c r="J30" s="477"/>
      <c r="K30" s="1671">
        <f t="shared" si="0"/>
        <v>0</v>
      </c>
      <c r="L30" s="471">
        <v>0</v>
      </c>
    </row>
    <row r="31" spans="1:12" x14ac:dyDescent="0.2">
      <c r="A31" s="1505" t="s">
        <v>153</v>
      </c>
      <c r="B31" s="602" t="s">
        <v>736</v>
      </c>
      <c r="C31" s="477"/>
      <c r="D31" s="477"/>
      <c r="E31" s="477"/>
      <c r="F31" s="477"/>
      <c r="G31" s="477"/>
      <c r="H31" s="474"/>
      <c r="I31" s="616"/>
      <c r="J31" s="477"/>
      <c r="K31" s="1671">
        <f t="shared" si="0"/>
        <v>0</v>
      </c>
      <c r="L31" s="471">
        <v>0</v>
      </c>
    </row>
    <row r="32" spans="1:12" x14ac:dyDescent="0.2">
      <c r="A32" s="1506" t="s">
        <v>1129</v>
      </c>
      <c r="B32" s="614" t="s">
        <v>737</v>
      </c>
      <c r="C32" s="477"/>
      <c r="D32" s="477"/>
      <c r="E32" s="477"/>
      <c r="F32" s="477"/>
      <c r="G32" s="477"/>
      <c r="H32" s="474"/>
      <c r="I32" s="616"/>
      <c r="J32" s="480"/>
      <c r="K32" s="1671">
        <f t="shared" si="0"/>
        <v>0</v>
      </c>
      <c r="L32" s="471">
        <v>0</v>
      </c>
    </row>
    <row r="33" spans="1:14" ht="12.75" customHeight="1" thickBot="1" x14ac:dyDescent="0.25">
      <c r="A33" s="1668" t="s">
        <v>1668</v>
      </c>
      <c r="B33" s="1669" t="s">
        <v>570</v>
      </c>
      <c r="C33" s="1670">
        <f>SUM(C5:C32)</f>
        <v>447694</v>
      </c>
      <c r="D33" s="1670">
        <f t="shared" ref="D33:L33" si="1">SUM(D5:D32)</f>
        <v>106336</v>
      </c>
      <c r="E33" s="1670">
        <f t="shared" si="1"/>
        <v>12169</v>
      </c>
      <c r="F33" s="1670">
        <f t="shared" si="1"/>
        <v>27546</v>
      </c>
      <c r="G33" s="1670">
        <f t="shared" si="1"/>
        <v>16611</v>
      </c>
      <c r="H33" s="1670">
        <f t="shared" si="1"/>
        <v>12555</v>
      </c>
      <c r="I33" s="1670">
        <f t="shared" si="1"/>
        <v>0</v>
      </c>
      <c r="J33" s="1670">
        <f t="shared" si="1"/>
        <v>0</v>
      </c>
      <c r="K33" s="1670">
        <f t="shared" si="1"/>
        <v>622911</v>
      </c>
      <c r="L33" s="1670">
        <f t="shared" si="1"/>
        <v>612686</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v>0</v>
      </c>
    </row>
    <row r="37" spans="1:14" x14ac:dyDescent="0.2">
      <c r="A37" s="1504" t="s">
        <v>1090</v>
      </c>
      <c r="B37" s="614">
        <v>2120</v>
      </c>
      <c r="C37" s="466"/>
      <c r="D37" s="466"/>
      <c r="E37" s="466"/>
      <c r="F37" s="466"/>
      <c r="G37" s="466"/>
      <c r="H37" s="466"/>
      <c r="I37" s="467"/>
      <c r="J37" s="467"/>
      <c r="K37" s="1671">
        <f t="shared" si="2"/>
        <v>0</v>
      </c>
      <c r="L37" s="466">
        <v>0</v>
      </c>
    </row>
    <row r="38" spans="1:14" x14ac:dyDescent="0.2">
      <c r="A38" s="1504" t="s">
        <v>198</v>
      </c>
      <c r="B38" s="614">
        <v>2130</v>
      </c>
      <c r="C38" s="466"/>
      <c r="D38" s="466"/>
      <c r="E38" s="466">
        <v>353</v>
      </c>
      <c r="F38" s="466">
        <v>414</v>
      </c>
      <c r="G38" s="466"/>
      <c r="H38" s="466"/>
      <c r="I38" s="467"/>
      <c r="J38" s="467"/>
      <c r="K38" s="1671">
        <f t="shared" si="2"/>
        <v>767</v>
      </c>
      <c r="L38" s="466">
        <v>200</v>
      </c>
    </row>
    <row r="39" spans="1:14" x14ac:dyDescent="0.2">
      <c r="A39" s="1504" t="s">
        <v>199</v>
      </c>
      <c r="B39" s="614">
        <v>2140</v>
      </c>
      <c r="C39" s="466"/>
      <c r="D39" s="466"/>
      <c r="E39" s="466"/>
      <c r="F39" s="466"/>
      <c r="G39" s="466"/>
      <c r="H39" s="466"/>
      <c r="I39" s="467"/>
      <c r="J39" s="467"/>
      <c r="K39" s="1671">
        <f t="shared" si="2"/>
        <v>0</v>
      </c>
      <c r="L39" s="466">
        <v>0</v>
      </c>
    </row>
    <row r="40" spans="1:14" x14ac:dyDescent="0.2">
      <c r="A40" s="1504" t="s">
        <v>200</v>
      </c>
      <c r="B40" s="614">
        <v>2150</v>
      </c>
      <c r="C40" s="466">
        <v>19994</v>
      </c>
      <c r="D40" s="466">
        <v>2088</v>
      </c>
      <c r="E40" s="466"/>
      <c r="F40" s="466"/>
      <c r="G40" s="466"/>
      <c r="H40" s="466"/>
      <c r="I40" s="467"/>
      <c r="J40" s="467"/>
      <c r="K40" s="1671">
        <f t="shared" si="2"/>
        <v>22082</v>
      </c>
      <c r="L40" s="466">
        <v>21700</v>
      </c>
    </row>
    <row r="41" spans="1:14" x14ac:dyDescent="0.2">
      <c r="A41" s="1504" t="s">
        <v>1669</v>
      </c>
      <c r="B41" s="614">
        <v>2190</v>
      </c>
      <c r="C41" s="466"/>
      <c r="D41" s="466"/>
      <c r="E41" s="466"/>
      <c r="F41" s="466"/>
      <c r="G41" s="466"/>
      <c r="H41" s="466"/>
      <c r="I41" s="467"/>
      <c r="J41" s="467"/>
      <c r="K41" s="1671">
        <f t="shared" si="2"/>
        <v>0</v>
      </c>
      <c r="L41" s="466">
        <v>0</v>
      </c>
    </row>
    <row r="42" spans="1:14" ht="12.75" customHeight="1" thickBot="1" x14ac:dyDescent="0.25">
      <c r="A42" s="1668" t="s">
        <v>560</v>
      </c>
      <c r="B42" s="1669" t="s">
        <v>716</v>
      </c>
      <c r="C42" s="1670">
        <f>SUM(C36:C41)</f>
        <v>19994</v>
      </c>
      <c r="D42" s="1670">
        <f t="shared" ref="D42:L42" si="3">SUM(D36:D41)</f>
        <v>2088</v>
      </c>
      <c r="E42" s="1670">
        <f t="shared" si="3"/>
        <v>353</v>
      </c>
      <c r="F42" s="1670">
        <f t="shared" si="3"/>
        <v>414</v>
      </c>
      <c r="G42" s="1670">
        <f t="shared" si="3"/>
        <v>0</v>
      </c>
      <c r="H42" s="1670">
        <f t="shared" si="3"/>
        <v>0</v>
      </c>
      <c r="I42" s="1670">
        <f t="shared" si="3"/>
        <v>0</v>
      </c>
      <c r="J42" s="1670">
        <f t="shared" si="3"/>
        <v>0</v>
      </c>
      <c r="K42" s="1670">
        <f t="shared" si="3"/>
        <v>22849</v>
      </c>
      <c r="L42" s="1670">
        <f t="shared" si="3"/>
        <v>21900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c r="G44" s="481"/>
      <c r="H44" s="481"/>
      <c r="I44" s="467"/>
      <c r="J44" s="467"/>
      <c r="K44" s="1672">
        <f>SUM(C44:J44)</f>
        <v>0</v>
      </c>
      <c r="L44" s="481">
        <v>0</v>
      </c>
    </row>
    <row r="45" spans="1:14" x14ac:dyDescent="0.2">
      <c r="A45" s="1504" t="s">
        <v>815</v>
      </c>
      <c r="B45" s="614">
        <v>2220</v>
      </c>
      <c r="C45" s="466"/>
      <c r="D45" s="466"/>
      <c r="E45" s="466"/>
      <c r="F45" s="466"/>
      <c r="G45" s="466"/>
      <c r="H45" s="466"/>
      <c r="I45" s="467"/>
      <c r="J45" s="467"/>
      <c r="K45" s="1672">
        <f>SUM(C45:J45)</f>
        <v>0</v>
      </c>
      <c r="L45" s="466">
        <v>0</v>
      </c>
    </row>
    <row r="46" spans="1:14" x14ac:dyDescent="0.2">
      <c r="A46" s="1504" t="s">
        <v>816</v>
      </c>
      <c r="B46" s="614">
        <v>2230</v>
      </c>
      <c r="C46" s="466"/>
      <c r="D46" s="466"/>
      <c r="E46" s="466"/>
      <c r="F46" s="466"/>
      <c r="G46" s="466"/>
      <c r="H46" s="466"/>
      <c r="I46" s="467"/>
      <c r="J46" s="467"/>
      <c r="K46" s="1672">
        <f>SUM(C46:J46)</f>
        <v>0</v>
      </c>
      <c r="L46" s="466">
        <v>0</v>
      </c>
    </row>
    <row r="47" spans="1:14" ht="12.75" customHeight="1" thickBot="1" x14ac:dyDescent="0.25">
      <c r="A47" s="1668" t="s">
        <v>561</v>
      </c>
      <c r="B47" s="1669" t="s">
        <v>32</v>
      </c>
      <c r="C47" s="1670">
        <f>SUM(C44:C46)</f>
        <v>0</v>
      </c>
      <c r="D47" s="1670">
        <f t="shared" ref="D47:K47" si="4">SUM(D44:D46)</f>
        <v>0</v>
      </c>
      <c r="E47" s="1670">
        <f t="shared" si="4"/>
        <v>0</v>
      </c>
      <c r="F47" s="1670">
        <f t="shared" si="4"/>
        <v>0</v>
      </c>
      <c r="G47" s="1670">
        <f t="shared" si="4"/>
        <v>0</v>
      </c>
      <c r="H47" s="1670">
        <f t="shared" si="4"/>
        <v>0</v>
      </c>
      <c r="I47" s="1670">
        <f t="shared" si="4"/>
        <v>0</v>
      </c>
      <c r="J47" s="1670">
        <f t="shared" si="4"/>
        <v>0</v>
      </c>
      <c r="K47" s="1670">
        <f t="shared" si="4"/>
        <v>0</v>
      </c>
      <c r="L47" s="1670">
        <f>SUM(L44:L46)</f>
        <v>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2992</v>
      </c>
      <c r="F49" s="481"/>
      <c r="G49" s="481"/>
      <c r="H49" s="481"/>
      <c r="I49" s="467"/>
      <c r="J49" s="467"/>
      <c r="K49" s="1672">
        <f>SUM(C49:J49)</f>
        <v>2992</v>
      </c>
      <c r="L49" s="481">
        <v>9000</v>
      </c>
    </row>
    <row r="50" spans="1:14" x14ac:dyDescent="0.2">
      <c r="A50" s="1504" t="s">
        <v>818</v>
      </c>
      <c r="B50" s="614">
        <v>2320</v>
      </c>
      <c r="C50" s="466">
        <v>52000</v>
      </c>
      <c r="D50" s="466">
        <v>15098</v>
      </c>
      <c r="E50" s="466"/>
      <c r="F50" s="466">
        <v>1328</v>
      </c>
      <c r="G50" s="466"/>
      <c r="H50" s="466">
        <v>2013</v>
      </c>
      <c r="I50" s="467"/>
      <c r="J50" s="467"/>
      <c r="K50" s="1672">
        <f>SUM(C50:J50)</f>
        <v>70439</v>
      </c>
      <c r="L50" s="466">
        <v>56300</v>
      </c>
    </row>
    <row r="51" spans="1:14" x14ac:dyDescent="0.2">
      <c r="A51" s="1504" t="s">
        <v>42</v>
      </c>
      <c r="B51" s="614">
        <v>2330</v>
      </c>
      <c r="C51" s="466"/>
      <c r="D51" s="466"/>
      <c r="E51" s="466"/>
      <c r="F51" s="466"/>
      <c r="G51" s="466"/>
      <c r="H51" s="466"/>
      <c r="I51" s="467"/>
      <c r="J51" s="467"/>
      <c r="K51" s="1672">
        <f>SUM(C51:J51)</f>
        <v>0</v>
      </c>
      <c r="L51" s="466">
        <v>0</v>
      </c>
    </row>
    <row r="52" spans="1:14" ht="22.5" x14ac:dyDescent="0.2">
      <c r="A52" s="1505" t="s">
        <v>298</v>
      </c>
      <c r="B52" s="627" t="s">
        <v>366</v>
      </c>
      <c r="C52" s="474"/>
      <c r="D52" s="474"/>
      <c r="E52" s="474"/>
      <c r="F52" s="474"/>
      <c r="G52" s="474"/>
      <c r="H52" s="474"/>
      <c r="I52" s="474"/>
      <c r="J52" s="474"/>
      <c r="K52" s="1672">
        <f>SUM(C52:J52)</f>
        <v>0</v>
      </c>
      <c r="L52" s="474">
        <v>0</v>
      </c>
    </row>
    <row r="53" spans="1:14" ht="12.75" customHeight="1" thickBot="1" x14ac:dyDescent="0.25">
      <c r="A53" s="1668" t="s">
        <v>717</v>
      </c>
      <c r="B53" s="1669" t="s">
        <v>33</v>
      </c>
      <c r="C53" s="1670">
        <f>SUM(C49:C52)</f>
        <v>52000</v>
      </c>
      <c r="D53" s="1670">
        <f t="shared" ref="D53:L53" si="5">SUM(D49:D52)</f>
        <v>15098</v>
      </c>
      <c r="E53" s="1670">
        <f t="shared" si="5"/>
        <v>2992</v>
      </c>
      <c r="F53" s="1670">
        <f t="shared" si="5"/>
        <v>1328</v>
      </c>
      <c r="G53" s="1670">
        <f t="shared" si="5"/>
        <v>0</v>
      </c>
      <c r="H53" s="1670">
        <f t="shared" si="5"/>
        <v>2013</v>
      </c>
      <c r="I53" s="1670">
        <f t="shared" si="5"/>
        <v>0</v>
      </c>
      <c r="J53" s="1670">
        <f t="shared" si="5"/>
        <v>0</v>
      </c>
      <c r="K53" s="1670">
        <f t="shared" si="5"/>
        <v>73431</v>
      </c>
      <c r="L53" s="1670">
        <f t="shared" si="5"/>
        <v>65300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25000</v>
      </c>
      <c r="D55" s="481"/>
      <c r="E55" s="481"/>
      <c r="F55" s="481"/>
      <c r="G55" s="481"/>
      <c r="H55" s="481"/>
      <c r="I55" s="467"/>
      <c r="J55" s="467"/>
      <c r="K55" s="1672">
        <f>SUM(C55:J55)</f>
        <v>25000</v>
      </c>
      <c r="L55" s="481">
        <v>25000</v>
      </c>
    </row>
    <row r="56" spans="1:14" ht="12.75" customHeight="1" x14ac:dyDescent="0.2">
      <c r="A56" s="1508" t="s">
        <v>376</v>
      </c>
      <c r="B56" s="628">
        <v>2490</v>
      </c>
      <c r="C56" s="466"/>
      <c r="D56" s="466"/>
      <c r="E56" s="466"/>
      <c r="F56" s="466"/>
      <c r="G56" s="466"/>
      <c r="H56" s="466"/>
      <c r="I56" s="467"/>
      <c r="J56" s="467"/>
      <c r="K56" s="1672">
        <f>SUM(C56:J56)</f>
        <v>0</v>
      </c>
      <c r="L56" s="466">
        <v>0</v>
      </c>
    </row>
    <row r="57" spans="1:14" s="343" customFormat="1" ht="12.75" customHeight="1" thickBot="1" x14ac:dyDescent="0.25">
      <c r="A57" s="1668" t="s">
        <v>263</v>
      </c>
      <c r="B57" s="1673" t="s">
        <v>34</v>
      </c>
      <c r="C57" s="1674">
        <f>SUM(C55:C56)</f>
        <v>25000</v>
      </c>
      <c r="D57" s="1674">
        <f t="shared" ref="D57:K57" si="6">SUM(D55:D56)</f>
        <v>0</v>
      </c>
      <c r="E57" s="1674">
        <f t="shared" si="6"/>
        <v>0</v>
      </c>
      <c r="F57" s="1674">
        <f t="shared" si="6"/>
        <v>0</v>
      </c>
      <c r="G57" s="1674">
        <f t="shared" si="6"/>
        <v>0</v>
      </c>
      <c r="H57" s="1674">
        <f t="shared" si="6"/>
        <v>0</v>
      </c>
      <c r="I57" s="1674">
        <f t="shared" si="6"/>
        <v>0</v>
      </c>
      <c r="J57" s="1674">
        <f t="shared" si="6"/>
        <v>0</v>
      </c>
      <c r="K57" s="1674">
        <f t="shared" si="6"/>
        <v>25000</v>
      </c>
      <c r="L57" s="1670">
        <f>SUM(L55:L56)</f>
        <v>25000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v>0</v>
      </c>
      <c r="M59" s="609"/>
      <c r="N59" s="609"/>
    </row>
    <row r="60" spans="1:14" s="343" customFormat="1" x14ac:dyDescent="0.2">
      <c r="A60" s="1504" t="s">
        <v>463</v>
      </c>
      <c r="B60" s="614">
        <v>2520</v>
      </c>
      <c r="C60" s="466">
        <v>25125</v>
      </c>
      <c r="D60" s="466"/>
      <c r="E60" s="466"/>
      <c r="F60" s="466">
        <v>4799</v>
      </c>
      <c r="G60" s="466"/>
      <c r="H60" s="466">
        <v>14326</v>
      </c>
      <c r="I60" s="467"/>
      <c r="J60" s="467"/>
      <c r="K60" s="1672">
        <f t="shared" si="7"/>
        <v>44250</v>
      </c>
      <c r="L60" s="466">
        <v>47000</v>
      </c>
      <c r="M60" s="609"/>
      <c r="N60" s="609"/>
    </row>
    <row r="61" spans="1:14" s="343" customFormat="1" x14ac:dyDescent="0.2">
      <c r="A61" s="1504" t="s">
        <v>197</v>
      </c>
      <c r="B61" s="614">
        <v>2540</v>
      </c>
      <c r="C61" s="466"/>
      <c r="D61" s="466"/>
      <c r="E61" s="466"/>
      <c r="F61" s="466"/>
      <c r="G61" s="466"/>
      <c r="H61" s="466"/>
      <c r="I61" s="467"/>
      <c r="J61" s="467"/>
      <c r="K61" s="1672">
        <f t="shared" si="7"/>
        <v>0</v>
      </c>
      <c r="L61" s="466">
        <v>0</v>
      </c>
      <c r="M61" s="609"/>
      <c r="N61" s="609"/>
    </row>
    <row r="62" spans="1:14" s="343" customFormat="1" x14ac:dyDescent="0.2">
      <c r="A62" s="1504" t="s">
        <v>953</v>
      </c>
      <c r="B62" s="614">
        <v>2550</v>
      </c>
      <c r="C62" s="466"/>
      <c r="D62" s="466"/>
      <c r="E62" s="466"/>
      <c r="F62" s="466"/>
      <c r="G62" s="466"/>
      <c r="H62" s="466"/>
      <c r="I62" s="467"/>
      <c r="J62" s="467"/>
      <c r="K62" s="1672">
        <f t="shared" si="7"/>
        <v>0</v>
      </c>
      <c r="L62" s="466">
        <v>0</v>
      </c>
      <c r="M62" s="609"/>
      <c r="N62" s="609"/>
    </row>
    <row r="63" spans="1:14" s="609" customFormat="1" x14ac:dyDescent="0.2">
      <c r="A63" s="1504" t="s">
        <v>100</v>
      </c>
      <c r="B63" s="614">
        <v>2560</v>
      </c>
      <c r="C63" s="466">
        <v>23974</v>
      </c>
      <c r="D63" s="466"/>
      <c r="E63" s="466"/>
      <c r="F63" s="466">
        <v>36191</v>
      </c>
      <c r="G63" s="466">
        <v>699</v>
      </c>
      <c r="H63" s="466">
        <v>697</v>
      </c>
      <c r="I63" s="467"/>
      <c r="J63" s="467"/>
      <c r="K63" s="1672">
        <f t="shared" si="7"/>
        <v>61561</v>
      </c>
      <c r="L63" s="466">
        <v>68000</v>
      </c>
    </row>
    <row r="64" spans="1:14" s="609" customFormat="1" x14ac:dyDescent="0.2">
      <c r="A64" s="1509" t="s">
        <v>101</v>
      </c>
      <c r="B64" s="630">
        <v>2570</v>
      </c>
      <c r="C64" s="481"/>
      <c r="D64" s="481"/>
      <c r="E64" s="481"/>
      <c r="F64" s="481"/>
      <c r="G64" s="481"/>
      <c r="H64" s="481"/>
      <c r="I64" s="467"/>
      <c r="J64" s="467"/>
      <c r="K64" s="1672">
        <f t="shared" si="7"/>
        <v>0</v>
      </c>
      <c r="L64" s="481">
        <v>0</v>
      </c>
    </row>
    <row r="65" spans="1:14" s="343" customFormat="1" ht="12.75" customHeight="1" thickBot="1" x14ac:dyDescent="0.25">
      <c r="A65" s="1668" t="s">
        <v>719</v>
      </c>
      <c r="B65" s="1669" t="s">
        <v>35</v>
      </c>
      <c r="C65" s="1670">
        <f>SUM(C59:C64)</f>
        <v>49099</v>
      </c>
      <c r="D65" s="1670">
        <f t="shared" ref="D65:L65" si="8">SUM(D59:D64)</f>
        <v>0</v>
      </c>
      <c r="E65" s="1670">
        <f t="shared" si="8"/>
        <v>0</v>
      </c>
      <c r="F65" s="1670">
        <f t="shared" si="8"/>
        <v>40990</v>
      </c>
      <c r="G65" s="1670">
        <f t="shared" si="8"/>
        <v>699</v>
      </c>
      <c r="H65" s="1670">
        <f t="shared" si="8"/>
        <v>15023</v>
      </c>
      <c r="I65" s="1670">
        <f t="shared" si="8"/>
        <v>0</v>
      </c>
      <c r="J65" s="1670">
        <f t="shared" si="8"/>
        <v>0</v>
      </c>
      <c r="K65" s="1670">
        <f t="shared" si="8"/>
        <v>105811</v>
      </c>
      <c r="L65" s="1670">
        <f t="shared" si="8"/>
        <v>115000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v>0</v>
      </c>
      <c r="M67" s="609"/>
      <c r="N67" s="609"/>
    </row>
    <row r="68" spans="1:14" s="343" customFormat="1" x14ac:dyDescent="0.2">
      <c r="A68" s="1504" t="s">
        <v>607</v>
      </c>
      <c r="B68" s="614">
        <v>2620</v>
      </c>
      <c r="C68" s="466"/>
      <c r="D68" s="466"/>
      <c r="E68" s="466"/>
      <c r="F68" s="466"/>
      <c r="G68" s="466"/>
      <c r="H68" s="466"/>
      <c r="I68" s="467"/>
      <c r="J68" s="467"/>
      <c r="K68" s="1672">
        <f>SUM(C68:J68)</f>
        <v>0</v>
      </c>
      <c r="L68" s="466">
        <v>0</v>
      </c>
      <c r="M68" s="609"/>
      <c r="N68" s="609"/>
    </row>
    <row r="69" spans="1:14" s="343" customFormat="1" x14ac:dyDescent="0.2">
      <c r="A69" s="1504" t="s">
        <v>1061</v>
      </c>
      <c r="B69" s="614">
        <v>2630</v>
      </c>
      <c r="C69" s="466"/>
      <c r="D69" s="466"/>
      <c r="E69" s="466"/>
      <c r="F69" s="466"/>
      <c r="G69" s="466"/>
      <c r="H69" s="466"/>
      <c r="I69" s="467"/>
      <c r="J69" s="467"/>
      <c r="K69" s="1672">
        <f>SUM(C69:J69)</f>
        <v>0</v>
      </c>
      <c r="L69" s="466">
        <v>0</v>
      </c>
      <c r="M69" s="609"/>
      <c r="N69" s="609"/>
    </row>
    <row r="70" spans="1:14" s="343" customFormat="1" x14ac:dyDescent="0.2">
      <c r="A70" s="1504" t="s">
        <v>403</v>
      </c>
      <c r="B70" s="614">
        <v>2640</v>
      </c>
      <c r="C70" s="466"/>
      <c r="D70" s="466"/>
      <c r="E70" s="466"/>
      <c r="F70" s="466"/>
      <c r="G70" s="466"/>
      <c r="H70" s="466"/>
      <c r="I70" s="467"/>
      <c r="J70" s="467"/>
      <c r="K70" s="1672">
        <f>SUM(C70:J70)</f>
        <v>0</v>
      </c>
      <c r="L70" s="466">
        <v>0</v>
      </c>
      <c r="M70" s="609"/>
      <c r="N70" s="609"/>
    </row>
    <row r="71" spans="1:14" s="343" customFormat="1" x14ac:dyDescent="0.2">
      <c r="A71" s="1504" t="s">
        <v>404</v>
      </c>
      <c r="B71" s="614">
        <v>2660</v>
      </c>
      <c r="C71" s="466"/>
      <c r="D71" s="466"/>
      <c r="E71" s="466"/>
      <c r="F71" s="466"/>
      <c r="G71" s="466"/>
      <c r="H71" s="466"/>
      <c r="I71" s="467"/>
      <c r="J71" s="467"/>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0</v>
      </c>
      <c r="M73" s="609"/>
      <c r="N73" s="609"/>
    </row>
    <row r="74" spans="1:14" ht="12.75" customHeight="1" thickTop="1" thickBot="1" x14ac:dyDescent="0.25">
      <c r="A74" s="1668" t="s">
        <v>811</v>
      </c>
      <c r="B74" s="1676">
        <v>2000</v>
      </c>
      <c r="C74" s="1677">
        <f>SUM(C42,C47,C53,C57,C65,C72,C73)</f>
        <v>146093</v>
      </c>
      <c r="D74" s="1677">
        <f t="shared" ref="D74:K74" si="10">SUM(D42,D47,D53,D57,D65,D72,D73)</f>
        <v>17186</v>
      </c>
      <c r="E74" s="1677">
        <f t="shared" si="10"/>
        <v>3345</v>
      </c>
      <c r="F74" s="1677">
        <f t="shared" si="10"/>
        <v>42732</v>
      </c>
      <c r="G74" s="1677">
        <f t="shared" si="10"/>
        <v>699</v>
      </c>
      <c r="H74" s="1677">
        <f t="shared" si="10"/>
        <v>17036</v>
      </c>
      <c r="I74" s="1677">
        <f t="shared" si="10"/>
        <v>0</v>
      </c>
      <c r="J74" s="1677">
        <f t="shared" si="10"/>
        <v>0</v>
      </c>
      <c r="K74" s="1677">
        <f t="shared" si="10"/>
        <v>227091</v>
      </c>
      <c r="L74" s="1677">
        <f>SUM(L42,L47,L53,L57,L65,L72,L73)</f>
        <v>227200</v>
      </c>
    </row>
    <row r="75" spans="1:14" s="259" customFormat="1" ht="15.75" customHeight="1" thickTop="1" thickBot="1" x14ac:dyDescent="0.25">
      <c r="A75" s="1610" t="s">
        <v>47</v>
      </c>
      <c r="B75" s="1611" t="s">
        <v>575</v>
      </c>
      <c r="C75" s="573"/>
      <c r="D75" s="573"/>
      <c r="E75" s="573">
        <v>351</v>
      </c>
      <c r="F75" s="573"/>
      <c r="G75" s="573"/>
      <c r="H75" s="573"/>
      <c r="I75" s="531"/>
      <c r="J75" s="531"/>
      <c r="K75" s="1670">
        <f>SUM(C75:J75)</f>
        <v>351</v>
      </c>
      <c r="L75" s="576">
        <v>350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v>0</v>
      </c>
    </row>
    <row r="79" spans="1:14" x14ac:dyDescent="0.2">
      <c r="A79" s="1504" t="s">
        <v>304</v>
      </c>
      <c r="B79" s="614">
        <v>4120</v>
      </c>
      <c r="C79" s="616"/>
      <c r="D79" s="616"/>
      <c r="E79" s="466">
        <v>28339</v>
      </c>
      <c r="F79" s="616"/>
      <c r="G79" s="616"/>
      <c r="H79" s="466"/>
      <c r="I79" s="477"/>
      <c r="J79" s="477"/>
      <c r="K79" s="1671">
        <f t="shared" si="11"/>
        <v>28339</v>
      </c>
      <c r="L79" s="466">
        <v>37000</v>
      </c>
    </row>
    <row r="80" spans="1:14" x14ac:dyDescent="0.2">
      <c r="A80" s="1504" t="s">
        <v>305</v>
      </c>
      <c r="B80" s="614">
        <v>4130</v>
      </c>
      <c r="C80" s="616"/>
      <c r="D80" s="616"/>
      <c r="E80" s="466"/>
      <c r="F80" s="616"/>
      <c r="G80" s="616"/>
      <c r="H80" s="466"/>
      <c r="I80" s="477"/>
      <c r="J80" s="477"/>
      <c r="K80" s="1671">
        <f t="shared" si="11"/>
        <v>0</v>
      </c>
      <c r="L80" s="466">
        <v>0</v>
      </c>
    </row>
    <row r="81" spans="1:12" x14ac:dyDescent="0.2">
      <c r="A81" s="1504" t="s">
        <v>697</v>
      </c>
      <c r="B81" s="614">
        <v>4140</v>
      </c>
      <c r="C81" s="616"/>
      <c r="D81" s="616"/>
      <c r="E81" s="466"/>
      <c r="F81" s="616"/>
      <c r="G81" s="616"/>
      <c r="H81" s="466"/>
      <c r="I81" s="477"/>
      <c r="J81" s="477"/>
      <c r="K81" s="1671">
        <f t="shared" si="11"/>
        <v>0</v>
      </c>
      <c r="L81" s="466">
        <v>0</v>
      </c>
    </row>
    <row r="82" spans="1:12" x14ac:dyDescent="0.2">
      <c r="A82" s="1504" t="s">
        <v>86</v>
      </c>
      <c r="B82" s="614">
        <v>4170</v>
      </c>
      <c r="C82" s="616"/>
      <c r="D82" s="616"/>
      <c r="E82" s="466"/>
      <c r="F82" s="616"/>
      <c r="G82" s="616"/>
      <c r="H82" s="466"/>
      <c r="I82" s="477"/>
      <c r="J82" s="477"/>
      <c r="K82" s="1671">
        <f t="shared" si="11"/>
        <v>0</v>
      </c>
      <c r="L82" s="466">
        <v>0</v>
      </c>
    </row>
    <row r="83" spans="1:12" x14ac:dyDescent="0.2">
      <c r="A83" s="1508" t="s">
        <v>698</v>
      </c>
      <c r="B83" s="628">
        <v>4190</v>
      </c>
      <c r="C83" s="616"/>
      <c r="D83" s="616"/>
      <c r="E83" s="466"/>
      <c r="F83" s="616"/>
      <c r="G83" s="616"/>
      <c r="H83" s="466"/>
      <c r="I83" s="477"/>
      <c r="J83" s="477"/>
      <c r="K83" s="1671">
        <f t="shared" si="11"/>
        <v>0</v>
      </c>
      <c r="L83" s="466">
        <v>0</v>
      </c>
    </row>
    <row r="84" spans="1:12" ht="13.5" thickBot="1" x14ac:dyDescent="0.25">
      <c r="A84" s="1668" t="s">
        <v>1485</v>
      </c>
      <c r="B84" s="1678">
        <v>4100</v>
      </c>
      <c r="C84" s="616"/>
      <c r="D84" s="616"/>
      <c r="E84" s="1670">
        <f>SUM(E78:E83)</f>
        <v>28339</v>
      </c>
      <c r="F84" s="616"/>
      <c r="G84" s="616"/>
      <c r="H84" s="1670">
        <f>SUM(H78:H83)</f>
        <v>0</v>
      </c>
      <c r="I84" s="477"/>
      <c r="J84" s="477"/>
      <c r="K84" s="1670">
        <f>SUM(K78:K83)</f>
        <v>28339</v>
      </c>
      <c r="L84" s="1670">
        <f>SUM(L78:L83)</f>
        <v>37000</v>
      </c>
    </row>
    <row r="85" spans="1:12" ht="12.75" customHeight="1" thickTop="1" thickBot="1" x14ac:dyDescent="0.25">
      <c r="A85" s="1511" t="s">
        <v>255</v>
      </c>
      <c r="B85" s="635">
        <v>4210</v>
      </c>
      <c r="C85" s="616"/>
      <c r="D85" s="616"/>
      <c r="E85" s="636"/>
      <c r="F85" s="616"/>
      <c r="G85" s="616"/>
      <c r="H85" s="535"/>
      <c r="I85" s="477"/>
      <c r="J85" s="477"/>
      <c r="K85" s="1677">
        <f>H85</f>
        <v>0</v>
      </c>
      <c r="L85" s="530">
        <v>0</v>
      </c>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v>0</v>
      </c>
    </row>
    <row r="87" spans="1:12" ht="14.25" thickTop="1" thickBot="1" x14ac:dyDescent="0.25">
      <c r="A87" s="1513" t="s">
        <v>700</v>
      </c>
      <c r="B87" s="639">
        <v>4230</v>
      </c>
      <c r="C87" s="616"/>
      <c r="D87" s="616"/>
      <c r="E87" s="638"/>
      <c r="F87" s="616"/>
      <c r="G87" s="616"/>
      <c r="H87" s="467"/>
      <c r="I87" s="477"/>
      <c r="J87" s="477"/>
      <c r="K87" s="1677">
        <f t="shared" si="12"/>
        <v>0</v>
      </c>
      <c r="L87" s="530">
        <v>0</v>
      </c>
    </row>
    <row r="88" spans="1:12" ht="12.75" customHeight="1" thickTop="1" thickBot="1" x14ac:dyDescent="0.25">
      <c r="A88" s="1513" t="s">
        <v>765</v>
      </c>
      <c r="B88" s="639">
        <v>4240</v>
      </c>
      <c r="C88" s="616"/>
      <c r="D88" s="616"/>
      <c r="E88" s="638"/>
      <c r="F88" s="616"/>
      <c r="G88" s="616"/>
      <c r="H88" s="467"/>
      <c r="I88" s="477"/>
      <c r="J88" s="477"/>
      <c r="K88" s="1677">
        <f t="shared" si="12"/>
        <v>0</v>
      </c>
      <c r="L88" s="530">
        <v>0</v>
      </c>
    </row>
    <row r="89" spans="1:12" ht="12.75" customHeight="1" thickTop="1" thickBot="1" x14ac:dyDescent="0.25">
      <c r="A89" s="1513" t="s">
        <v>701</v>
      </c>
      <c r="B89" s="639">
        <v>4270</v>
      </c>
      <c r="C89" s="616"/>
      <c r="D89" s="616"/>
      <c r="E89" s="638"/>
      <c r="F89" s="616"/>
      <c r="G89" s="616"/>
      <c r="H89" s="467"/>
      <c r="I89" s="477"/>
      <c r="J89" s="477"/>
      <c r="K89" s="1677">
        <f t="shared" si="12"/>
        <v>0</v>
      </c>
      <c r="L89" s="530">
        <v>0</v>
      </c>
    </row>
    <row r="90" spans="1:12" ht="12.75" customHeight="1" thickTop="1" thickBot="1" x14ac:dyDescent="0.25">
      <c r="A90" s="1513" t="s">
        <v>686</v>
      </c>
      <c r="B90" s="639">
        <v>4280</v>
      </c>
      <c r="C90" s="616"/>
      <c r="D90" s="616"/>
      <c r="E90" s="638"/>
      <c r="F90" s="616"/>
      <c r="G90" s="616"/>
      <c r="H90" s="467"/>
      <c r="I90" s="477"/>
      <c r="J90" s="477"/>
      <c r="K90" s="1677">
        <f t="shared" si="12"/>
        <v>0</v>
      </c>
      <c r="L90" s="530">
        <v>0</v>
      </c>
    </row>
    <row r="91" spans="1:12" ht="12.75" customHeight="1" thickTop="1" thickBot="1" x14ac:dyDescent="0.25">
      <c r="A91" s="1513" t="s">
        <v>687</v>
      </c>
      <c r="B91" s="639">
        <v>4290</v>
      </c>
      <c r="C91" s="616"/>
      <c r="D91" s="616"/>
      <c r="E91" s="638"/>
      <c r="F91" s="616"/>
      <c r="G91" s="616"/>
      <c r="H91" s="467"/>
      <c r="I91" s="477"/>
      <c r="J91" s="477"/>
      <c r="K91" s="1677">
        <f t="shared" si="12"/>
        <v>0</v>
      </c>
      <c r="L91" s="530">
        <v>0</v>
      </c>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v>0</v>
      </c>
    </row>
    <row r="94" spans="1:12" ht="12.75" customHeight="1" thickTop="1" thickBot="1" x14ac:dyDescent="0.25">
      <c r="A94" s="1513" t="s">
        <v>689</v>
      </c>
      <c r="B94" s="639">
        <v>4320</v>
      </c>
      <c r="C94" s="616"/>
      <c r="D94" s="616"/>
      <c r="E94" s="638"/>
      <c r="F94" s="616"/>
      <c r="G94" s="616"/>
      <c r="H94" s="467"/>
      <c r="I94" s="477"/>
      <c r="J94" s="477"/>
      <c r="K94" s="1677">
        <f t="shared" si="12"/>
        <v>0</v>
      </c>
      <c r="L94" s="530">
        <v>0</v>
      </c>
    </row>
    <row r="95" spans="1:12" ht="15" customHeight="1" thickTop="1" thickBot="1" x14ac:dyDescent="0.25">
      <c r="A95" s="1513" t="s">
        <v>1488</v>
      </c>
      <c r="B95" s="639">
        <v>4330</v>
      </c>
      <c r="C95" s="616"/>
      <c r="D95" s="616"/>
      <c r="E95" s="638"/>
      <c r="F95" s="616"/>
      <c r="G95" s="616"/>
      <c r="H95" s="467"/>
      <c r="I95" s="477"/>
      <c r="J95" s="477"/>
      <c r="K95" s="1677">
        <f t="shared" si="12"/>
        <v>0</v>
      </c>
      <c r="L95" s="530">
        <v>0</v>
      </c>
    </row>
    <row r="96" spans="1:12" ht="14.25" thickTop="1" thickBot="1" x14ac:dyDescent="0.25">
      <c r="A96" s="1513" t="s">
        <v>690</v>
      </c>
      <c r="B96" s="639">
        <v>4340</v>
      </c>
      <c r="C96" s="616"/>
      <c r="D96" s="616"/>
      <c r="E96" s="638"/>
      <c r="F96" s="616"/>
      <c r="G96" s="616"/>
      <c r="H96" s="467"/>
      <c r="I96" s="477"/>
      <c r="J96" s="477"/>
      <c r="K96" s="1677">
        <f t="shared" si="12"/>
        <v>0</v>
      </c>
      <c r="L96" s="530">
        <v>0</v>
      </c>
    </row>
    <row r="97" spans="1:14" ht="12.75" customHeight="1" thickTop="1" thickBot="1" x14ac:dyDescent="0.25">
      <c r="A97" s="1513" t="s">
        <v>763</v>
      </c>
      <c r="B97" s="639">
        <v>4370</v>
      </c>
      <c r="C97" s="616"/>
      <c r="D97" s="616"/>
      <c r="E97" s="638"/>
      <c r="F97" s="616"/>
      <c r="G97" s="616"/>
      <c r="H97" s="467"/>
      <c r="I97" s="477"/>
      <c r="J97" s="477"/>
      <c r="K97" s="1677">
        <f t="shared" si="12"/>
        <v>0</v>
      </c>
      <c r="L97" s="530">
        <v>0</v>
      </c>
    </row>
    <row r="98" spans="1:14" ht="14.25" thickTop="1" thickBot="1" x14ac:dyDescent="0.25">
      <c r="A98" s="1513" t="s">
        <v>764</v>
      </c>
      <c r="B98" s="639">
        <v>4380</v>
      </c>
      <c r="C98" s="616"/>
      <c r="D98" s="616"/>
      <c r="E98" s="642"/>
      <c r="F98" s="616"/>
      <c r="G98" s="616"/>
      <c r="H98" s="467"/>
      <c r="I98" s="477"/>
      <c r="J98" s="477"/>
      <c r="K98" s="1677">
        <f t="shared" si="12"/>
        <v>0</v>
      </c>
      <c r="L98" s="530">
        <v>0</v>
      </c>
    </row>
    <row r="99" spans="1:14" ht="14.25" thickTop="1" thickBot="1" x14ac:dyDescent="0.25">
      <c r="A99" s="1513" t="s">
        <v>367</v>
      </c>
      <c r="B99" s="639">
        <v>4390</v>
      </c>
      <c r="C99" s="616"/>
      <c r="D99" s="616"/>
      <c r="E99" s="532"/>
      <c r="F99" s="616"/>
      <c r="G99" s="616"/>
      <c r="H99" s="467"/>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v>2197</v>
      </c>
      <c r="F101" s="616"/>
      <c r="G101" s="616"/>
      <c r="H101" s="531"/>
      <c r="I101" s="477"/>
      <c r="J101" s="477"/>
      <c r="K101" s="1679">
        <f>SUM(C101:J101)</f>
        <v>2197</v>
      </c>
      <c r="L101" s="530">
        <v>0</v>
      </c>
    </row>
    <row r="102" spans="1:14" ht="12.75" customHeight="1" thickTop="1" thickBot="1" x14ac:dyDescent="0.25">
      <c r="A102" s="1668" t="s">
        <v>1487</v>
      </c>
      <c r="B102" s="1678">
        <v>4000</v>
      </c>
      <c r="C102" s="616"/>
      <c r="D102" s="616"/>
      <c r="E102" s="1677">
        <f>SUM(E84,E92,E100,E101)</f>
        <v>30536</v>
      </c>
      <c r="F102" s="616"/>
      <c r="G102" s="616"/>
      <c r="H102" s="1677">
        <f>SUM(H84,H92,H100,H101)</f>
        <v>0</v>
      </c>
      <c r="I102" s="477"/>
      <c r="J102" s="477"/>
      <c r="K102" s="1677">
        <f>SUM(K84,K92,K100,K101)</f>
        <v>30536</v>
      </c>
      <c r="L102" s="1677">
        <f>SUM(L84,L92,L100,L101)</f>
        <v>37000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593787</v>
      </c>
      <c r="D114" s="1670">
        <f t="shared" ref="D114:K114" si="13">SUM(D33,D74,D75,D102,D112,D113)</f>
        <v>123522</v>
      </c>
      <c r="E114" s="1670">
        <f t="shared" si="13"/>
        <v>46401</v>
      </c>
      <c r="F114" s="1670">
        <f t="shared" si="13"/>
        <v>70278</v>
      </c>
      <c r="G114" s="1670">
        <f t="shared" si="13"/>
        <v>17310</v>
      </c>
      <c r="H114" s="1670">
        <f>SUM(H33,H74,H75,H102,H112,H113)</f>
        <v>29591</v>
      </c>
      <c r="I114" s="1670">
        <f t="shared" si="13"/>
        <v>0</v>
      </c>
      <c r="J114" s="1670">
        <f t="shared" si="13"/>
        <v>0</v>
      </c>
      <c r="K114" s="1670">
        <f t="shared" si="13"/>
        <v>880889</v>
      </c>
      <c r="L114" s="1670">
        <f>SUM(L33,L74,L75,L102,L112,L113)</f>
        <v>877236</v>
      </c>
    </row>
    <row r="115" spans="1:14" ht="13.5" thickTop="1" x14ac:dyDescent="0.2">
      <c r="A115" s="2154" t="s">
        <v>996</v>
      </c>
      <c r="B115" s="2155"/>
      <c r="C115" s="618"/>
      <c r="D115" s="618"/>
      <c r="E115" s="618"/>
      <c r="F115" s="618"/>
      <c r="G115" s="618"/>
      <c r="H115" s="618"/>
      <c r="I115" s="618"/>
      <c r="J115" s="618"/>
      <c r="K115" s="1684">
        <f>'Revenues 9-14'!C268-'Expenditures 15-22'!K114</f>
        <v>57423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v>0</v>
      </c>
    </row>
    <row r="123" spans="1:14" ht="14.25" thickTop="1" thickBot="1" x14ac:dyDescent="0.25">
      <c r="A123" s="1504" t="s">
        <v>4</v>
      </c>
      <c r="B123" s="614">
        <v>2530</v>
      </c>
      <c r="C123" s="466"/>
      <c r="D123" s="466"/>
      <c r="E123" s="466"/>
      <c r="F123" s="466"/>
      <c r="G123" s="466"/>
      <c r="H123" s="466"/>
      <c r="I123" s="467"/>
      <c r="J123" s="467"/>
      <c r="K123" s="1670">
        <f>SUM(C123:J123)</f>
        <v>0</v>
      </c>
      <c r="L123" s="466">
        <v>0</v>
      </c>
    </row>
    <row r="124" spans="1:14" ht="14.25" thickTop="1" thickBot="1" x14ac:dyDescent="0.25">
      <c r="A124" s="1504" t="s">
        <v>197</v>
      </c>
      <c r="B124" s="614">
        <v>2540</v>
      </c>
      <c r="C124" s="466">
        <v>23114</v>
      </c>
      <c r="D124" s="466"/>
      <c r="E124" s="466">
        <v>42296</v>
      </c>
      <c r="F124" s="466">
        <v>2662</v>
      </c>
      <c r="G124" s="466">
        <v>1134</v>
      </c>
      <c r="H124" s="466">
        <v>2895</v>
      </c>
      <c r="I124" s="467"/>
      <c r="J124" s="467"/>
      <c r="K124" s="1670">
        <f>SUM(C124:J124)</f>
        <v>72101</v>
      </c>
      <c r="L124" s="466">
        <v>89700</v>
      </c>
    </row>
    <row r="125" spans="1:14" ht="14.25" thickTop="1" thickBot="1" x14ac:dyDescent="0.25">
      <c r="A125" s="1504" t="s">
        <v>953</v>
      </c>
      <c r="B125" s="614">
        <v>2550</v>
      </c>
      <c r="C125" s="466"/>
      <c r="D125" s="466"/>
      <c r="E125" s="466"/>
      <c r="F125" s="466"/>
      <c r="G125" s="466"/>
      <c r="H125" s="466"/>
      <c r="I125" s="467"/>
      <c r="J125" s="467"/>
      <c r="K125" s="1670">
        <f>SUM(C125:J125)</f>
        <v>0</v>
      </c>
      <c r="L125" s="466">
        <v>0</v>
      </c>
    </row>
    <row r="126" spans="1:14" ht="14.25" thickTop="1" thickBot="1" x14ac:dyDescent="0.25">
      <c r="A126" s="1504" t="s">
        <v>100</v>
      </c>
      <c r="B126" s="614">
        <v>2560</v>
      </c>
      <c r="C126" s="654"/>
      <c r="D126" s="654"/>
      <c r="E126" s="654"/>
      <c r="F126" s="654"/>
      <c r="G126" s="466"/>
      <c r="H126" s="654"/>
      <c r="I126" s="474"/>
      <c r="J126" s="616"/>
      <c r="K126" s="1670">
        <f>SUM(C126:J126)</f>
        <v>0</v>
      </c>
      <c r="L126" s="466">
        <v>0</v>
      </c>
    </row>
    <row r="127" spans="1:14" ht="12.75" customHeight="1" thickTop="1" thickBot="1" x14ac:dyDescent="0.25">
      <c r="A127" s="1668" t="s">
        <v>719</v>
      </c>
      <c r="B127" s="1669" t="s">
        <v>35</v>
      </c>
      <c r="C127" s="1670">
        <f>SUM(C122:C126)</f>
        <v>23114</v>
      </c>
      <c r="D127" s="1670">
        <f t="shared" ref="D127:L127" si="14">SUM(D122:D126)</f>
        <v>0</v>
      </c>
      <c r="E127" s="1670">
        <f t="shared" si="14"/>
        <v>42296</v>
      </c>
      <c r="F127" s="1670">
        <f t="shared" si="14"/>
        <v>2662</v>
      </c>
      <c r="G127" s="1670">
        <f t="shared" si="14"/>
        <v>1134</v>
      </c>
      <c r="H127" s="1670">
        <f t="shared" si="14"/>
        <v>2895</v>
      </c>
      <c r="I127" s="1670">
        <f t="shared" si="14"/>
        <v>0</v>
      </c>
      <c r="J127" s="1670">
        <f t="shared" si="14"/>
        <v>0</v>
      </c>
      <c r="K127" s="1670">
        <f t="shared" si="14"/>
        <v>72101</v>
      </c>
      <c r="L127" s="1670">
        <f t="shared" si="14"/>
        <v>89700</v>
      </c>
    </row>
    <row r="128" spans="1:14" ht="12.75" customHeight="1" thickTop="1" x14ac:dyDescent="0.2">
      <c r="A128" s="1511" t="s">
        <v>980</v>
      </c>
      <c r="B128" s="655" t="s">
        <v>574</v>
      </c>
      <c r="C128" s="656"/>
      <c r="D128" s="656"/>
      <c r="E128" s="656"/>
      <c r="F128" s="656"/>
      <c r="G128" s="656"/>
      <c r="H128" s="656"/>
      <c r="I128" s="535"/>
      <c r="J128" s="535"/>
      <c r="K128" s="1685">
        <f>SUM(C128:J128)</f>
        <v>0</v>
      </c>
      <c r="L128" s="656">
        <v>0</v>
      </c>
    </row>
    <row r="129" spans="1:14" ht="12.75" customHeight="1" thickBot="1" x14ac:dyDescent="0.25">
      <c r="A129" s="1686" t="s">
        <v>811</v>
      </c>
      <c r="B129" s="1687" t="s">
        <v>569</v>
      </c>
      <c r="C129" s="1677">
        <f>SUM(C120,C127,C128)</f>
        <v>23114</v>
      </c>
      <c r="D129" s="1677">
        <f t="shared" ref="D129:L129" si="15">SUM(D120,D127,D128)</f>
        <v>0</v>
      </c>
      <c r="E129" s="1677">
        <f t="shared" si="15"/>
        <v>42296</v>
      </c>
      <c r="F129" s="1677">
        <f t="shared" si="15"/>
        <v>2662</v>
      </c>
      <c r="G129" s="1677">
        <f t="shared" si="15"/>
        <v>1134</v>
      </c>
      <c r="H129" s="1677">
        <f t="shared" si="15"/>
        <v>2895</v>
      </c>
      <c r="I129" s="1677">
        <f t="shared" si="15"/>
        <v>0</v>
      </c>
      <c r="J129" s="1677">
        <f t="shared" si="15"/>
        <v>0</v>
      </c>
      <c r="K129" s="1677">
        <f t="shared" si="15"/>
        <v>72101</v>
      </c>
      <c r="L129" s="1677">
        <f t="shared" si="15"/>
        <v>89700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v>0</v>
      </c>
      <c r="M133" s="206"/>
      <c r="N133" s="206"/>
    </row>
    <row r="134" spans="1:14" x14ac:dyDescent="0.2">
      <c r="A134" s="1504" t="s">
        <v>304</v>
      </c>
      <c r="B134" s="614">
        <v>4120</v>
      </c>
      <c r="C134" s="616"/>
      <c r="D134" s="616"/>
      <c r="E134" s="478"/>
      <c r="F134" s="616"/>
      <c r="G134" s="616"/>
      <c r="H134" s="481"/>
      <c r="I134" s="477"/>
      <c r="J134" s="616"/>
      <c r="K134" s="1672">
        <f>SUM(E134,H134)</f>
        <v>0</v>
      </c>
      <c r="L134" s="481">
        <v>0</v>
      </c>
    </row>
    <row r="135" spans="1:14" x14ac:dyDescent="0.2">
      <c r="A135" s="1504" t="s">
        <v>697</v>
      </c>
      <c r="B135" s="614">
        <v>4140</v>
      </c>
      <c r="C135" s="616"/>
      <c r="D135" s="616"/>
      <c r="E135" s="467"/>
      <c r="F135" s="616"/>
      <c r="G135" s="616"/>
      <c r="H135" s="466"/>
      <c r="I135" s="477"/>
      <c r="J135" s="616"/>
      <c r="K135" s="1672">
        <f>SUM(E135,H135)</f>
        <v>0</v>
      </c>
      <c r="L135" s="466">
        <v>0</v>
      </c>
    </row>
    <row r="136" spans="1:14" x14ac:dyDescent="0.2">
      <c r="A136" s="1508" t="s">
        <v>698</v>
      </c>
      <c r="B136" s="628">
        <v>4190</v>
      </c>
      <c r="C136" s="616"/>
      <c r="D136" s="616"/>
      <c r="E136" s="467">
        <v>623</v>
      </c>
      <c r="F136" s="616"/>
      <c r="G136" s="616"/>
      <c r="H136" s="466"/>
      <c r="I136" s="477"/>
      <c r="J136" s="616"/>
      <c r="K136" s="1672">
        <f>SUM(E136,H136)</f>
        <v>623</v>
      </c>
      <c r="L136" s="466">
        <v>5000</v>
      </c>
    </row>
    <row r="137" spans="1:14" ht="12.75" customHeight="1" thickBot="1" x14ac:dyDescent="0.25">
      <c r="A137" s="1668" t="s">
        <v>480</v>
      </c>
      <c r="B137" s="1678">
        <v>4100</v>
      </c>
      <c r="C137" s="616"/>
      <c r="D137" s="616"/>
      <c r="E137" s="1670">
        <f>SUM(E133:E136)</f>
        <v>623</v>
      </c>
      <c r="F137" s="616"/>
      <c r="G137" s="616"/>
      <c r="H137" s="1670">
        <f>SUM(H133:H136)</f>
        <v>0</v>
      </c>
      <c r="I137" s="477"/>
      <c r="J137" s="616"/>
      <c r="K137" s="1670">
        <f>SUM(K133:K136)</f>
        <v>623</v>
      </c>
      <c r="L137" s="1670">
        <f>SUM(L133:L136)</f>
        <v>5000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v>0</v>
      </c>
    </row>
    <row r="139" spans="1:14" ht="12.75" customHeight="1" thickTop="1" thickBot="1" x14ac:dyDescent="0.25">
      <c r="A139" s="1668" t="s">
        <v>1487</v>
      </c>
      <c r="B139" s="1678">
        <v>4000</v>
      </c>
      <c r="C139" s="616"/>
      <c r="D139" s="616"/>
      <c r="E139" s="1670">
        <f>SUM(E137,E138)</f>
        <v>623</v>
      </c>
      <c r="F139" s="616"/>
      <c r="G139" s="616"/>
      <c r="H139" s="1679">
        <f>SUM(H137:H138)</f>
        <v>0</v>
      </c>
      <c r="I139" s="477"/>
      <c r="J139" s="616"/>
      <c r="K139" s="1672">
        <f>SUM(K137,K138)</f>
        <v>623</v>
      </c>
      <c r="L139" s="1679">
        <f>SUM(L137,L138)</f>
        <v>5000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v>0</v>
      </c>
    </row>
    <row r="143" spans="1:14" x14ac:dyDescent="0.2">
      <c r="A143" s="1504" t="s">
        <v>88</v>
      </c>
      <c r="B143" s="614">
        <v>5120</v>
      </c>
      <c r="C143" s="616"/>
      <c r="D143" s="616"/>
      <c r="E143" s="616"/>
      <c r="F143" s="616"/>
      <c r="G143" s="616"/>
      <c r="H143" s="466"/>
      <c r="I143" s="468"/>
      <c r="J143" s="616"/>
      <c r="K143" s="1672">
        <f>SUM(H143)</f>
        <v>0</v>
      </c>
      <c r="L143" s="466">
        <v>0</v>
      </c>
    </row>
    <row r="144" spans="1:14" ht="12.75" customHeight="1" x14ac:dyDescent="0.2">
      <c r="A144" s="1504" t="s">
        <v>1170</v>
      </c>
      <c r="B144" s="628" t="s">
        <v>617</v>
      </c>
      <c r="C144" s="616"/>
      <c r="D144" s="616"/>
      <c r="E144" s="616"/>
      <c r="F144" s="616"/>
      <c r="G144" s="616"/>
      <c r="H144" s="466"/>
      <c r="I144" s="468"/>
      <c r="J144" s="616"/>
      <c r="K144" s="1672">
        <f>SUM(H144)</f>
        <v>0</v>
      </c>
      <c r="L144" s="466">
        <v>0</v>
      </c>
    </row>
    <row r="145" spans="1:14" x14ac:dyDescent="0.2">
      <c r="A145" s="1504" t="s">
        <v>89</v>
      </c>
      <c r="B145" s="614" t="s">
        <v>589</v>
      </c>
      <c r="C145" s="616"/>
      <c r="D145" s="616"/>
      <c r="E145" s="616"/>
      <c r="F145" s="616"/>
      <c r="G145" s="616"/>
      <c r="H145" s="466"/>
      <c r="I145" s="468"/>
      <c r="J145" s="616"/>
      <c r="K145" s="1672">
        <f>SUM(H145)</f>
        <v>0</v>
      </c>
      <c r="L145" s="466">
        <v>0</v>
      </c>
    </row>
    <row r="146" spans="1:14" ht="12.75" customHeight="1" x14ac:dyDescent="0.2">
      <c r="A146" s="1504" t="s">
        <v>619</v>
      </c>
      <c r="B146" s="614" t="s">
        <v>618</v>
      </c>
      <c r="C146" s="616"/>
      <c r="D146" s="616"/>
      <c r="E146" s="616"/>
      <c r="F146" s="616"/>
      <c r="G146" s="616"/>
      <c r="H146" s="466"/>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71" t="s">
        <v>620</v>
      </c>
      <c r="B151" s="2151"/>
      <c r="C151" s="1670">
        <f>SUM(C129,C130,C139,C149,C150)</f>
        <v>23114</v>
      </c>
      <c r="D151" s="1670">
        <f t="shared" ref="D151:K151" si="16">SUM(D129,D130,D139,D149,D150)</f>
        <v>0</v>
      </c>
      <c r="E151" s="1670">
        <f t="shared" si="16"/>
        <v>42919</v>
      </c>
      <c r="F151" s="1670">
        <f t="shared" si="16"/>
        <v>2662</v>
      </c>
      <c r="G151" s="1670">
        <f t="shared" si="16"/>
        <v>1134</v>
      </c>
      <c r="H151" s="1670">
        <f t="shared" si="16"/>
        <v>2895</v>
      </c>
      <c r="I151" s="1670">
        <f t="shared" si="16"/>
        <v>0</v>
      </c>
      <c r="J151" s="1670">
        <f t="shared" si="16"/>
        <v>0</v>
      </c>
      <c r="K151" s="1670">
        <f t="shared" si="16"/>
        <v>72724</v>
      </c>
      <c r="L151" s="1670">
        <f>SUM(L129,L130,L139,L149,L150)</f>
        <v>94700</v>
      </c>
    </row>
    <row r="152" spans="1:14" ht="12.75" customHeight="1" thickTop="1" x14ac:dyDescent="0.2">
      <c r="A152" s="2174" t="s">
        <v>1178</v>
      </c>
      <c r="B152" s="2175"/>
      <c r="C152" s="618"/>
      <c r="D152" s="618"/>
      <c r="E152" s="618"/>
      <c r="F152" s="618"/>
      <c r="G152" s="618"/>
      <c r="H152" s="618"/>
      <c r="I152" s="618"/>
      <c r="J152" s="616"/>
      <c r="K152" s="1684">
        <f>'Revenues 9-14'!D268-'Expenditures 15-22'!K151</f>
        <v>-4158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v>0</v>
      </c>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v>0</v>
      </c>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v>0</v>
      </c>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v>0</v>
      </c>
    </row>
    <row r="164" spans="1:14" x14ac:dyDescent="0.2">
      <c r="A164" s="1504" t="s">
        <v>88</v>
      </c>
      <c r="B164" s="614">
        <v>5120</v>
      </c>
      <c r="C164" s="616"/>
      <c r="D164" s="616"/>
      <c r="E164" s="616"/>
      <c r="F164" s="616"/>
      <c r="G164" s="616"/>
      <c r="H164" s="466"/>
      <c r="I164" s="616"/>
      <c r="J164" s="616"/>
      <c r="K164" s="1671">
        <f>SUM(C164:J164)</f>
        <v>0</v>
      </c>
      <c r="L164" s="466">
        <v>0</v>
      </c>
    </row>
    <row r="165" spans="1:14" ht="12.75" customHeight="1" x14ac:dyDescent="0.2">
      <c r="A165" s="1504" t="s">
        <v>1170</v>
      </c>
      <c r="B165" s="614" t="s">
        <v>617</v>
      </c>
      <c r="C165" s="616"/>
      <c r="D165" s="616"/>
      <c r="E165" s="616"/>
      <c r="F165" s="616"/>
      <c r="G165" s="616"/>
      <c r="H165" s="466"/>
      <c r="I165" s="616"/>
      <c r="J165" s="616"/>
      <c r="K165" s="1671">
        <f>SUM(C165:J165)</f>
        <v>0</v>
      </c>
      <c r="L165" s="466">
        <v>0</v>
      </c>
    </row>
    <row r="166" spans="1:14" x14ac:dyDescent="0.2">
      <c r="A166" s="1504" t="s">
        <v>89</v>
      </c>
      <c r="B166" s="628" t="s">
        <v>589</v>
      </c>
      <c r="C166" s="616"/>
      <c r="D166" s="616"/>
      <c r="E166" s="616"/>
      <c r="F166" s="616"/>
      <c r="G166" s="616"/>
      <c r="H166" s="466">
        <v>0</v>
      </c>
      <c r="I166" s="616"/>
      <c r="J166" s="616"/>
      <c r="K166" s="1671">
        <f>SUM(C166:J166)</f>
        <v>0</v>
      </c>
      <c r="L166" s="466">
        <v>0</v>
      </c>
    </row>
    <row r="167" spans="1:14" ht="12.75" customHeight="1" x14ac:dyDescent="0.2">
      <c r="A167" s="1504" t="s">
        <v>619</v>
      </c>
      <c r="B167" s="614" t="s">
        <v>618</v>
      </c>
      <c r="C167" s="616"/>
      <c r="D167" s="616"/>
      <c r="E167" s="616"/>
      <c r="F167" s="616"/>
      <c r="G167" s="616"/>
      <c r="H167" s="466"/>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11655</v>
      </c>
      <c r="I169" s="616"/>
      <c r="J169" s="616"/>
      <c r="K169" s="1671">
        <f>SUM(C169:H169)</f>
        <v>11655</v>
      </c>
      <c r="L169" s="656">
        <v>13267</v>
      </c>
    </row>
    <row r="170" spans="1:14" ht="33.75" customHeight="1" x14ac:dyDescent="0.2">
      <c r="A170" s="669" t="s">
        <v>1670</v>
      </c>
      <c r="B170" s="671" t="s">
        <v>31</v>
      </c>
      <c r="C170" s="616"/>
      <c r="D170" s="616"/>
      <c r="E170" s="616"/>
      <c r="F170" s="616"/>
      <c r="G170" s="616"/>
      <c r="H170" s="569">
        <v>34000</v>
      </c>
      <c r="I170" s="616"/>
      <c r="J170" s="616"/>
      <c r="K170" s="1671">
        <f>SUM(C170:J170)</f>
        <v>34000</v>
      </c>
      <c r="L170" s="569">
        <v>35970</v>
      </c>
    </row>
    <row r="171" spans="1:14" ht="15.75" customHeight="1" x14ac:dyDescent="0.2">
      <c r="A171" s="621" t="s">
        <v>766</v>
      </c>
      <c r="B171" s="672" t="s">
        <v>84</v>
      </c>
      <c r="C171" s="616"/>
      <c r="D171" s="616"/>
      <c r="E171" s="466"/>
      <c r="F171" s="616"/>
      <c r="G171" s="616"/>
      <c r="H171" s="569">
        <v>250</v>
      </c>
      <c r="I171" s="477"/>
      <c r="J171" s="616"/>
      <c r="K171" s="1671">
        <f>SUM(C171:J171)</f>
        <v>250</v>
      </c>
      <c r="L171" s="569">
        <v>0</v>
      </c>
    </row>
    <row r="172" spans="1:14" ht="12.75" customHeight="1" thickBot="1" x14ac:dyDescent="0.25">
      <c r="A172" s="1668" t="s">
        <v>638</v>
      </c>
      <c r="B172" s="1669" t="s">
        <v>492</v>
      </c>
      <c r="C172" s="616"/>
      <c r="D172" s="616"/>
      <c r="E172" s="1677">
        <f>SUM(E168,E169,E170,E171)</f>
        <v>0</v>
      </c>
      <c r="F172" s="616"/>
      <c r="G172" s="616"/>
      <c r="H172" s="1677">
        <f>SUM(H168,H169,H170,H171)</f>
        <v>45905</v>
      </c>
      <c r="I172" s="638"/>
      <c r="J172" s="616"/>
      <c r="K172" s="1677">
        <f>SUM(K168,K169,K170,K171)</f>
        <v>45905</v>
      </c>
      <c r="L172" s="1677">
        <f>SUM(L168,L169,L170,L171)</f>
        <v>49237</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45905</v>
      </c>
      <c r="I174" s="638"/>
      <c r="J174" s="616"/>
      <c r="K174" s="1677">
        <f>SUM(K160,K172,K173)</f>
        <v>45905</v>
      </c>
      <c r="L174" s="1677">
        <f>SUM(L160,L172,L173)</f>
        <v>49237</v>
      </c>
    </row>
    <row r="175" spans="1:14" ht="13.5" thickTop="1" x14ac:dyDescent="0.2">
      <c r="A175" s="2154" t="s">
        <v>996</v>
      </c>
      <c r="B175" s="2155"/>
      <c r="C175" s="616"/>
      <c r="D175" s="616"/>
      <c r="E175" s="616"/>
      <c r="F175" s="616"/>
      <c r="G175" s="616"/>
      <c r="H175" s="618"/>
      <c r="I175" s="616"/>
      <c r="J175" s="616"/>
      <c r="K175" s="1684">
        <f>'Revenues 9-14'!E268-'Expenditures 15-22'!K174</f>
        <v>-32767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4000</v>
      </c>
      <c r="D182" s="466"/>
      <c r="E182" s="466">
        <v>96560</v>
      </c>
      <c r="F182" s="466"/>
      <c r="G182" s="466"/>
      <c r="H182" s="466"/>
      <c r="I182" s="467"/>
      <c r="J182" s="467"/>
      <c r="K182" s="1671">
        <f>SUM(C182:J182)</f>
        <v>100560</v>
      </c>
      <c r="L182" s="466">
        <v>108235</v>
      </c>
    </row>
    <row r="183" spans="1:14" ht="12.75" customHeight="1" thickBot="1" x14ac:dyDescent="0.25">
      <c r="A183" s="1509" t="s">
        <v>980</v>
      </c>
      <c r="B183" s="677">
        <v>2900</v>
      </c>
      <c r="C183" s="573"/>
      <c r="D183" s="573"/>
      <c r="E183" s="573"/>
      <c r="F183" s="573"/>
      <c r="G183" s="573"/>
      <c r="H183" s="573"/>
      <c r="I183" s="532"/>
      <c r="J183" s="532"/>
      <c r="K183" s="1677">
        <f>SUM(C183:J183)</f>
        <v>0</v>
      </c>
      <c r="L183" s="573">
        <v>0</v>
      </c>
    </row>
    <row r="184" spans="1:14" ht="12.75" customHeight="1" thickTop="1" thickBot="1" x14ac:dyDescent="0.25">
      <c r="A184" s="1691" t="s">
        <v>811</v>
      </c>
      <c r="B184" s="1669" t="s">
        <v>569</v>
      </c>
      <c r="C184" s="1677">
        <f>SUM(C180,C182,C183)</f>
        <v>4000</v>
      </c>
      <c r="D184" s="1677">
        <f t="shared" ref="D184:J184" si="17">SUM(D180,D182,D183)</f>
        <v>0</v>
      </c>
      <c r="E184" s="1677">
        <f t="shared" si="17"/>
        <v>96560</v>
      </c>
      <c r="F184" s="1677">
        <f t="shared" si="17"/>
        <v>0</v>
      </c>
      <c r="G184" s="1677">
        <f t="shared" si="17"/>
        <v>0</v>
      </c>
      <c r="H184" s="1677">
        <f t="shared" si="17"/>
        <v>0</v>
      </c>
      <c r="I184" s="1677">
        <f t="shared" si="17"/>
        <v>0</v>
      </c>
      <c r="J184" s="1677">
        <f t="shared" si="17"/>
        <v>0</v>
      </c>
      <c r="K184" s="1677">
        <f>SUM(K180,K182,K183)</f>
        <v>100560</v>
      </c>
      <c r="L184" s="1677">
        <f>SUM(L180, L182:L183)</f>
        <v>108235</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v>0</v>
      </c>
    </row>
    <row r="189" spans="1:14" x14ac:dyDescent="0.2">
      <c r="A189" s="1504" t="s">
        <v>304</v>
      </c>
      <c r="B189" s="614">
        <v>4120</v>
      </c>
      <c r="C189" s="616"/>
      <c r="D189" s="616"/>
      <c r="E189" s="466"/>
      <c r="F189" s="616"/>
      <c r="G189" s="616"/>
      <c r="H189" s="466"/>
      <c r="I189" s="477"/>
      <c r="J189" s="616"/>
      <c r="K189" s="1671">
        <f t="shared" si="18"/>
        <v>0</v>
      </c>
      <c r="L189" s="466">
        <v>0</v>
      </c>
    </row>
    <row r="190" spans="1:14" x14ac:dyDescent="0.2">
      <c r="A190" s="1504" t="s">
        <v>305</v>
      </c>
      <c r="B190" s="628">
        <v>4130</v>
      </c>
      <c r="C190" s="616"/>
      <c r="D190" s="616"/>
      <c r="E190" s="466"/>
      <c r="F190" s="616"/>
      <c r="G190" s="616"/>
      <c r="H190" s="466"/>
      <c r="I190" s="477"/>
      <c r="J190" s="616"/>
      <c r="K190" s="1671">
        <f t="shared" si="18"/>
        <v>0</v>
      </c>
      <c r="L190" s="466">
        <v>0</v>
      </c>
    </row>
    <row r="191" spans="1:14" x14ac:dyDescent="0.2">
      <c r="A191" s="1504" t="s">
        <v>697</v>
      </c>
      <c r="B191" s="614">
        <v>4140</v>
      </c>
      <c r="C191" s="616"/>
      <c r="D191" s="616"/>
      <c r="E191" s="466"/>
      <c r="F191" s="616"/>
      <c r="G191" s="616"/>
      <c r="H191" s="466"/>
      <c r="I191" s="477"/>
      <c r="J191" s="616"/>
      <c r="K191" s="1671">
        <f t="shared" si="18"/>
        <v>0</v>
      </c>
      <c r="L191" s="466">
        <v>0</v>
      </c>
    </row>
    <row r="192" spans="1:14" x14ac:dyDescent="0.2">
      <c r="A192" s="1504" t="s">
        <v>86</v>
      </c>
      <c r="B192" s="614">
        <v>4170</v>
      </c>
      <c r="C192" s="616"/>
      <c r="D192" s="616"/>
      <c r="E192" s="466"/>
      <c r="F192" s="616"/>
      <c r="G192" s="616"/>
      <c r="H192" s="466"/>
      <c r="I192" s="477"/>
      <c r="J192" s="616"/>
      <c r="K192" s="1671">
        <f t="shared" si="18"/>
        <v>0</v>
      </c>
      <c r="L192" s="466">
        <v>0</v>
      </c>
    </row>
    <row r="193" spans="1:14" x14ac:dyDescent="0.2">
      <c r="A193" s="1508" t="s">
        <v>698</v>
      </c>
      <c r="B193" s="628">
        <v>4190</v>
      </c>
      <c r="C193" s="616"/>
      <c r="D193" s="616"/>
      <c r="E193" s="466"/>
      <c r="F193" s="616"/>
      <c r="G193" s="616"/>
      <c r="H193" s="466"/>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v>0</v>
      </c>
    </row>
    <row r="200" spans="1:14" x14ac:dyDescent="0.2">
      <c r="A200" s="1504" t="s">
        <v>88</v>
      </c>
      <c r="B200" s="614">
        <v>5120</v>
      </c>
      <c r="C200" s="616"/>
      <c r="D200" s="616"/>
      <c r="E200" s="616"/>
      <c r="F200" s="616"/>
      <c r="G200" s="616"/>
      <c r="H200" s="466"/>
      <c r="I200" s="616"/>
      <c r="J200" s="616"/>
      <c r="K200" s="1671">
        <f>SUM(H200)</f>
        <v>0</v>
      </c>
      <c r="L200" s="466">
        <v>0</v>
      </c>
    </row>
    <row r="201" spans="1:14" ht="12.75" customHeight="1" x14ac:dyDescent="0.2">
      <c r="A201" s="1504" t="s">
        <v>1170</v>
      </c>
      <c r="B201" s="628" t="s">
        <v>617</v>
      </c>
      <c r="C201" s="616"/>
      <c r="D201" s="616"/>
      <c r="E201" s="616"/>
      <c r="F201" s="616"/>
      <c r="G201" s="616"/>
      <c r="H201" s="466"/>
      <c r="I201" s="616"/>
      <c r="J201" s="616"/>
      <c r="K201" s="1671">
        <f>SUM(H201)</f>
        <v>0</v>
      </c>
      <c r="L201" s="466">
        <v>0</v>
      </c>
    </row>
    <row r="202" spans="1:14" x14ac:dyDescent="0.2">
      <c r="A202" s="1504" t="s">
        <v>89</v>
      </c>
      <c r="B202" s="614" t="s">
        <v>589</v>
      </c>
      <c r="C202" s="616"/>
      <c r="D202" s="616"/>
      <c r="E202" s="616"/>
      <c r="F202" s="616"/>
      <c r="G202" s="616"/>
      <c r="H202" s="466"/>
      <c r="I202" s="616"/>
      <c r="J202" s="616"/>
      <c r="K202" s="1671">
        <f>SUM(H202)</f>
        <v>0</v>
      </c>
      <c r="L202" s="466">
        <v>0</v>
      </c>
    </row>
    <row r="203" spans="1:14" x14ac:dyDescent="0.2">
      <c r="A203" s="1516" t="s">
        <v>619</v>
      </c>
      <c r="B203" s="614" t="s">
        <v>618</v>
      </c>
      <c r="C203" s="616"/>
      <c r="D203" s="616"/>
      <c r="E203" s="616"/>
      <c r="F203" s="616"/>
      <c r="G203" s="616"/>
      <c r="H203" s="471"/>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v>0</v>
      </c>
    </row>
    <row r="206" spans="1:14" ht="30" customHeight="1" x14ac:dyDescent="0.2">
      <c r="A206" s="681" t="s">
        <v>1671</v>
      </c>
      <c r="B206" s="672" t="s">
        <v>31</v>
      </c>
      <c r="C206" s="616"/>
      <c r="D206" s="616"/>
      <c r="E206" s="616"/>
      <c r="F206" s="616"/>
      <c r="G206" s="616"/>
      <c r="H206" s="466"/>
      <c r="I206" s="616"/>
      <c r="J206" s="616"/>
      <c r="K206" s="1671">
        <f>SUM(H206)</f>
        <v>0</v>
      </c>
      <c r="L206" s="466">
        <v>0</v>
      </c>
    </row>
    <row r="207" spans="1:14" ht="15.75" customHeight="1" x14ac:dyDescent="0.2">
      <c r="A207" s="621" t="s">
        <v>766</v>
      </c>
      <c r="B207" s="672" t="s">
        <v>84</v>
      </c>
      <c r="C207" s="616"/>
      <c r="D207" s="616"/>
      <c r="E207" s="616"/>
      <c r="F207" s="616"/>
      <c r="G207" s="616"/>
      <c r="H207" s="467"/>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4000</v>
      </c>
      <c r="D210" s="1670">
        <f>SUM(D184,D185)</f>
        <v>0</v>
      </c>
      <c r="E210" s="1670">
        <f>SUM(E184,E185,E196)</f>
        <v>96560</v>
      </c>
      <c r="F210" s="1670">
        <f>SUM(F184,F185)</f>
        <v>0</v>
      </c>
      <c r="G210" s="1670">
        <f>SUM(G184,G185)</f>
        <v>0</v>
      </c>
      <c r="H210" s="1670">
        <f>SUM(H184,H185,H196,H208,H209)</f>
        <v>0</v>
      </c>
      <c r="I210" s="1670">
        <f>SUM(I184,I185)</f>
        <v>0</v>
      </c>
      <c r="J210" s="1670">
        <f>SUM(J184,J185)</f>
        <v>0</v>
      </c>
      <c r="K210" s="1671">
        <f>SUM(K184,K185,K196,K208,K209)</f>
        <v>100560</v>
      </c>
      <c r="L210" s="1670">
        <f>SUM(L184,L185,L196,L208,L209)</f>
        <v>108235</v>
      </c>
    </row>
    <row r="211" spans="1:14" ht="13.5" thickTop="1" x14ac:dyDescent="0.2">
      <c r="A211" s="2154" t="s">
        <v>996</v>
      </c>
      <c r="B211" s="2155"/>
      <c r="C211" s="618"/>
      <c r="D211" s="618"/>
      <c r="E211" s="618"/>
      <c r="F211" s="618"/>
      <c r="G211" s="618"/>
      <c r="H211" s="618"/>
      <c r="I211" s="616"/>
      <c r="J211" s="616"/>
      <c r="K211" s="1684">
        <f>'Revenues 9-14'!F268-'Expenditures 15-22'!K210</f>
        <v>-23841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9010</v>
      </c>
      <c r="E215" s="616"/>
      <c r="F215" s="616"/>
      <c r="G215" s="616"/>
      <c r="H215" s="616"/>
      <c r="I215" s="616"/>
      <c r="J215" s="616"/>
      <c r="K215" s="1671">
        <f>D215</f>
        <v>9010</v>
      </c>
      <c r="L215" s="466">
        <v>5500</v>
      </c>
    </row>
    <row r="216" spans="1:14" x14ac:dyDescent="0.2">
      <c r="A216" s="1504" t="s">
        <v>163</v>
      </c>
      <c r="B216" s="614" t="s">
        <v>967</v>
      </c>
      <c r="C216" s="616"/>
      <c r="D216" s="467"/>
      <c r="E216" s="616"/>
      <c r="F216" s="616"/>
      <c r="G216" s="616"/>
      <c r="H216" s="616"/>
      <c r="I216" s="616"/>
      <c r="J216" s="616"/>
      <c r="K216" s="1671">
        <f t="shared" ref="K216:K228" si="19">D216</f>
        <v>0</v>
      </c>
      <c r="L216" s="466">
        <v>0</v>
      </c>
    </row>
    <row r="217" spans="1:14" x14ac:dyDescent="0.2">
      <c r="A217" s="1504" t="s">
        <v>164</v>
      </c>
      <c r="B217" s="614">
        <v>1200</v>
      </c>
      <c r="C217" s="616"/>
      <c r="D217" s="466">
        <v>151</v>
      </c>
      <c r="E217" s="616"/>
      <c r="F217" s="616"/>
      <c r="G217" s="616"/>
      <c r="H217" s="616"/>
      <c r="I217" s="616"/>
      <c r="J217" s="616"/>
      <c r="K217" s="1671">
        <f t="shared" si="19"/>
        <v>151</v>
      </c>
      <c r="L217" s="466">
        <v>750</v>
      </c>
    </row>
    <row r="218" spans="1:14" x14ac:dyDescent="0.2">
      <c r="A218" s="1504" t="s">
        <v>278</v>
      </c>
      <c r="B218" s="614" t="s">
        <v>968</v>
      </c>
      <c r="C218" s="616"/>
      <c r="D218" s="467"/>
      <c r="E218" s="616"/>
      <c r="F218" s="616"/>
      <c r="G218" s="616"/>
      <c r="H218" s="616"/>
      <c r="I218" s="616"/>
      <c r="J218" s="616"/>
      <c r="K218" s="1671">
        <f t="shared" si="19"/>
        <v>0</v>
      </c>
      <c r="L218" s="466">
        <v>0</v>
      </c>
    </row>
    <row r="219" spans="1:14" x14ac:dyDescent="0.2">
      <c r="A219" s="1504" t="s">
        <v>279</v>
      </c>
      <c r="B219" s="614">
        <v>1250</v>
      </c>
      <c r="C219" s="616"/>
      <c r="D219" s="466">
        <v>6193</v>
      </c>
      <c r="E219" s="616"/>
      <c r="F219" s="616"/>
      <c r="G219" s="616"/>
      <c r="H219" s="616"/>
      <c r="I219" s="616"/>
      <c r="J219" s="616"/>
      <c r="K219" s="1671">
        <f t="shared" si="19"/>
        <v>6193</v>
      </c>
      <c r="L219" s="466">
        <v>8050</v>
      </c>
    </row>
    <row r="220" spans="1:14" x14ac:dyDescent="0.2">
      <c r="A220" s="1504" t="s">
        <v>280</v>
      </c>
      <c r="B220" s="614" t="s">
        <v>161</v>
      </c>
      <c r="C220" s="616"/>
      <c r="D220" s="467"/>
      <c r="E220" s="616"/>
      <c r="F220" s="616"/>
      <c r="G220" s="616"/>
      <c r="H220" s="616"/>
      <c r="I220" s="616"/>
      <c r="J220" s="616"/>
      <c r="K220" s="1671">
        <f t="shared" si="19"/>
        <v>0</v>
      </c>
      <c r="L220" s="466">
        <v>0</v>
      </c>
    </row>
    <row r="221" spans="1:14" x14ac:dyDescent="0.2">
      <c r="A221" s="1504" t="s">
        <v>962</v>
      </c>
      <c r="B221" s="614">
        <v>1300</v>
      </c>
      <c r="C221" s="616"/>
      <c r="D221" s="466"/>
      <c r="E221" s="616"/>
      <c r="F221" s="616"/>
      <c r="G221" s="616"/>
      <c r="H221" s="616"/>
      <c r="I221" s="616"/>
      <c r="J221" s="616"/>
      <c r="K221" s="1671">
        <f t="shared" si="19"/>
        <v>0</v>
      </c>
      <c r="L221" s="466">
        <v>0</v>
      </c>
    </row>
    <row r="222" spans="1:14" x14ac:dyDescent="0.2">
      <c r="A222" s="1504" t="s">
        <v>723</v>
      </c>
      <c r="B222" s="614">
        <v>1400</v>
      </c>
      <c r="C222" s="616"/>
      <c r="D222" s="466"/>
      <c r="E222" s="616"/>
      <c r="F222" s="616"/>
      <c r="G222" s="616"/>
      <c r="H222" s="616"/>
      <c r="I222" s="616"/>
      <c r="J222" s="616"/>
      <c r="K222" s="1671">
        <f t="shared" si="19"/>
        <v>0</v>
      </c>
      <c r="L222" s="466">
        <v>0</v>
      </c>
    </row>
    <row r="223" spans="1:14" x14ac:dyDescent="0.2">
      <c r="A223" s="1504" t="s">
        <v>963</v>
      </c>
      <c r="B223" s="614">
        <v>1500</v>
      </c>
      <c r="C223" s="616"/>
      <c r="D223" s="466"/>
      <c r="E223" s="616"/>
      <c r="F223" s="616"/>
      <c r="G223" s="616"/>
      <c r="H223" s="616"/>
      <c r="I223" s="616"/>
      <c r="J223" s="616"/>
      <c r="K223" s="1671">
        <f t="shared" si="19"/>
        <v>0</v>
      </c>
      <c r="L223" s="466">
        <v>0</v>
      </c>
    </row>
    <row r="224" spans="1:14" x14ac:dyDescent="0.2">
      <c r="A224" s="1504" t="s">
        <v>964</v>
      </c>
      <c r="B224" s="614">
        <v>1600</v>
      </c>
      <c r="C224" s="616"/>
      <c r="D224" s="466"/>
      <c r="E224" s="616"/>
      <c r="F224" s="616"/>
      <c r="G224" s="616"/>
      <c r="H224" s="616"/>
      <c r="I224" s="616"/>
      <c r="J224" s="616"/>
      <c r="K224" s="1671">
        <f t="shared" si="19"/>
        <v>0</v>
      </c>
      <c r="L224" s="466">
        <v>0</v>
      </c>
    </row>
    <row r="225" spans="1:12" x14ac:dyDescent="0.2">
      <c r="A225" s="1504" t="s">
        <v>987</v>
      </c>
      <c r="B225" s="614">
        <v>1650</v>
      </c>
      <c r="C225" s="616"/>
      <c r="D225" s="466"/>
      <c r="E225" s="616"/>
      <c r="F225" s="616"/>
      <c r="G225" s="616"/>
      <c r="H225" s="616"/>
      <c r="I225" s="616"/>
      <c r="J225" s="616"/>
      <c r="K225" s="1671">
        <f t="shared" si="19"/>
        <v>0</v>
      </c>
      <c r="L225" s="466">
        <v>0</v>
      </c>
    </row>
    <row r="226" spans="1:12" x14ac:dyDescent="0.2">
      <c r="A226" s="1504" t="s">
        <v>724</v>
      </c>
      <c r="B226" s="614" t="s">
        <v>162</v>
      </c>
      <c r="C226" s="616"/>
      <c r="D226" s="467"/>
      <c r="E226" s="616"/>
      <c r="F226" s="616"/>
      <c r="G226" s="616"/>
      <c r="H226" s="616"/>
      <c r="I226" s="616"/>
      <c r="J226" s="616"/>
      <c r="K226" s="1671">
        <f t="shared" si="19"/>
        <v>0</v>
      </c>
      <c r="L226" s="466">
        <v>0</v>
      </c>
    </row>
    <row r="227" spans="1:12" x14ac:dyDescent="0.2">
      <c r="A227" s="1504" t="s">
        <v>1087</v>
      </c>
      <c r="B227" s="614">
        <v>1800</v>
      </c>
      <c r="C227" s="616"/>
      <c r="D227" s="466"/>
      <c r="E227" s="616"/>
      <c r="F227" s="616"/>
      <c r="G227" s="616"/>
      <c r="H227" s="616"/>
      <c r="I227" s="616"/>
      <c r="J227" s="616"/>
      <c r="K227" s="1671">
        <f t="shared" si="19"/>
        <v>0</v>
      </c>
      <c r="L227" s="466">
        <v>0</v>
      </c>
    </row>
    <row r="228" spans="1:12" x14ac:dyDescent="0.2">
      <c r="A228" s="1504" t="s">
        <v>1088</v>
      </c>
      <c r="B228" s="614">
        <v>1900</v>
      </c>
      <c r="C228" s="616"/>
      <c r="D228" s="466"/>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15354</v>
      </c>
      <c r="E229" s="616"/>
      <c r="F229" s="616"/>
      <c r="G229" s="616"/>
      <c r="H229" s="616"/>
      <c r="I229" s="616"/>
      <c r="J229" s="616"/>
      <c r="K229" s="1670">
        <f>SUM(K215:K228)</f>
        <v>15354</v>
      </c>
      <c r="L229" s="1670">
        <f>SUM(L215:L228)</f>
        <v>14300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v>0</v>
      </c>
    </row>
    <row r="233" spans="1:12" x14ac:dyDescent="0.2">
      <c r="A233" s="1504" t="s">
        <v>1090</v>
      </c>
      <c r="B233" s="614">
        <v>2120</v>
      </c>
      <c r="C233" s="616"/>
      <c r="D233" s="466"/>
      <c r="E233" s="616"/>
      <c r="F233" s="616"/>
      <c r="G233" s="616"/>
      <c r="H233" s="616"/>
      <c r="I233" s="616"/>
      <c r="J233" s="616"/>
      <c r="K233" s="1671">
        <f t="shared" si="20"/>
        <v>0</v>
      </c>
      <c r="L233" s="466">
        <v>0</v>
      </c>
    </row>
    <row r="234" spans="1:12" x14ac:dyDescent="0.2">
      <c r="A234" s="1504" t="s">
        <v>198</v>
      </c>
      <c r="B234" s="614">
        <v>2130</v>
      </c>
      <c r="C234" s="616"/>
      <c r="D234" s="466"/>
      <c r="E234" s="616"/>
      <c r="F234" s="616"/>
      <c r="G234" s="616"/>
      <c r="H234" s="616"/>
      <c r="I234" s="616"/>
      <c r="J234" s="616"/>
      <c r="K234" s="1671">
        <f t="shared" si="20"/>
        <v>0</v>
      </c>
      <c r="L234" s="466">
        <v>0</v>
      </c>
    </row>
    <row r="235" spans="1:12" x14ac:dyDescent="0.2">
      <c r="A235" s="1504" t="s">
        <v>199</v>
      </c>
      <c r="B235" s="614">
        <v>2140</v>
      </c>
      <c r="C235" s="616"/>
      <c r="D235" s="466"/>
      <c r="E235" s="616"/>
      <c r="F235" s="616"/>
      <c r="G235" s="616"/>
      <c r="H235" s="616"/>
      <c r="I235" s="616"/>
      <c r="J235" s="616"/>
      <c r="K235" s="1671">
        <f t="shared" si="20"/>
        <v>0</v>
      </c>
      <c r="L235" s="466">
        <v>0</v>
      </c>
    </row>
    <row r="236" spans="1:12" x14ac:dyDescent="0.2">
      <c r="A236" s="1504" t="s">
        <v>200</v>
      </c>
      <c r="B236" s="614">
        <v>2150</v>
      </c>
      <c r="C236" s="616"/>
      <c r="D236" s="466">
        <v>290</v>
      </c>
      <c r="E236" s="616"/>
      <c r="F236" s="616"/>
      <c r="G236" s="616"/>
      <c r="H236" s="616"/>
      <c r="I236" s="616"/>
      <c r="J236" s="616"/>
      <c r="K236" s="1671">
        <f t="shared" si="20"/>
        <v>290</v>
      </c>
      <c r="L236" s="466">
        <v>300</v>
      </c>
    </row>
    <row r="237" spans="1:12" x14ac:dyDescent="0.2">
      <c r="A237" s="1504" t="s">
        <v>165</v>
      </c>
      <c r="B237" s="614">
        <v>2190</v>
      </c>
      <c r="C237" s="616"/>
      <c r="D237" s="466"/>
      <c r="E237" s="616"/>
      <c r="F237" s="616"/>
      <c r="G237" s="616"/>
      <c r="H237" s="616"/>
      <c r="I237" s="616"/>
      <c r="J237" s="616"/>
      <c r="K237" s="1671">
        <f t="shared" si="20"/>
        <v>0</v>
      </c>
      <c r="L237" s="466">
        <v>0</v>
      </c>
    </row>
    <row r="238" spans="1:12" ht="12.75" customHeight="1" thickBot="1" x14ac:dyDescent="0.25">
      <c r="A238" s="1668" t="s">
        <v>560</v>
      </c>
      <c r="B238" s="1675" t="s">
        <v>716</v>
      </c>
      <c r="C238" s="616"/>
      <c r="D238" s="1670">
        <f>SUM(D232:D237)</f>
        <v>290</v>
      </c>
      <c r="E238" s="616"/>
      <c r="F238" s="616"/>
      <c r="G238" s="616"/>
      <c r="H238" s="616"/>
      <c r="I238" s="616"/>
      <c r="J238" s="616"/>
      <c r="K238" s="1670">
        <f>SUM(K232:K237)</f>
        <v>290</v>
      </c>
      <c r="L238" s="1670">
        <f>SUM(L232:L237)</f>
        <v>300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v>0</v>
      </c>
    </row>
    <row r="241" spans="1:12" x14ac:dyDescent="0.2">
      <c r="A241" s="1504" t="s">
        <v>815</v>
      </c>
      <c r="B241" s="614">
        <v>2220</v>
      </c>
      <c r="C241" s="616"/>
      <c r="D241" s="466"/>
      <c r="E241" s="616"/>
      <c r="F241" s="616"/>
      <c r="G241" s="616"/>
      <c r="H241" s="616"/>
      <c r="I241" s="616"/>
      <c r="J241" s="616"/>
      <c r="K241" s="1672">
        <f>D241</f>
        <v>0</v>
      </c>
      <c r="L241" s="466">
        <v>0</v>
      </c>
    </row>
    <row r="242" spans="1:12" x14ac:dyDescent="0.2">
      <c r="A242" s="1504" t="s">
        <v>816</v>
      </c>
      <c r="B242" s="614">
        <v>2230</v>
      </c>
      <c r="C242" s="616"/>
      <c r="D242" s="466"/>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1234</v>
      </c>
      <c r="E245" s="616"/>
      <c r="F245" s="616"/>
      <c r="G245" s="616"/>
      <c r="H245" s="616"/>
      <c r="I245" s="616"/>
      <c r="J245" s="616"/>
      <c r="K245" s="1672">
        <f>D245</f>
        <v>1234</v>
      </c>
      <c r="L245" s="481">
        <v>1275</v>
      </c>
    </row>
    <row r="246" spans="1:12" x14ac:dyDescent="0.2">
      <c r="A246" s="1504" t="s">
        <v>818</v>
      </c>
      <c r="B246" s="614">
        <v>2320</v>
      </c>
      <c r="C246" s="616"/>
      <c r="D246" s="466"/>
      <c r="E246" s="616"/>
      <c r="F246" s="616"/>
      <c r="G246" s="616"/>
      <c r="H246" s="616"/>
      <c r="I246" s="616"/>
      <c r="J246" s="616"/>
      <c r="K246" s="1672">
        <f t="shared" ref="K246:K256" si="21">D246</f>
        <v>0</v>
      </c>
      <c r="L246" s="466">
        <v>0</v>
      </c>
    </row>
    <row r="247" spans="1:12" x14ac:dyDescent="0.2">
      <c r="A247" s="1504" t="s">
        <v>819</v>
      </c>
      <c r="B247" s="614">
        <v>2330</v>
      </c>
      <c r="C247" s="616"/>
      <c r="D247" s="466"/>
      <c r="E247" s="616"/>
      <c r="F247" s="616"/>
      <c r="G247" s="616"/>
      <c r="H247" s="616"/>
      <c r="I247" s="616"/>
      <c r="J247" s="616"/>
      <c r="K247" s="1672">
        <f t="shared" si="21"/>
        <v>0</v>
      </c>
      <c r="L247" s="466">
        <v>0</v>
      </c>
    </row>
    <row r="248" spans="1:12" x14ac:dyDescent="0.2">
      <c r="A248" s="1505" t="s">
        <v>299</v>
      </c>
      <c r="B248" s="602" t="s">
        <v>281</v>
      </c>
      <c r="C248" s="616"/>
      <c r="D248" s="474"/>
      <c r="E248" s="616"/>
      <c r="F248" s="616"/>
      <c r="G248" s="616"/>
      <c r="H248" s="616"/>
      <c r="I248" s="616"/>
      <c r="J248" s="616"/>
      <c r="K248" s="1672">
        <f t="shared" si="21"/>
        <v>0</v>
      </c>
      <c r="L248" s="466">
        <v>0</v>
      </c>
    </row>
    <row r="249" spans="1:12" x14ac:dyDescent="0.2">
      <c r="A249" s="1506" t="s">
        <v>1805</v>
      </c>
      <c r="B249" s="683" t="s">
        <v>282</v>
      </c>
      <c r="C249" s="616"/>
      <c r="D249" s="474"/>
      <c r="E249" s="616"/>
      <c r="F249" s="616"/>
      <c r="G249" s="616"/>
      <c r="H249" s="616"/>
      <c r="I249" s="616"/>
      <c r="J249" s="616"/>
      <c r="K249" s="1672">
        <f t="shared" si="21"/>
        <v>0</v>
      </c>
      <c r="L249" s="466">
        <v>0</v>
      </c>
    </row>
    <row r="250" spans="1:12" x14ac:dyDescent="0.2">
      <c r="A250" s="1505" t="s">
        <v>1806</v>
      </c>
      <c r="B250" s="602" t="s">
        <v>283</v>
      </c>
      <c r="C250" s="616"/>
      <c r="D250" s="474"/>
      <c r="E250" s="616"/>
      <c r="F250" s="616"/>
      <c r="G250" s="616"/>
      <c r="H250" s="616"/>
      <c r="I250" s="616"/>
      <c r="J250" s="616"/>
      <c r="K250" s="1672">
        <f t="shared" si="21"/>
        <v>0</v>
      </c>
      <c r="L250" s="466">
        <v>0</v>
      </c>
    </row>
    <row r="251" spans="1:12" x14ac:dyDescent="0.2">
      <c r="A251" s="1505" t="s">
        <v>238</v>
      </c>
      <c r="B251" s="602" t="s">
        <v>284</v>
      </c>
      <c r="C251" s="616"/>
      <c r="D251" s="474"/>
      <c r="E251" s="616"/>
      <c r="F251" s="616"/>
      <c r="G251" s="616"/>
      <c r="H251" s="616"/>
      <c r="I251" s="616"/>
      <c r="J251" s="616"/>
      <c r="K251" s="1672">
        <f t="shared" si="21"/>
        <v>0</v>
      </c>
      <c r="L251" s="466">
        <v>0</v>
      </c>
    </row>
    <row r="252" spans="1:12" x14ac:dyDescent="0.2">
      <c r="A252" s="1505" t="s">
        <v>702</v>
      </c>
      <c r="B252" s="602" t="s">
        <v>285</v>
      </c>
      <c r="C252" s="616"/>
      <c r="D252" s="474"/>
      <c r="E252" s="616"/>
      <c r="F252" s="616"/>
      <c r="G252" s="616"/>
      <c r="H252" s="616"/>
      <c r="I252" s="616"/>
      <c r="J252" s="616"/>
      <c r="K252" s="1672">
        <f t="shared" si="21"/>
        <v>0</v>
      </c>
      <c r="L252" s="466">
        <v>0</v>
      </c>
    </row>
    <row r="253" spans="1:12" x14ac:dyDescent="0.2">
      <c r="A253" s="1505" t="s">
        <v>239</v>
      </c>
      <c r="B253" s="602" t="s">
        <v>286</v>
      </c>
      <c r="C253" s="616"/>
      <c r="D253" s="474"/>
      <c r="E253" s="616"/>
      <c r="F253" s="616"/>
      <c r="G253" s="616"/>
      <c r="H253" s="616"/>
      <c r="I253" s="616"/>
      <c r="J253" s="616"/>
      <c r="K253" s="1672">
        <f t="shared" si="21"/>
        <v>0</v>
      </c>
      <c r="L253" s="466">
        <v>0</v>
      </c>
    </row>
    <row r="254" spans="1:12" ht="22.5" x14ac:dyDescent="0.2">
      <c r="A254" s="1505" t="s">
        <v>1029</v>
      </c>
      <c r="B254" s="683" t="s">
        <v>287</v>
      </c>
      <c r="C254" s="616"/>
      <c r="D254" s="474"/>
      <c r="E254" s="616"/>
      <c r="F254" s="616"/>
      <c r="G254" s="616"/>
      <c r="H254" s="616"/>
      <c r="I254" s="616"/>
      <c r="J254" s="616"/>
      <c r="K254" s="1672">
        <f t="shared" si="21"/>
        <v>0</v>
      </c>
      <c r="L254" s="466">
        <v>0</v>
      </c>
    </row>
    <row r="255" spans="1:12" x14ac:dyDescent="0.2">
      <c r="A255" s="1505" t="s">
        <v>1030</v>
      </c>
      <c r="B255" s="602" t="s">
        <v>288</v>
      </c>
      <c r="C255" s="616"/>
      <c r="D255" s="474"/>
      <c r="E255" s="616"/>
      <c r="F255" s="616"/>
      <c r="G255" s="616"/>
      <c r="H255" s="616"/>
      <c r="I255" s="616"/>
      <c r="J255" s="616"/>
      <c r="K255" s="1672">
        <f t="shared" si="21"/>
        <v>0</v>
      </c>
      <c r="L255" s="466">
        <v>0</v>
      </c>
    </row>
    <row r="256" spans="1:12" x14ac:dyDescent="0.2">
      <c r="A256" s="1505" t="s">
        <v>971</v>
      </c>
      <c r="B256" s="614" t="s">
        <v>289</v>
      </c>
      <c r="C256" s="616"/>
      <c r="D256" s="474"/>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1234</v>
      </c>
      <c r="E257" s="616"/>
      <c r="F257" s="616"/>
      <c r="G257" s="616"/>
      <c r="H257" s="616"/>
      <c r="I257" s="616"/>
      <c r="J257" s="616"/>
      <c r="K257" s="1670">
        <f>SUM(K245:K256)</f>
        <v>1234</v>
      </c>
      <c r="L257" s="1670">
        <f>SUM(L245:L256)</f>
        <v>1275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v>0</v>
      </c>
    </row>
    <row r="260" spans="1:14" s="597" customFormat="1" x14ac:dyDescent="0.2">
      <c r="A260" s="1522" t="s">
        <v>1804</v>
      </c>
      <c r="B260" s="628">
        <v>2490</v>
      </c>
      <c r="C260" s="616"/>
      <c r="D260" s="466"/>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v>0</v>
      </c>
    </row>
    <row r="264" spans="1:14" x14ac:dyDescent="0.2">
      <c r="A264" s="1504" t="s">
        <v>463</v>
      </c>
      <c r="B264" s="685">
        <v>2520</v>
      </c>
      <c r="C264" s="616"/>
      <c r="D264" s="466">
        <v>5362</v>
      </c>
      <c r="E264" s="616"/>
      <c r="F264" s="616"/>
      <c r="G264" s="616"/>
      <c r="H264" s="616"/>
      <c r="I264" s="616"/>
      <c r="J264" s="616"/>
      <c r="K264" s="1672">
        <f t="shared" ref="K264:K269" si="22">D264</f>
        <v>5362</v>
      </c>
      <c r="L264" s="466">
        <v>5700</v>
      </c>
    </row>
    <row r="265" spans="1:14" x14ac:dyDescent="0.2">
      <c r="A265" s="1504" t="s">
        <v>4</v>
      </c>
      <c r="B265" s="614">
        <v>2530</v>
      </c>
      <c r="C265" s="616"/>
      <c r="D265" s="466"/>
      <c r="E265" s="616"/>
      <c r="F265" s="616"/>
      <c r="G265" s="616"/>
      <c r="H265" s="616"/>
      <c r="I265" s="616"/>
      <c r="J265" s="616"/>
      <c r="K265" s="1672">
        <f t="shared" si="22"/>
        <v>0</v>
      </c>
      <c r="L265" s="466">
        <v>0</v>
      </c>
    </row>
    <row r="266" spans="1:14" x14ac:dyDescent="0.2">
      <c r="A266" s="1504" t="s">
        <v>197</v>
      </c>
      <c r="B266" s="614">
        <v>2540</v>
      </c>
      <c r="C266" s="616"/>
      <c r="D266" s="466">
        <v>7055</v>
      </c>
      <c r="E266" s="616"/>
      <c r="F266" s="616"/>
      <c r="G266" s="616"/>
      <c r="H266" s="616"/>
      <c r="I266" s="616"/>
      <c r="J266" s="616"/>
      <c r="K266" s="1672">
        <f t="shared" si="22"/>
        <v>7055</v>
      </c>
      <c r="L266" s="466">
        <v>8000</v>
      </c>
    </row>
    <row r="267" spans="1:14" x14ac:dyDescent="0.2">
      <c r="A267" s="1504" t="s">
        <v>953</v>
      </c>
      <c r="B267" s="614">
        <v>2550</v>
      </c>
      <c r="C267" s="616"/>
      <c r="D267" s="466"/>
      <c r="E267" s="616"/>
      <c r="F267" s="616"/>
      <c r="G267" s="616"/>
      <c r="H267" s="616"/>
      <c r="I267" s="616"/>
      <c r="J267" s="616"/>
      <c r="K267" s="1672">
        <f t="shared" si="22"/>
        <v>0</v>
      </c>
      <c r="L267" s="466">
        <v>0</v>
      </c>
    </row>
    <row r="268" spans="1:14" x14ac:dyDescent="0.2">
      <c r="A268" s="1504" t="s">
        <v>100</v>
      </c>
      <c r="B268" s="614">
        <v>2560</v>
      </c>
      <c r="C268" s="616"/>
      <c r="D268" s="466">
        <v>5927</v>
      </c>
      <c r="E268" s="616"/>
      <c r="F268" s="616"/>
      <c r="G268" s="616"/>
      <c r="H268" s="616"/>
      <c r="I268" s="616"/>
      <c r="J268" s="616"/>
      <c r="K268" s="1672">
        <f t="shared" si="22"/>
        <v>5927</v>
      </c>
      <c r="L268" s="466">
        <v>6725</v>
      </c>
    </row>
    <row r="269" spans="1:14" x14ac:dyDescent="0.2">
      <c r="A269" s="1504" t="s">
        <v>101</v>
      </c>
      <c r="B269" s="614">
        <v>2570</v>
      </c>
      <c r="C269" s="616"/>
      <c r="D269" s="466"/>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18344</v>
      </c>
      <c r="E270" s="616"/>
      <c r="F270" s="616"/>
      <c r="G270" s="616"/>
      <c r="H270" s="616"/>
      <c r="I270" s="616"/>
      <c r="J270" s="616"/>
      <c r="K270" s="1670">
        <f>SUM(K263:K269)</f>
        <v>18344</v>
      </c>
      <c r="L270" s="1670">
        <f>SUM(L263:L269)</f>
        <v>20425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v>0</v>
      </c>
    </row>
    <row r="273" spans="1:12" x14ac:dyDescent="0.2">
      <c r="A273" s="1504" t="s">
        <v>607</v>
      </c>
      <c r="B273" s="628">
        <v>2620</v>
      </c>
      <c r="C273" s="616"/>
      <c r="D273" s="466"/>
      <c r="E273" s="616"/>
      <c r="F273" s="616"/>
      <c r="G273" s="616"/>
      <c r="H273" s="616"/>
      <c r="I273" s="616"/>
      <c r="J273" s="616"/>
      <c r="K273" s="1672">
        <f>D273</f>
        <v>0</v>
      </c>
      <c r="L273" s="466">
        <v>0</v>
      </c>
    </row>
    <row r="274" spans="1:12" ht="12" customHeight="1" x14ac:dyDescent="0.2">
      <c r="A274" s="1504" t="s">
        <v>1061</v>
      </c>
      <c r="B274" s="614">
        <v>2630</v>
      </c>
      <c r="C274" s="616"/>
      <c r="D274" s="466"/>
      <c r="E274" s="616"/>
      <c r="F274" s="616"/>
      <c r="G274" s="616"/>
      <c r="H274" s="616"/>
      <c r="I274" s="616"/>
      <c r="J274" s="616"/>
      <c r="K274" s="1672">
        <f>D274</f>
        <v>0</v>
      </c>
      <c r="L274" s="466">
        <v>0</v>
      </c>
    </row>
    <row r="275" spans="1:12" x14ac:dyDescent="0.2">
      <c r="A275" s="1504" t="s">
        <v>403</v>
      </c>
      <c r="B275" s="614">
        <v>2640</v>
      </c>
      <c r="C275" s="616"/>
      <c r="D275" s="466"/>
      <c r="E275" s="616"/>
      <c r="F275" s="616"/>
      <c r="G275" s="616"/>
      <c r="H275" s="616"/>
      <c r="I275" s="616"/>
      <c r="J275" s="616"/>
      <c r="K275" s="1672">
        <f>D275</f>
        <v>0</v>
      </c>
      <c r="L275" s="466">
        <v>0</v>
      </c>
    </row>
    <row r="276" spans="1:12" x14ac:dyDescent="0.2">
      <c r="A276" s="1504" t="s">
        <v>404</v>
      </c>
      <c r="B276" s="614">
        <v>2660</v>
      </c>
      <c r="C276" s="616"/>
      <c r="D276" s="466"/>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19868</v>
      </c>
      <c r="E279" s="616"/>
      <c r="F279" s="616"/>
      <c r="G279" s="616"/>
      <c r="H279" s="616"/>
      <c r="I279" s="616"/>
      <c r="J279" s="616"/>
      <c r="K279" s="1677">
        <f>SUM(K238,K243,K257,K261,K270,K277,K278)</f>
        <v>19868</v>
      </c>
      <c r="L279" s="1677">
        <f>SUM(L238,L243,L257,L261,L270,L277,L278)</f>
        <v>22000</v>
      </c>
    </row>
    <row r="280" spans="1:12" ht="15.75" customHeight="1" thickTop="1" thickBot="1" x14ac:dyDescent="0.25">
      <c r="A280" s="1624" t="s">
        <v>875</v>
      </c>
      <c r="B280" s="1613">
        <v>3000</v>
      </c>
      <c r="C280" s="616"/>
      <c r="D280" s="576"/>
      <c r="E280" s="616"/>
      <c r="F280" s="616"/>
      <c r="G280" s="616"/>
      <c r="H280" s="616"/>
      <c r="I280" s="616"/>
      <c r="J280" s="616"/>
      <c r="K280" s="1679">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v>0</v>
      </c>
    </row>
    <row r="283" spans="1:12" x14ac:dyDescent="0.2">
      <c r="A283" s="1504" t="s">
        <v>304</v>
      </c>
      <c r="B283" s="614">
        <v>4120</v>
      </c>
      <c r="C283" s="616"/>
      <c r="D283" s="466"/>
      <c r="E283" s="616"/>
      <c r="F283" s="616"/>
      <c r="G283" s="616"/>
      <c r="H283" s="616"/>
      <c r="I283" s="616"/>
      <c r="J283" s="616"/>
      <c r="K283" s="1671">
        <f>D283</f>
        <v>0</v>
      </c>
      <c r="L283" s="466">
        <v>0</v>
      </c>
    </row>
    <row r="284" spans="1:12" x14ac:dyDescent="0.2">
      <c r="A284" s="1504" t="s">
        <v>697</v>
      </c>
      <c r="B284" s="614">
        <v>4140</v>
      </c>
      <c r="C284" s="616"/>
      <c r="D284" s="467"/>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v>0</v>
      </c>
    </row>
    <row r="289" spans="1:14" x14ac:dyDescent="0.2">
      <c r="A289" s="1504" t="s">
        <v>88</v>
      </c>
      <c r="B289" s="614">
        <v>5120</v>
      </c>
      <c r="C289" s="616"/>
      <c r="D289" s="616"/>
      <c r="E289" s="616"/>
      <c r="F289" s="616"/>
      <c r="G289" s="616"/>
      <c r="H289" s="466"/>
      <c r="I289" s="616"/>
      <c r="J289" s="616"/>
      <c r="K289" s="1671">
        <f>H289</f>
        <v>0</v>
      </c>
      <c r="L289" s="466">
        <v>0</v>
      </c>
    </row>
    <row r="290" spans="1:14" ht="12.75" customHeight="1" x14ac:dyDescent="0.2">
      <c r="A290" s="1504" t="s">
        <v>1170</v>
      </c>
      <c r="B290" s="628" t="s">
        <v>617</v>
      </c>
      <c r="C290" s="616"/>
      <c r="D290" s="616"/>
      <c r="E290" s="616"/>
      <c r="F290" s="616"/>
      <c r="G290" s="616"/>
      <c r="H290" s="466"/>
      <c r="I290" s="616"/>
      <c r="J290" s="616"/>
      <c r="K290" s="1671">
        <f>H290</f>
        <v>0</v>
      </c>
      <c r="L290" s="466">
        <v>0</v>
      </c>
    </row>
    <row r="291" spans="1:14" x14ac:dyDescent="0.2">
      <c r="A291" s="1504" t="s">
        <v>89</v>
      </c>
      <c r="B291" s="614" t="s">
        <v>589</v>
      </c>
      <c r="C291" s="616"/>
      <c r="D291" s="616"/>
      <c r="E291" s="616"/>
      <c r="F291" s="616"/>
      <c r="G291" s="616"/>
      <c r="H291" s="466"/>
      <c r="I291" s="616"/>
      <c r="J291" s="616"/>
      <c r="K291" s="1671">
        <f>H291</f>
        <v>0</v>
      </c>
      <c r="L291" s="466">
        <v>0</v>
      </c>
    </row>
    <row r="292" spans="1:14" x14ac:dyDescent="0.2">
      <c r="A292" s="1504" t="s">
        <v>762</v>
      </c>
      <c r="B292" s="614" t="s">
        <v>618</v>
      </c>
      <c r="C292" s="616"/>
      <c r="D292" s="616"/>
      <c r="E292" s="616"/>
      <c r="F292" s="616"/>
      <c r="G292" s="616"/>
      <c r="H292" s="466"/>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72" t="s">
        <v>505</v>
      </c>
      <c r="B295" s="2173"/>
      <c r="C295" s="616"/>
      <c r="D295" s="1670">
        <f>SUM(D229,D279,D280,D285)</f>
        <v>35222</v>
      </c>
      <c r="E295" s="616"/>
      <c r="F295" s="616"/>
      <c r="G295" s="616"/>
      <c r="H295" s="1670">
        <f>H293</f>
        <v>0</v>
      </c>
      <c r="I295" s="616"/>
      <c r="J295" s="616"/>
      <c r="K295" s="1670">
        <f>SUM(K229,K279,K280,K285,K293,K294)</f>
        <v>35222</v>
      </c>
      <c r="L295" s="1670">
        <f>SUM(L229,L279,L280,L285,L293,L294)</f>
        <v>36300</v>
      </c>
    </row>
    <row r="296" spans="1:14" ht="13.5" thickTop="1" x14ac:dyDescent="0.2">
      <c r="A296" s="2154" t="s">
        <v>996</v>
      </c>
      <c r="B296" s="2155"/>
      <c r="C296" s="616"/>
      <c r="D296" s="618"/>
      <c r="E296" s="616"/>
      <c r="F296" s="616"/>
      <c r="G296" s="616"/>
      <c r="H296" s="687"/>
      <c r="I296" s="616"/>
      <c r="J296" s="616"/>
      <c r="K296" s="1684">
        <f>'Revenues 9-14'!G268-'Expenditures 15-22'!K295</f>
        <v>-7011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2505</v>
      </c>
      <c r="H301" s="466">
        <v>2800</v>
      </c>
      <c r="I301" s="467"/>
      <c r="J301" s="467"/>
      <c r="K301" s="1671">
        <f>SUM(C301:J301)</f>
        <v>5305</v>
      </c>
      <c r="L301" s="467">
        <v>8000</v>
      </c>
    </row>
    <row r="302" spans="1:14" ht="13.5" customHeight="1" x14ac:dyDescent="0.2">
      <c r="A302" s="1517" t="s">
        <v>980</v>
      </c>
      <c r="B302" s="614" t="s">
        <v>574</v>
      </c>
      <c r="C302" s="466"/>
      <c r="D302" s="466"/>
      <c r="E302" s="466"/>
      <c r="F302" s="466"/>
      <c r="G302" s="466"/>
      <c r="H302" s="466"/>
      <c r="I302" s="467"/>
      <c r="J302" s="467"/>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2505</v>
      </c>
      <c r="H303" s="1677">
        <f t="shared" si="23"/>
        <v>2800</v>
      </c>
      <c r="I303" s="1677">
        <f t="shared" si="23"/>
        <v>0</v>
      </c>
      <c r="J303" s="1677">
        <f t="shared" si="23"/>
        <v>0</v>
      </c>
      <c r="K303" s="1677">
        <f t="shared" si="23"/>
        <v>5305</v>
      </c>
      <c r="L303" s="1677">
        <f t="shared" si="23"/>
        <v>8000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v>0</v>
      </c>
    </row>
    <row r="307" spans="1:14" x14ac:dyDescent="0.2">
      <c r="A307" s="1504" t="s">
        <v>304</v>
      </c>
      <c r="B307" s="614">
        <v>4120</v>
      </c>
      <c r="C307" s="616"/>
      <c r="D307" s="616"/>
      <c r="E307" s="467"/>
      <c r="F307" s="616"/>
      <c r="G307" s="616"/>
      <c r="H307" s="467"/>
      <c r="I307" s="477"/>
      <c r="J307" s="616"/>
      <c r="K307" s="1671">
        <f>SUM(E307,H307)</f>
        <v>0</v>
      </c>
      <c r="L307" s="466">
        <v>0</v>
      </c>
    </row>
    <row r="308" spans="1:14" x14ac:dyDescent="0.2">
      <c r="A308" s="1504" t="s">
        <v>697</v>
      </c>
      <c r="B308" s="614">
        <v>4140</v>
      </c>
      <c r="C308" s="616"/>
      <c r="D308" s="616"/>
      <c r="E308" s="467"/>
      <c r="F308" s="616"/>
      <c r="G308" s="616"/>
      <c r="H308" s="467"/>
      <c r="I308" s="477"/>
      <c r="J308" s="616"/>
      <c r="K308" s="1671">
        <f>SUM(E308,H308)</f>
        <v>0</v>
      </c>
      <c r="L308" s="466">
        <v>0</v>
      </c>
    </row>
    <row r="309" spans="1:14" ht="12.75" customHeight="1" x14ac:dyDescent="0.2">
      <c r="A309" s="1508" t="s">
        <v>698</v>
      </c>
      <c r="B309" s="628">
        <v>4190</v>
      </c>
      <c r="C309" s="616"/>
      <c r="D309" s="616"/>
      <c r="E309" s="467"/>
      <c r="F309" s="616"/>
      <c r="G309" s="616"/>
      <c r="H309" s="467"/>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69" t="s">
        <v>277</v>
      </c>
      <c r="B312" s="2170"/>
      <c r="C312" s="1670">
        <f>SUM(C303)</f>
        <v>0</v>
      </c>
      <c r="D312" s="1670">
        <f>SUM(D303)</f>
        <v>0</v>
      </c>
      <c r="E312" s="1670">
        <f>SUM(E303,E310)</f>
        <v>0</v>
      </c>
      <c r="F312" s="1670">
        <f>SUM(F303)</f>
        <v>0</v>
      </c>
      <c r="G312" s="1670">
        <f>SUM(G303)</f>
        <v>2505</v>
      </c>
      <c r="H312" s="1670">
        <f>SUM(H303,H310)</f>
        <v>2800</v>
      </c>
      <c r="I312" s="1670">
        <f>SUM(I303)</f>
        <v>0</v>
      </c>
      <c r="J312" s="1670">
        <f>SUM(J303)</f>
        <v>0</v>
      </c>
      <c r="K312" s="1670">
        <f>SUM(K303,K310,K311)</f>
        <v>5305</v>
      </c>
      <c r="L312" s="1670">
        <f>SUM(L303,L310,L311)</f>
        <v>8000</v>
      </c>
      <c r="M312" s="665"/>
      <c r="N312" s="665"/>
    </row>
    <row r="313" spans="1:14" ht="13.5" thickTop="1" x14ac:dyDescent="0.2">
      <c r="A313" s="2165" t="s">
        <v>996</v>
      </c>
      <c r="B313" s="2166"/>
      <c r="C313" s="626"/>
      <c r="D313" s="626"/>
      <c r="E313" s="626"/>
      <c r="F313" s="626"/>
      <c r="G313" s="626"/>
      <c r="H313" s="626"/>
      <c r="I313" s="626"/>
      <c r="J313" s="626"/>
      <c r="K313" s="1685">
        <f>'Revenues 9-14'!H268-'Expenditures 15-22'!K312</f>
        <v>42017</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v>0</v>
      </c>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v>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0</v>
      </c>
      <c r="M321" s="665"/>
      <c r="N321" s="665"/>
    </row>
    <row r="322" spans="1:14" s="674" customFormat="1" x14ac:dyDescent="0.2">
      <c r="A322" s="1519" t="s">
        <v>238</v>
      </c>
      <c r="B322" s="697" t="s">
        <v>284</v>
      </c>
      <c r="C322" s="467"/>
      <c r="D322" s="467"/>
      <c r="E322" s="467">
        <v>27099</v>
      </c>
      <c r="F322" s="467"/>
      <c r="G322" s="467"/>
      <c r="H322" s="467"/>
      <c r="I322" s="467"/>
      <c r="J322" s="467"/>
      <c r="K322" s="1671">
        <f t="shared" si="24"/>
        <v>27099</v>
      </c>
      <c r="L322" s="467">
        <v>29835</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v>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v>0</v>
      </c>
      <c r="M324" s="665"/>
      <c r="N324" s="665"/>
    </row>
    <row r="325" spans="1:14" s="674" customFormat="1" ht="22.5" x14ac:dyDescent="0.2">
      <c r="A325" s="1519" t="s">
        <v>1029</v>
      </c>
      <c r="B325" s="698" t="s">
        <v>287</v>
      </c>
      <c r="C325" s="467">
        <v>47266</v>
      </c>
      <c r="D325" s="467"/>
      <c r="E325" s="467"/>
      <c r="F325" s="467"/>
      <c r="G325" s="467"/>
      <c r="H325" s="467"/>
      <c r="I325" s="467"/>
      <c r="J325" s="467"/>
      <c r="K325" s="1671">
        <f t="shared" si="24"/>
        <v>47266</v>
      </c>
      <c r="L325" s="467">
        <v>55495</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v>0</v>
      </c>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v>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v>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v>0</v>
      </c>
      <c r="M329" s="665"/>
      <c r="N329" s="665"/>
    </row>
    <row r="330" spans="1:14" s="674" customFormat="1" ht="12.75" customHeight="1" thickBot="1" x14ac:dyDescent="0.25">
      <c r="A330" s="1700" t="s">
        <v>717</v>
      </c>
      <c r="B330" s="1669" t="s">
        <v>569</v>
      </c>
      <c r="C330" s="1670">
        <f>SUM(C319:C329)</f>
        <v>47266</v>
      </c>
      <c r="D330" s="1670">
        <f t="shared" ref="D330:J330" si="25">SUM(D319:D329)</f>
        <v>0</v>
      </c>
      <c r="E330" s="1670">
        <f t="shared" si="25"/>
        <v>27099</v>
      </c>
      <c r="F330" s="1670">
        <f t="shared" si="25"/>
        <v>0</v>
      </c>
      <c r="G330" s="1670">
        <f t="shared" si="25"/>
        <v>0</v>
      </c>
      <c r="H330" s="1670">
        <f t="shared" si="25"/>
        <v>0</v>
      </c>
      <c r="I330" s="1670">
        <f t="shared" si="25"/>
        <v>0</v>
      </c>
      <c r="J330" s="1670">
        <f t="shared" si="25"/>
        <v>0</v>
      </c>
      <c r="K330" s="1670">
        <f>SUM(K319:K329)</f>
        <v>74365</v>
      </c>
      <c r="L330" s="1670">
        <f>SUM(L319:L329)</f>
        <v>85330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v>0</v>
      </c>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v>0</v>
      </c>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v>0</v>
      </c>
    </row>
    <row r="338" spans="1:14" ht="12.75" customHeight="1" x14ac:dyDescent="0.2">
      <c r="A338" s="1518" t="s">
        <v>1170</v>
      </c>
      <c r="B338" s="690" t="s">
        <v>617</v>
      </c>
      <c r="C338" s="638"/>
      <c r="D338" s="638"/>
      <c r="E338" s="638"/>
      <c r="F338" s="638"/>
      <c r="G338" s="638"/>
      <c r="H338" s="478"/>
      <c r="I338" s="638"/>
      <c r="J338" s="638"/>
      <c r="K338" s="1671">
        <f>H338</f>
        <v>0</v>
      </c>
      <c r="L338" s="478">
        <v>0</v>
      </c>
    </row>
    <row r="339" spans="1:14" x14ac:dyDescent="0.2">
      <c r="A339" s="1504" t="s">
        <v>901</v>
      </c>
      <c r="B339" s="628">
        <v>5150</v>
      </c>
      <c r="C339" s="638"/>
      <c r="D339" s="638"/>
      <c r="E339" s="638"/>
      <c r="F339" s="638"/>
      <c r="G339" s="638"/>
      <c r="H339" s="467"/>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47266</v>
      </c>
      <c r="D342" s="1670">
        <f>SUM(D330)</f>
        <v>0</v>
      </c>
      <c r="E342" s="1670">
        <f>SUM(E330)</f>
        <v>27099</v>
      </c>
      <c r="F342" s="1670">
        <f>SUM(F330)</f>
        <v>0</v>
      </c>
      <c r="G342" s="1670">
        <f>SUM(G330)</f>
        <v>0</v>
      </c>
      <c r="H342" s="1670">
        <f>SUM(H330,H334,H340)</f>
        <v>0</v>
      </c>
      <c r="I342" s="1670">
        <f>SUM(I330)</f>
        <v>0</v>
      </c>
      <c r="J342" s="1670">
        <f>SUM(J330)</f>
        <v>0</v>
      </c>
      <c r="K342" s="1670">
        <f>SUM(K330,K334,K340)</f>
        <v>74365</v>
      </c>
      <c r="L342" s="1677">
        <f>SUM(L330,L340,L341)</f>
        <v>85330</v>
      </c>
    </row>
    <row r="343" spans="1:14" ht="12.75" customHeight="1" thickTop="1" x14ac:dyDescent="0.2">
      <c r="A343" s="2167" t="s">
        <v>996</v>
      </c>
      <c r="B343" s="2168"/>
      <c r="C343" s="616"/>
      <c r="D343" s="616"/>
      <c r="E343" s="616"/>
      <c r="F343" s="616"/>
      <c r="G343" s="616"/>
      <c r="H343" s="616"/>
      <c r="I343" s="616"/>
      <c r="J343" s="616"/>
      <c r="K343" s="1684">
        <f>'Revenues 9-14'!J268-'Expenditures 15-22'!K342</f>
        <v>-10668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v>0</v>
      </c>
    </row>
    <row r="349" spans="1:14" x14ac:dyDescent="0.2">
      <c r="A349" s="1504" t="s">
        <v>197</v>
      </c>
      <c r="B349" s="614">
        <v>2540</v>
      </c>
      <c r="C349" s="466"/>
      <c r="D349" s="466"/>
      <c r="E349" s="466"/>
      <c r="F349" s="466"/>
      <c r="G349" s="466"/>
      <c r="H349" s="466">
        <v>1227</v>
      </c>
      <c r="I349" s="467"/>
      <c r="J349" s="467"/>
      <c r="K349" s="1671">
        <f>SUM(C349:J349)</f>
        <v>1227</v>
      </c>
      <c r="L349" s="466">
        <v>4027</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1227</v>
      </c>
      <c r="I350" s="1670">
        <f t="shared" si="26"/>
        <v>0</v>
      </c>
      <c r="J350" s="1670">
        <f t="shared" si="26"/>
        <v>0</v>
      </c>
      <c r="K350" s="1670">
        <f t="shared" si="26"/>
        <v>1227</v>
      </c>
      <c r="L350" s="1670">
        <f t="shared" si="26"/>
        <v>4027</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1227</v>
      </c>
      <c r="I352" s="1670">
        <f t="shared" si="27"/>
        <v>0</v>
      </c>
      <c r="J352" s="1670">
        <f t="shared" si="27"/>
        <v>0</v>
      </c>
      <c r="K352" s="1670">
        <f t="shared" si="27"/>
        <v>1227</v>
      </c>
      <c r="L352" s="1670">
        <f t="shared" si="27"/>
        <v>4027</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v>0</v>
      </c>
    </row>
    <row r="355" spans="1:14" ht="12.75" customHeight="1" x14ac:dyDescent="0.2">
      <c r="A355" s="1513" t="s">
        <v>1854</v>
      </c>
      <c r="B355" s="690" t="s">
        <v>1847</v>
      </c>
      <c r="C355" s="616"/>
      <c r="D355" s="616"/>
      <c r="E355" s="616"/>
      <c r="F355" s="616"/>
      <c r="G355" s="616"/>
      <c r="H355" s="467"/>
      <c r="I355" s="701"/>
      <c r="J355" s="616"/>
      <c r="K355" s="1743">
        <f>H355</f>
        <v>0</v>
      </c>
      <c r="L355" s="467">
        <v>0</v>
      </c>
    </row>
    <row r="356" spans="1:14" ht="12.75" customHeight="1" x14ac:dyDescent="0.2">
      <c r="A356" s="1834" t="s">
        <v>698</v>
      </c>
      <c r="B356" s="683" t="s">
        <v>558</v>
      </c>
      <c r="C356" s="616"/>
      <c r="D356" s="616"/>
      <c r="E356" s="616"/>
      <c r="F356" s="616"/>
      <c r="G356" s="616"/>
      <c r="H356" s="479"/>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v>0</v>
      </c>
    </row>
    <row r="361" spans="1:14" ht="12.75" customHeight="1" x14ac:dyDescent="0.2">
      <c r="A361" s="1505" t="s">
        <v>619</v>
      </c>
      <c r="B361" s="602" t="s">
        <v>618</v>
      </c>
      <c r="C361" s="616"/>
      <c r="D361" s="616"/>
      <c r="E361" s="616"/>
      <c r="F361" s="616"/>
      <c r="G361" s="616"/>
      <c r="H361" s="467"/>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1227</v>
      </c>
      <c r="I367" s="1670">
        <f t="shared" si="28"/>
        <v>0</v>
      </c>
      <c r="J367" s="1670">
        <f t="shared" si="28"/>
        <v>0</v>
      </c>
      <c r="K367" s="1670">
        <f t="shared" si="28"/>
        <v>1227</v>
      </c>
      <c r="L367" s="1670">
        <f t="shared" si="28"/>
        <v>4027</v>
      </c>
    </row>
    <row r="368" spans="1:14" ht="13.5" thickTop="1" x14ac:dyDescent="0.2">
      <c r="A368" s="2154" t="s">
        <v>996</v>
      </c>
      <c r="B368" s="2155"/>
      <c r="C368" s="654"/>
      <c r="D368" s="654"/>
      <c r="E368" s="626"/>
      <c r="F368" s="626"/>
      <c r="G368" s="626"/>
      <c r="H368" s="626"/>
      <c r="I368" s="626"/>
      <c r="J368" s="623"/>
      <c r="K368" s="1671">
        <f>'Revenues 9-14'!K268-'Expenditures 15-22'!K367</f>
        <v>2723</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&amp;L&amp;8"The notes are an integral part of these statements"&amp;CPages 15-22</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F36"/>
  <sheetViews>
    <sheetView showGridLines="0" defaultGridColor="0" colorId="8" zoomScale="110" zoomScaleNormal="110" workbookViewId="0">
      <selection activeCell="E10" sqref="E10"/>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1802</v>
      </c>
      <c r="B2" s="1528" t="s">
        <v>1951</v>
      </c>
      <c r="C2" s="714" t="s">
        <v>1952</v>
      </c>
      <c r="D2" s="714" t="s">
        <v>1953</v>
      </c>
      <c r="E2" s="714" t="s">
        <v>1954</v>
      </c>
      <c r="F2" s="714" t="s">
        <v>1955</v>
      </c>
    </row>
    <row r="3" spans="1:6" ht="12" customHeight="1" x14ac:dyDescent="0.2">
      <c r="A3" s="2182"/>
      <c r="B3" s="1525"/>
      <c r="C3" s="1526"/>
      <c r="D3" s="1527" t="s">
        <v>256</v>
      </c>
      <c r="E3" s="1526"/>
      <c r="F3" s="1527" t="s">
        <v>257</v>
      </c>
    </row>
    <row r="4" spans="1:6" ht="13.7" customHeight="1" x14ac:dyDescent="0.2">
      <c r="A4" s="715" t="s">
        <v>1155</v>
      </c>
      <c r="B4" s="1749">
        <f>'Revenues 9-14'!C5</f>
        <v>118498</v>
      </c>
      <c r="C4" s="1524"/>
      <c r="D4" s="1752">
        <f>B4-C4</f>
        <v>118498</v>
      </c>
      <c r="E4" s="1524">
        <v>123113</v>
      </c>
      <c r="F4" s="1752">
        <f>E4-C4</f>
        <v>123113</v>
      </c>
    </row>
    <row r="5" spans="1:6" ht="13.7" customHeight="1" x14ac:dyDescent="0.2">
      <c r="A5" s="715" t="s">
        <v>870</v>
      </c>
      <c r="B5" s="1750">
        <f>'Revenues 9-14'!D5</f>
        <v>27650</v>
      </c>
      <c r="C5" s="585"/>
      <c r="D5" s="1753">
        <f t="shared" ref="D5:D18" si="0">B5-C5</f>
        <v>27650</v>
      </c>
      <c r="E5" s="585">
        <v>28726</v>
      </c>
      <c r="F5" s="1753">
        <f>E5-C5</f>
        <v>28726</v>
      </c>
    </row>
    <row r="6" spans="1:6" ht="13.7" customHeight="1" x14ac:dyDescent="0.2">
      <c r="A6" s="715" t="s">
        <v>411</v>
      </c>
      <c r="B6" s="1750">
        <f>'Revenues 9-14'!E5</f>
        <v>13138</v>
      </c>
      <c r="C6" s="585"/>
      <c r="D6" s="1753">
        <f t="shared" si="0"/>
        <v>13138</v>
      </c>
      <c r="E6" s="585">
        <v>13739</v>
      </c>
      <c r="F6" s="1753">
        <f t="shared" ref="F6:F18" si="1">E6-C6</f>
        <v>13739</v>
      </c>
    </row>
    <row r="7" spans="1:6" ht="13.7" customHeight="1" x14ac:dyDescent="0.2">
      <c r="A7" s="715" t="s">
        <v>155</v>
      </c>
      <c r="B7" s="1750">
        <f>'Revenues 9-14'!F5</f>
        <v>15800</v>
      </c>
      <c r="C7" s="585"/>
      <c r="D7" s="1753">
        <f t="shared" si="0"/>
        <v>15800</v>
      </c>
      <c r="E7" s="585">
        <v>16415</v>
      </c>
      <c r="F7" s="1753">
        <f t="shared" si="1"/>
        <v>16415</v>
      </c>
    </row>
    <row r="8" spans="1:6" ht="13.7" customHeight="1" x14ac:dyDescent="0.2">
      <c r="A8" s="715" t="s">
        <v>1179</v>
      </c>
      <c r="B8" s="1750">
        <f>'Revenues 9-14'!G5</f>
        <v>11242</v>
      </c>
      <c r="C8" s="585"/>
      <c r="D8" s="1753">
        <f t="shared" si="0"/>
        <v>11242</v>
      </c>
      <c r="E8" s="585">
        <v>16325</v>
      </c>
      <c r="F8" s="1753">
        <f t="shared" si="1"/>
        <v>16325</v>
      </c>
    </row>
    <row r="9" spans="1:6" ht="13.7" customHeight="1" x14ac:dyDescent="0.2">
      <c r="A9" s="715" t="s">
        <v>408</v>
      </c>
      <c r="B9" s="1750">
        <f>'Revenues 9-14'!H5</f>
        <v>0</v>
      </c>
      <c r="C9" s="585"/>
      <c r="D9" s="1753">
        <f t="shared" si="0"/>
        <v>0</v>
      </c>
      <c r="E9" s="585">
        <v>0</v>
      </c>
      <c r="F9" s="1753">
        <f t="shared" si="1"/>
        <v>0</v>
      </c>
    </row>
    <row r="10" spans="1:6" ht="13.7" customHeight="1" x14ac:dyDescent="0.2">
      <c r="A10" s="715" t="s">
        <v>407</v>
      </c>
      <c r="B10" s="1750">
        <f>'Revenues 9-14'!I5</f>
        <v>3950</v>
      </c>
      <c r="C10" s="585"/>
      <c r="D10" s="1753">
        <f t="shared" si="0"/>
        <v>3950</v>
      </c>
      <c r="E10" s="585">
        <v>4104</v>
      </c>
      <c r="F10" s="1753">
        <f t="shared" si="1"/>
        <v>4104</v>
      </c>
    </row>
    <row r="11" spans="1:6" x14ac:dyDescent="0.2">
      <c r="A11" s="715" t="s">
        <v>409</v>
      </c>
      <c r="B11" s="1750">
        <f>'Revenues 9-14'!J5</f>
        <v>63697</v>
      </c>
      <c r="C11" s="585"/>
      <c r="D11" s="1753">
        <f t="shared" si="0"/>
        <v>63697</v>
      </c>
      <c r="E11" s="585">
        <v>60006</v>
      </c>
      <c r="F11" s="1753">
        <f t="shared" si="1"/>
        <v>60006</v>
      </c>
    </row>
    <row r="12" spans="1:6" ht="13.7" customHeight="1" x14ac:dyDescent="0.2">
      <c r="A12" s="715" t="s">
        <v>157</v>
      </c>
      <c r="B12" s="1750">
        <f>'Revenues 9-14'!K5</f>
        <v>3950</v>
      </c>
      <c r="C12" s="585"/>
      <c r="D12" s="1753">
        <f t="shared" si="0"/>
        <v>3950</v>
      </c>
      <c r="E12" s="585">
        <v>4104</v>
      </c>
      <c r="F12" s="1753">
        <f t="shared" si="1"/>
        <v>4104</v>
      </c>
    </row>
    <row r="13" spans="1:6" ht="13.7" customHeight="1" x14ac:dyDescent="0.2">
      <c r="A13" s="715" t="s">
        <v>936</v>
      </c>
      <c r="B13" s="1750">
        <f>SUM('Revenues 9-14'!C6:D6)</f>
        <v>0</v>
      </c>
      <c r="C13" s="585"/>
      <c r="D13" s="1753">
        <f t="shared" si="0"/>
        <v>0</v>
      </c>
      <c r="E13" s="585">
        <v>0</v>
      </c>
      <c r="F13" s="1753">
        <f t="shared" si="1"/>
        <v>0</v>
      </c>
    </row>
    <row r="14" spans="1:6" ht="13.7" customHeight="1" x14ac:dyDescent="0.2">
      <c r="A14" s="715" t="s">
        <v>410</v>
      </c>
      <c r="B14" s="1750">
        <f>SUM('Revenues 9-14'!C7:D7,'Revenues 9-14'!F7:H7)</f>
        <v>1580</v>
      </c>
      <c r="C14" s="585"/>
      <c r="D14" s="1753">
        <f t="shared" si="0"/>
        <v>1580</v>
      </c>
      <c r="E14" s="585">
        <v>1642</v>
      </c>
      <c r="F14" s="1753">
        <f t="shared" si="1"/>
        <v>1642</v>
      </c>
    </row>
    <row r="15" spans="1:6" ht="13.7" customHeight="1" x14ac:dyDescent="0.2">
      <c r="A15" s="715" t="s">
        <v>1158</v>
      </c>
      <c r="B15" s="1750">
        <f>SUM('Revenues 9-14'!D9:E9,'Revenues 9-14'!H9)</f>
        <v>0</v>
      </c>
      <c r="C15" s="585"/>
      <c r="D15" s="1753">
        <f t="shared" si="0"/>
        <v>0</v>
      </c>
      <c r="E15" s="585">
        <v>0</v>
      </c>
      <c r="F15" s="1753">
        <f t="shared" si="1"/>
        <v>0</v>
      </c>
    </row>
    <row r="16" spans="1:6" ht="13.7" customHeight="1" x14ac:dyDescent="0.2">
      <c r="A16" s="715" t="s">
        <v>1159</v>
      </c>
      <c r="B16" s="1750">
        <f>'Revenues 9-14'!G8</f>
        <v>16969</v>
      </c>
      <c r="C16" s="585"/>
      <c r="D16" s="1753">
        <f t="shared" si="0"/>
        <v>16969</v>
      </c>
      <c r="E16" s="585">
        <v>19558</v>
      </c>
      <c r="F16" s="1753">
        <f t="shared" si="1"/>
        <v>19558</v>
      </c>
    </row>
    <row r="17" spans="1:6" ht="13.7" customHeight="1" x14ac:dyDescent="0.2">
      <c r="A17" s="715" t="s">
        <v>1160</v>
      </c>
      <c r="B17" s="1750">
        <f>'Revenues 9-14'!C10</f>
        <v>0</v>
      </c>
      <c r="C17" s="585"/>
      <c r="D17" s="1753">
        <f t="shared" si="0"/>
        <v>0</v>
      </c>
      <c r="E17" s="585">
        <v>0</v>
      </c>
      <c r="F17" s="1753">
        <f t="shared" si="1"/>
        <v>0</v>
      </c>
    </row>
    <row r="18" spans="1:6" ht="13.7" customHeight="1" x14ac:dyDescent="0.2">
      <c r="A18" s="715" t="s">
        <v>762</v>
      </c>
      <c r="B18" s="1750">
        <f>SUM('Revenues 9-14'!C11:K11)</f>
        <v>3950</v>
      </c>
      <c r="C18" s="585"/>
      <c r="D18" s="1753">
        <f t="shared" si="0"/>
        <v>3950</v>
      </c>
      <c r="E18" s="585">
        <v>4104</v>
      </c>
      <c r="F18" s="1753">
        <f t="shared" si="1"/>
        <v>4104</v>
      </c>
    </row>
    <row r="19" spans="1:6" ht="13.7" customHeight="1" thickBot="1" x14ac:dyDescent="0.25">
      <c r="A19" s="1754" t="s">
        <v>1161</v>
      </c>
      <c r="B19" s="1751">
        <f>SUM(B4:B18)</f>
        <v>280424</v>
      </c>
      <c r="C19" s="1751">
        <f>SUM(C4:C18)</f>
        <v>0</v>
      </c>
      <c r="D19" s="1751">
        <f>SUM(D4:D18)</f>
        <v>280424</v>
      </c>
      <c r="E19" s="1751">
        <f>SUM(E4:E18)</f>
        <v>291836</v>
      </c>
      <c r="F19" s="1751">
        <f>SUM(F4:F18)</f>
        <v>291836</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&amp;L&amp;8"The notes are an integral part of thes statements"&amp;CPage 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J35" sqref="J3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1"/>
      <c r="C1" s="721"/>
    </row>
    <row r="2" spans="1:7" ht="33.75" x14ac:dyDescent="0.2">
      <c r="A2" s="2208" t="s">
        <v>1802</v>
      </c>
      <c r="B2" s="2209"/>
      <c r="C2" s="1884" t="s">
        <v>1956</v>
      </c>
      <c r="D2" s="723" t="s">
        <v>1957</v>
      </c>
      <c r="E2" s="723" t="s">
        <v>1958</v>
      </c>
      <c r="F2" s="1884" t="s">
        <v>1959</v>
      </c>
    </row>
    <row r="3" spans="1:7" ht="15.75" customHeight="1" x14ac:dyDescent="0.2">
      <c r="A3" s="2210" t="s">
        <v>1114</v>
      </c>
      <c r="B3" s="2211"/>
      <c r="C3" s="2204"/>
      <c r="D3" s="2205"/>
      <c r="E3" s="2205"/>
      <c r="F3" s="2206"/>
    </row>
    <row r="4" spans="1:7" ht="12.75" customHeight="1" thickBot="1" x14ac:dyDescent="0.25">
      <c r="A4" s="2198" t="s">
        <v>630</v>
      </c>
      <c r="B4" s="2199"/>
      <c r="C4" s="581">
        <v>0</v>
      </c>
      <c r="D4" s="581">
        <v>0</v>
      </c>
      <c r="E4" s="581">
        <v>0</v>
      </c>
      <c r="F4" s="1755">
        <f>SUM(C4+D4)-E4</f>
        <v>0</v>
      </c>
    </row>
    <row r="5" spans="1:7" ht="15.75" customHeight="1" thickTop="1" x14ac:dyDescent="0.2">
      <c r="A5" s="2202" t="s">
        <v>1110</v>
      </c>
      <c r="B5" s="2197"/>
      <c r="C5" s="2191"/>
      <c r="D5" s="2192"/>
      <c r="E5" s="2192"/>
      <c r="F5" s="219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4" t="s">
        <v>631</v>
      </c>
      <c r="B15" s="2195"/>
      <c r="C15" s="1755">
        <f>SUM(C6:C14)</f>
        <v>0</v>
      </c>
      <c r="D15" s="1755">
        <f>SUM(D6:D14)</f>
        <v>0</v>
      </c>
      <c r="E15" s="1755">
        <f>SUM(E6:E14)</f>
        <v>0</v>
      </c>
      <c r="F15" s="1755">
        <f>SUM(F6:F14)</f>
        <v>0</v>
      </c>
      <c r="G15" s="552"/>
    </row>
    <row r="16" spans="1:7" s="202" customFormat="1" ht="15.75" customHeight="1" thickTop="1" x14ac:dyDescent="0.2">
      <c r="A16" s="2207" t="s">
        <v>1111</v>
      </c>
      <c r="B16" s="2197"/>
      <c r="C16" s="2191"/>
      <c r="D16" s="2192"/>
      <c r="E16" s="2192"/>
      <c r="F16" s="2193"/>
    </row>
    <row r="17" spans="1:11" ht="12.75" customHeight="1" thickBot="1" x14ac:dyDescent="0.25">
      <c r="A17" s="2189" t="s">
        <v>64</v>
      </c>
      <c r="B17" s="2190"/>
      <c r="C17" s="726"/>
      <c r="D17" s="585"/>
      <c r="E17" s="726"/>
      <c r="F17" s="1755">
        <f>SUM(C17+D17)-E17</f>
        <v>0</v>
      </c>
    </row>
    <row r="18" spans="1:11" ht="12.75" customHeight="1" thickTop="1" thickBot="1" x14ac:dyDescent="0.25">
      <c r="A18" s="2189" t="s">
        <v>6</v>
      </c>
      <c r="B18" s="2190"/>
      <c r="C18" s="726"/>
      <c r="D18" s="585"/>
      <c r="E18" s="726"/>
      <c r="F18" s="1755">
        <f>SUM(C18+D18)-E18</f>
        <v>0</v>
      </c>
    </row>
    <row r="19" spans="1:11" ht="12.75" customHeight="1" thickTop="1" thickBot="1" x14ac:dyDescent="0.25">
      <c r="A19" s="2189" t="s">
        <v>388</v>
      </c>
      <c r="B19" s="2190"/>
      <c r="C19" s="726"/>
      <c r="D19" s="585"/>
      <c r="E19" s="726"/>
      <c r="F19" s="1755">
        <f>SUM(C19+D19)-E19</f>
        <v>0</v>
      </c>
    </row>
    <row r="20" spans="1:11" ht="12.75" customHeight="1" thickTop="1" thickBot="1" x14ac:dyDescent="0.25">
      <c r="A20" s="2189" t="s">
        <v>448</v>
      </c>
      <c r="B20" s="2190"/>
      <c r="C20" s="726"/>
      <c r="D20" s="585"/>
      <c r="E20" s="726"/>
      <c r="F20" s="1755">
        <f>SUM(C20+D20)-E20</f>
        <v>0</v>
      </c>
    </row>
    <row r="21" spans="1:11" ht="14.25" thickTop="1" thickBot="1" x14ac:dyDescent="0.25">
      <c r="A21" s="2194" t="s">
        <v>632</v>
      </c>
      <c r="B21" s="2195"/>
      <c r="C21" s="1755">
        <f>SUM(C17:C20)</f>
        <v>0</v>
      </c>
      <c r="D21" s="1755">
        <f>SUM(D17:D20)</f>
        <v>0</v>
      </c>
      <c r="E21" s="1755">
        <f>SUM(E17:E20)</f>
        <v>0</v>
      </c>
      <c r="F21" s="1755">
        <f>SUM(F17:F20)</f>
        <v>0</v>
      </c>
      <c r="G21" s="552"/>
    </row>
    <row r="22" spans="1:11" ht="15.75" customHeight="1" thickTop="1" x14ac:dyDescent="0.2">
      <c r="A22" s="2196" t="s">
        <v>1112</v>
      </c>
      <c r="B22" s="2197"/>
      <c r="C22" s="2191"/>
      <c r="D22" s="2192"/>
      <c r="E22" s="2192"/>
      <c r="F22" s="2193"/>
    </row>
    <row r="23" spans="1:11" ht="13.5" thickBot="1" x14ac:dyDescent="0.25">
      <c r="A23" s="2198" t="s">
        <v>633</v>
      </c>
      <c r="B23" s="2199"/>
      <c r="C23" s="581"/>
      <c r="D23" s="581"/>
      <c r="E23" s="581"/>
      <c r="F23" s="1755">
        <f>SUM(C23+D23)-E23</f>
        <v>0</v>
      </c>
      <c r="G23" s="552"/>
    </row>
    <row r="24" spans="1:11" ht="15.75" customHeight="1" thickTop="1" x14ac:dyDescent="0.2">
      <c r="A24" s="2196" t="s">
        <v>1113</v>
      </c>
      <c r="B24" s="2197"/>
      <c r="C24" s="2191"/>
      <c r="D24" s="2192"/>
      <c r="E24" s="2192"/>
      <c r="F24" s="2193"/>
    </row>
    <row r="25" spans="1:11" ht="13.5" thickBot="1" x14ac:dyDescent="0.25">
      <c r="A25" s="2198" t="s">
        <v>634</v>
      </c>
      <c r="B25" s="2199"/>
      <c r="C25" s="581"/>
      <c r="D25" s="581"/>
      <c r="E25" s="581"/>
      <c r="F25" s="1755">
        <f>SUM(C25+D25)-E25</f>
        <v>0</v>
      </c>
      <c r="G25" s="552"/>
    </row>
    <row r="26" spans="1:11" ht="15.75" customHeight="1" thickTop="1" x14ac:dyDescent="0.2">
      <c r="A26" s="2202" t="s">
        <v>657</v>
      </c>
      <c r="B26" s="2197"/>
      <c r="C26" s="727"/>
      <c r="D26" s="727"/>
      <c r="E26" s="727"/>
      <c r="F26" s="728"/>
    </row>
    <row r="27" spans="1:11" ht="13.5" thickBot="1" x14ac:dyDescent="0.25">
      <c r="A27" s="2194" t="s">
        <v>1070</v>
      </c>
      <c r="B27" s="2195"/>
      <c r="C27" s="585"/>
      <c r="D27" s="585"/>
      <c r="E27" s="585"/>
      <c r="F27" s="1755">
        <f>SUM(C27+D27)-E27</f>
        <v>0</v>
      </c>
      <c r="G27" s="552"/>
    </row>
    <row r="28" spans="1:11" ht="7.5" customHeight="1" thickTop="1" x14ac:dyDescent="0.2">
      <c r="A28" s="593"/>
    </row>
    <row r="29" spans="1:11" ht="23.25" customHeight="1" x14ac:dyDescent="0.2">
      <c r="A29" s="2200" t="s">
        <v>582</v>
      </c>
      <c r="B29" s="2201"/>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2077</v>
      </c>
      <c r="B31" s="733">
        <v>41334</v>
      </c>
      <c r="C31" s="734">
        <v>110000</v>
      </c>
      <c r="D31" s="735">
        <v>4</v>
      </c>
      <c r="E31" s="734">
        <v>61000</v>
      </c>
      <c r="F31" s="734"/>
      <c r="G31" s="734"/>
      <c r="H31" s="734">
        <v>11000</v>
      </c>
      <c r="I31" s="1756">
        <f>((E31+F31)-H31)+G31</f>
        <v>50000</v>
      </c>
      <c r="J31" s="734">
        <v>50000</v>
      </c>
      <c r="K31" s="736"/>
    </row>
    <row r="32" spans="1:11" ht="12" customHeight="1" x14ac:dyDescent="0.2">
      <c r="A32" s="732" t="s">
        <v>2078</v>
      </c>
      <c r="B32" s="733">
        <v>42564</v>
      </c>
      <c r="C32" s="734">
        <v>250000</v>
      </c>
      <c r="D32" s="735">
        <v>6</v>
      </c>
      <c r="E32" s="734">
        <v>206000</v>
      </c>
      <c r="F32" s="734"/>
      <c r="G32" s="734"/>
      <c r="H32" s="734">
        <v>23000</v>
      </c>
      <c r="I32" s="1756">
        <f>((E32+F32)-H32)+G32</f>
        <v>183000</v>
      </c>
      <c r="J32" s="734">
        <v>183000</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360000</v>
      </c>
      <c r="D49" s="745"/>
      <c r="E49" s="1756">
        <f t="shared" ref="E49:J49" si="2">SUM(E31:E48)</f>
        <v>267000</v>
      </c>
      <c r="F49" s="1756">
        <f t="shared" si="2"/>
        <v>0</v>
      </c>
      <c r="G49" s="1756">
        <f t="shared" si="2"/>
        <v>0</v>
      </c>
      <c r="H49" s="1756">
        <f t="shared" si="2"/>
        <v>34000</v>
      </c>
      <c r="I49" s="1756">
        <f t="shared" si="2"/>
        <v>233000</v>
      </c>
      <c r="J49" s="1756">
        <f t="shared" si="2"/>
        <v>233000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3" t="s">
        <v>584</v>
      </c>
      <c r="C52" s="2184"/>
      <c r="D52" s="2184"/>
      <c r="E52" s="749" t="s">
        <v>845</v>
      </c>
      <c r="F52" s="2185"/>
      <c r="G52" s="2186"/>
      <c r="H52" s="736"/>
      <c r="I52" s="736"/>
      <c r="J52" s="746"/>
    </row>
    <row r="53" spans="1:11" ht="11.25" customHeight="1" x14ac:dyDescent="0.2">
      <c r="A53" s="750" t="s">
        <v>913</v>
      </c>
      <c r="B53" s="751" t="s">
        <v>951</v>
      </c>
      <c r="C53" s="746"/>
      <c r="D53" s="737"/>
      <c r="E53" s="749" t="s">
        <v>497</v>
      </c>
      <c r="F53" s="2187"/>
      <c r="G53" s="2188"/>
      <c r="H53" s="736"/>
      <c r="I53" s="736"/>
      <c r="J53" s="746"/>
    </row>
    <row r="54" spans="1:11" ht="11.25" customHeight="1" x14ac:dyDescent="0.2">
      <c r="A54" s="752" t="s">
        <v>914</v>
      </c>
      <c r="B54" s="747" t="s">
        <v>952</v>
      </c>
      <c r="C54" s="746"/>
      <c r="D54" s="737"/>
      <c r="E54" s="749" t="s">
        <v>498</v>
      </c>
      <c r="F54" s="2187"/>
      <c r="G54" s="218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orientation="landscape" useFirstPageNumber="1" r:id="rId1"/>
  <headerFooter alignWithMargins="0">
    <oddHeader>&amp;L&amp;8Page &amp;P&amp;R&amp;8Page &amp;P</oddHeader>
    <oddFooter>&amp;L&amp;8"The notes are an integral part of these statements"&amp;CPage 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topLeftCell="A13" colorId="8" zoomScale="110" zoomScaleNormal="110" workbookViewId="0">
      <selection activeCell="I11" sqref="I1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30"/>
      <c r="I1" s="760"/>
      <c r="J1" s="433"/>
    </row>
    <row r="2" spans="1:11" ht="26.25" x14ac:dyDescent="0.2">
      <c r="A2" s="2231" t="s">
        <v>1677</v>
      </c>
      <c r="B2" s="2232"/>
      <c r="C2" s="2232"/>
      <c r="D2" s="2232"/>
      <c r="E2" s="2233"/>
      <c r="F2" s="761" t="s">
        <v>904</v>
      </c>
      <c r="G2" s="762" t="s">
        <v>1674</v>
      </c>
      <c r="H2" s="762" t="s">
        <v>410</v>
      </c>
      <c r="I2" s="762" t="s">
        <v>1158</v>
      </c>
      <c r="J2" s="762" t="s">
        <v>1812</v>
      </c>
      <c r="K2" s="762" t="s">
        <v>138</v>
      </c>
    </row>
    <row r="3" spans="1:11" x14ac:dyDescent="0.2">
      <c r="A3" s="2234" t="s">
        <v>1964</v>
      </c>
      <c r="B3" s="2235"/>
      <c r="C3" s="2235"/>
      <c r="D3" s="2235"/>
      <c r="E3" s="2236"/>
      <c r="F3" s="763"/>
      <c r="G3" s="764">
        <v>0</v>
      </c>
      <c r="H3" s="764">
        <v>0</v>
      </c>
      <c r="I3" s="764">
        <v>0</v>
      </c>
      <c r="J3" s="765">
        <v>0</v>
      </c>
      <c r="K3" s="765">
        <v>0</v>
      </c>
    </row>
    <row r="4" spans="1:11" x14ac:dyDescent="0.2">
      <c r="A4" s="2237" t="s">
        <v>369</v>
      </c>
      <c r="B4" s="2238"/>
      <c r="C4" s="2238"/>
      <c r="D4" s="2238"/>
      <c r="E4" s="2184"/>
      <c r="F4" s="766"/>
      <c r="G4" s="767"/>
      <c r="H4" s="768"/>
      <c r="I4" s="767"/>
      <c r="J4" s="769"/>
      <c r="K4" s="769"/>
    </row>
    <row r="5" spans="1:11" x14ac:dyDescent="0.2">
      <c r="A5" s="2215" t="s">
        <v>1069</v>
      </c>
      <c r="B5" s="2216"/>
      <c r="C5" s="2216"/>
      <c r="D5" s="2216"/>
      <c r="E5" s="2217"/>
      <c r="F5" s="770" t="s">
        <v>848</v>
      </c>
      <c r="G5" s="771"/>
      <c r="H5" s="764"/>
      <c r="I5" s="772"/>
      <c r="J5" s="773"/>
      <c r="K5" s="773"/>
    </row>
    <row r="6" spans="1:11" x14ac:dyDescent="0.2">
      <c r="A6" s="774" t="s">
        <v>720</v>
      </c>
      <c r="B6" s="775"/>
      <c r="C6" s="775"/>
      <c r="D6" s="775"/>
      <c r="E6" s="776"/>
      <c r="F6" s="777" t="s">
        <v>849</v>
      </c>
      <c r="G6" s="764"/>
      <c r="H6" s="764">
        <v>1580</v>
      </c>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5" t="s">
        <v>1813</v>
      </c>
      <c r="B10" s="2216"/>
      <c r="C10" s="2216"/>
      <c r="D10" s="2216"/>
      <c r="E10" s="2218"/>
      <c r="F10" s="783" t="s">
        <v>862</v>
      </c>
      <c r="G10" s="782"/>
      <c r="H10" s="784"/>
      <c r="I10" s="764"/>
      <c r="J10" s="765"/>
      <c r="K10" s="765"/>
    </row>
    <row r="11" spans="1:11" x14ac:dyDescent="0.2">
      <c r="A11" s="2215" t="s">
        <v>160</v>
      </c>
      <c r="B11" s="2216"/>
      <c r="C11" s="2216"/>
      <c r="D11" s="2216"/>
      <c r="E11" s="2217"/>
      <c r="F11" s="770" t="s">
        <v>852</v>
      </c>
      <c r="G11" s="771"/>
      <c r="H11" s="764"/>
      <c r="I11" s="764"/>
      <c r="J11" s="765"/>
      <c r="K11" s="773"/>
    </row>
    <row r="12" spans="1:11" ht="13.5" thickBot="1" x14ac:dyDescent="0.25">
      <c r="A12" s="2242" t="s">
        <v>905</v>
      </c>
      <c r="B12" s="2243"/>
      <c r="C12" s="2243"/>
      <c r="D12" s="2243"/>
      <c r="E12" s="2244"/>
      <c r="F12" s="1757"/>
      <c r="G12" s="1758">
        <f>SUM(G5:G11)</f>
        <v>0</v>
      </c>
      <c r="H12" s="1758">
        <f>SUM(H5:H11)</f>
        <v>1580</v>
      </c>
      <c r="I12" s="1758">
        <f>SUM(I5:I11)</f>
        <v>0</v>
      </c>
      <c r="J12" s="1758">
        <f>SUM(J5:J11)</f>
        <v>0</v>
      </c>
      <c r="K12" s="1758">
        <f>SUM(K5:K11)</f>
        <v>0</v>
      </c>
    </row>
    <row r="13" spans="1:11" ht="13.5" thickTop="1" x14ac:dyDescent="0.2">
      <c r="A13" s="2239" t="s">
        <v>370</v>
      </c>
      <c r="B13" s="2240"/>
      <c r="C13" s="2240"/>
      <c r="D13" s="2240"/>
      <c r="E13" s="2241"/>
      <c r="F13" s="785"/>
      <c r="G13" s="786"/>
      <c r="H13" s="787"/>
      <c r="I13" s="788"/>
      <c r="J13" s="788"/>
      <c r="K13" s="788"/>
    </row>
    <row r="14" spans="1:11" x14ac:dyDescent="0.2">
      <c r="A14" s="2222" t="s">
        <v>456</v>
      </c>
      <c r="B14" s="2222"/>
      <c r="C14" s="2222"/>
      <c r="D14" s="2222"/>
      <c r="E14" s="2223"/>
      <c r="F14" s="789" t="s">
        <v>854</v>
      </c>
      <c r="G14" s="782"/>
      <c r="H14" s="764">
        <v>1580</v>
      </c>
      <c r="I14" s="771"/>
      <c r="J14" s="773"/>
      <c r="K14" s="765"/>
    </row>
    <row r="15" spans="1:11" x14ac:dyDescent="0.2">
      <c r="A15" s="2216" t="s">
        <v>4</v>
      </c>
      <c r="B15" s="2216"/>
      <c r="C15" s="2216"/>
      <c r="D15" s="2216"/>
      <c r="E15" s="2217"/>
      <c r="F15" s="789" t="s">
        <v>855</v>
      </c>
      <c r="G15" s="771"/>
      <c r="H15" s="764"/>
      <c r="I15" s="764"/>
      <c r="J15" s="765"/>
      <c r="K15" s="765"/>
    </row>
    <row r="16" spans="1:11" x14ac:dyDescent="0.2">
      <c r="A16" s="2216" t="s">
        <v>298</v>
      </c>
      <c r="B16" s="2216"/>
      <c r="C16" s="2216"/>
      <c r="D16" s="2216"/>
      <c r="E16" s="2217"/>
      <c r="F16" s="789" t="s">
        <v>923</v>
      </c>
      <c r="G16" s="772"/>
      <c r="H16" s="767"/>
      <c r="I16" s="767"/>
      <c r="J16" s="769"/>
      <c r="K16" s="769"/>
    </row>
    <row r="17" spans="1:11" x14ac:dyDescent="0.2">
      <c r="A17" s="2247" t="s">
        <v>935</v>
      </c>
      <c r="B17" s="2247"/>
      <c r="C17" s="2247"/>
      <c r="D17" s="2247"/>
      <c r="E17" s="2248"/>
      <c r="F17" s="790"/>
      <c r="G17" s="791"/>
      <c r="H17" s="792"/>
      <c r="I17" s="792"/>
      <c r="J17" s="793"/>
      <c r="K17" s="794"/>
    </row>
    <row r="18" spans="1:11" x14ac:dyDescent="0.2">
      <c r="A18" s="2226" t="s">
        <v>368</v>
      </c>
      <c r="B18" s="2227"/>
      <c r="C18" s="2227"/>
      <c r="D18" s="2227"/>
      <c r="E18" s="2228"/>
      <c r="F18" s="789" t="s">
        <v>932</v>
      </c>
      <c r="G18" s="782"/>
      <c r="H18" s="782"/>
      <c r="I18" s="782"/>
      <c r="J18" s="765"/>
      <c r="K18" s="795"/>
    </row>
    <row r="19" spans="1:11" ht="21.75" customHeight="1" x14ac:dyDescent="0.2">
      <c r="A19" s="2224" t="s">
        <v>1809</v>
      </c>
      <c r="B19" s="2224"/>
      <c r="C19" s="2224"/>
      <c r="D19" s="2224"/>
      <c r="E19" s="2225"/>
      <c r="F19" s="789" t="s">
        <v>933</v>
      </c>
      <c r="G19" s="782"/>
      <c r="H19" s="782"/>
      <c r="I19" s="782"/>
      <c r="J19" s="765"/>
      <c r="K19" s="795"/>
    </row>
    <row r="20" spans="1:11" x14ac:dyDescent="0.2">
      <c r="A20" s="2226" t="s">
        <v>1814</v>
      </c>
      <c r="B20" s="2227"/>
      <c r="C20" s="2227"/>
      <c r="D20" s="2227"/>
      <c r="E20" s="2228"/>
      <c r="F20" s="789" t="s">
        <v>934</v>
      </c>
      <c r="G20" s="782"/>
      <c r="H20" s="782"/>
      <c r="I20" s="782"/>
      <c r="J20" s="765"/>
      <c r="K20" s="795"/>
    </row>
    <row r="21" spans="1:11" ht="13.5" thickBot="1" x14ac:dyDescent="0.25">
      <c r="A21" s="2245" t="s">
        <v>638</v>
      </c>
      <c r="B21" s="2245"/>
      <c r="C21" s="2245"/>
      <c r="D21" s="2245"/>
      <c r="E21" s="2245"/>
      <c r="F21" s="1759"/>
      <c r="G21" s="792"/>
      <c r="H21" s="796"/>
      <c r="I21" s="796"/>
      <c r="J21" s="1760">
        <f>SUM(J18:J20)</f>
        <v>0</v>
      </c>
      <c r="K21" s="793"/>
    </row>
    <row r="22" spans="1:11" ht="13.5" thickTop="1" x14ac:dyDescent="0.2">
      <c r="A22" s="2216" t="s">
        <v>1815</v>
      </c>
      <c r="B22" s="2216"/>
      <c r="C22" s="2216"/>
      <c r="D22" s="2216"/>
      <c r="E22" s="2217"/>
      <c r="F22" s="789" t="s">
        <v>862</v>
      </c>
      <c r="G22" s="782"/>
      <c r="H22" s="764"/>
      <c r="I22" s="764"/>
      <c r="J22" s="797"/>
      <c r="K22" s="765"/>
    </row>
    <row r="23" spans="1:11" ht="13.5" thickBot="1" x14ac:dyDescent="0.25">
      <c r="A23" s="2246" t="s">
        <v>906</v>
      </c>
      <c r="B23" s="2245"/>
      <c r="C23" s="2245"/>
      <c r="D23" s="2245"/>
      <c r="E23" s="2245"/>
      <c r="F23" s="1761"/>
      <c r="G23" s="1758">
        <f>SUM(G14:G16,G21,G22)</f>
        <v>0</v>
      </c>
      <c r="H23" s="1758">
        <f>SUM(H14:H16,H21,H22)</f>
        <v>1580</v>
      </c>
      <c r="I23" s="1758">
        <f>SUM(I14:I16,I21,I22)</f>
        <v>0</v>
      </c>
      <c r="J23" s="1758">
        <f>SUM(J14:J16,J21,J22)</f>
        <v>0</v>
      </c>
      <c r="K23" s="1758">
        <f>SUM(K14:K16,K21,K22)</f>
        <v>0</v>
      </c>
    </row>
    <row r="24" spans="1:11" ht="14.25" thickTop="1" thickBot="1" x14ac:dyDescent="0.25">
      <c r="A24" s="2246" t="s">
        <v>1965</v>
      </c>
      <c r="B24" s="2245"/>
      <c r="C24" s="2245"/>
      <c r="D24" s="2245"/>
      <c r="E24" s="2245"/>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2084</v>
      </c>
      <c r="E30" s="808" t="s">
        <v>768</v>
      </c>
      <c r="F30" s="202"/>
      <c r="G30" s="805"/>
    </row>
    <row r="31" spans="1:11" x14ac:dyDescent="0.2">
      <c r="A31" s="809"/>
      <c r="D31" s="237"/>
      <c r="E31" s="810" t="s">
        <v>769</v>
      </c>
      <c r="F31" s="811" t="s">
        <v>539</v>
      </c>
      <c r="G31" s="764"/>
      <c r="H31" s="2219"/>
      <c r="I31" s="2220"/>
      <c r="J31" s="2220"/>
      <c r="K31" s="2220"/>
    </row>
    <row r="32" spans="1:11" x14ac:dyDescent="0.2">
      <c r="A32" s="809"/>
      <c r="B32" s="237"/>
      <c r="C32" s="237"/>
      <c r="D32" s="237"/>
      <c r="E32" s="805"/>
      <c r="F32" s="811" t="s">
        <v>540</v>
      </c>
      <c r="G32" s="764"/>
      <c r="H32" s="2221"/>
      <c r="I32" s="2220"/>
      <c r="J32" s="2220"/>
      <c r="K32" s="2220"/>
    </row>
    <row r="33" spans="1:11" ht="1.5" customHeight="1" x14ac:dyDescent="0.2">
      <c r="A33" s="812" t="s">
        <v>1169</v>
      </c>
      <c r="B33" s="364"/>
      <c r="C33" s="364"/>
      <c r="D33" s="364"/>
      <c r="E33" s="364"/>
      <c r="F33" s="364"/>
      <c r="G33" s="813"/>
      <c r="H33" s="2221"/>
      <c r="I33" s="2220"/>
      <c r="J33" s="2220"/>
      <c r="K33" s="2220"/>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29"/>
      <c r="C41" s="2229"/>
      <c r="D41" s="2229"/>
      <c r="E41" s="2229"/>
      <c r="F41" s="223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&amp;L&amp;8"The notes are an integral part of these statements"&amp;CPage 25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colorId="8" zoomScale="110" zoomScaleNormal="110" workbookViewId="0">
      <selection activeCell="F28" sqref="F2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1909</v>
      </c>
      <c r="B1" s="2252"/>
      <c r="C1" s="2253"/>
      <c r="D1" s="826"/>
      <c r="E1" s="827"/>
      <c r="F1" s="827"/>
      <c r="G1" s="828"/>
      <c r="H1" s="829"/>
      <c r="I1" s="830"/>
      <c r="J1" s="2249"/>
      <c r="K1" s="2250"/>
      <c r="L1" s="2250"/>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v>0</v>
      </c>
      <c r="D3" s="835">
        <v>0</v>
      </c>
      <c r="E3" s="835"/>
      <c r="F3" s="1760">
        <f>(C3+D3)-E3</f>
        <v>0</v>
      </c>
      <c r="G3" s="836"/>
      <c r="H3" s="835">
        <v>0</v>
      </c>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1000</v>
      </c>
      <c r="D5" s="841">
        <v>0</v>
      </c>
      <c r="E5" s="841"/>
      <c r="F5" s="1760">
        <f>(C5+D5)-E5</f>
        <v>1000</v>
      </c>
      <c r="G5" s="837"/>
      <c r="H5" s="842"/>
      <c r="I5" s="842"/>
      <c r="J5" s="842"/>
      <c r="K5" s="793"/>
      <c r="L5" s="1769">
        <f>F5-K5</f>
        <v>1000</v>
      </c>
    </row>
    <row r="6" spans="1:14" ht="14.25" thickTop="1" thickBot="1" x14ac:dyDescent="0.25">
      <c r="A6" s="778" t="s">
        <v>1117</v>
      </c>
      <c r="B6" s="840">
        <v>222</v>
      </c>
      <c r="C6" s="765">
        <v>0</v>
      </c>
      <c r="D6" s="765">
        <v>0</v>
      </c>
      <c r="E6" s="765"/>
      <c r="F6" s="1760">
        <f>(C6+D6)-E6</f>
        <v>0</v>
      </c>
      <c r="G6" s="837">
        <v>50</v>
      </c>
      <c r="H6" s="765">
        <v>0</v>
      </c>
      <c r="I6" s="765">
        <v>0</v>
      </c>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913371</v>
      </c>
      <c r="D8" s="844">
        <v>0</v>
      </c>
      <c r="E8" s="844"/>
      <c r="F8" s="1760">
        <f>(C8+D8)-E8</f>
        <v>913371</v>
      </c>
      <c r="G8" s="843">
        <v>50</v>
      </c>
      <c r="H8" s="765">
        <v>489558</v>
      </c>
      <c r="I8" s="765">
        <v>18267</v>
      </c>
      <c r="J8" s="765"/>
      <c r="K8" s="1769">
        <f>(H8+I8)-J8</f>
        <v>507825</v>
      </c>
      <c r="L8" s="1769">
        <f>F8-K8</f>
        <v>405546</v>
      </c>
    </row>
    <row r="9" spans="1:14" ht="14.25" thickTop="1" thickBot="1" x14ac:dyDescent="0.25">
      <c r="A9" s="778" t="s">
        <v>1119</v>
      </c>
      <c r="B9" s="840">
        <v>232</v>
      </c>
      <c r="C9" s="765">
        <v>0</v>
      </c>
      <c r="D9" s="765">
        <v>0</v>
      </c>
      <c r="E9" s="765"/>
      <c r="F9" s="1760">
        <f>(C9+D9)-E9</f>
        <v>0</v>
      </c>
      <c r="G9" s="843">
        <v>20</v>
      </c>
      <c r="H9" s="765">
        <v>0</v>
      </c>
      <c r="I9" s="765">
        <v>0</v>
      </c>
      <c r="J9" s="765"/>
      <c r="K9" s="1769">
        <f>(H9+I9)-J9</f>
        <v>0</v>
      </c>
      <c r="L9" s="1769">
        <f>F9-K9</f>
        <v>0</v>
      </c>
    </row>
    <row r="10" spans="1:14" ht="24" thickTop="1" thickBot="1" x14ac:dyDescent="0.25">
      <c r="A10" s="845" t="s">
        <v>1120</v>
      </c>
      <c r="B10" s="840">
        <v>240</v>
      </c>
      <c r="C10" s="846">
        <v>116833</v>
      </c>
      <c r="D10" s="846">
        <v>0</v>
      </c>
      <c r="E10" s="846"/>
      <c r="F10" s="1764">
        <f>(C10+D10)-E10</f>
        <v>116833</v>
      </c>
      <c r="G10" s="843">
        <v>20</v>
      </c>
      <c r="H10" s="847">
        <v>44953</v>
      </c>
      <c r="I10" s="847">
        <v>5842</v>
      </c>
      <c r="J10" s="847"/>
      <c r="K10" s="1769">
        <f>(H10+I10)-J10</f>
        <v>50795</v>
      </c>
      <c r="L10" s="1769">
        <f>F10-K10</f>
        <v>66038</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206344</v>
      </c>
      <c r="D12" s="844">
        <v>5432</v>
      </c>
      <c r="E12" s="844"/>
      <c r="F12" s="1760">
        <f>(C12+D12)-E12</f>
        <v>211776</v>
      </c>
      <c r="G12" s="843">
        <v>10</v>
      </c>
      <c r="H12" s="765">
        <v>180337</v>
      </c>
      <c r="I12" s="765">
        <v>4455</v>
      </c>
      <c r="J12" s="765"/>
      <c r="K12" s="1769">
        <f>(H12+I12)-J12</f>
        <v>184792</v>
      </c>
      <c r="L12" s="1769">
        <f>F12-K12</f>
        <v>26984</v>
      </c>
    </row>
    <row r="13" spans="1:14" ht="14.25" thickTop="1" thickBot="1" x14ac:dyDescent="0.25">
      <c r="A13" s="848" t="s">
        <v>1122</v>
      </c>
      <c r="B13" s="840">
        <v>252</v>
      </c>
      <c r="C13" s="844">
        <v>31270</v>
      </c>
      <c r="D13" s="844">
        <v>15517</v>
      </c>
      <c r="E13" s="844"/>
      <c r="F13" s="1760">
        <f>(C13+D13)-E13</f>
        <v>46787</v>
      </c>
      <c r="G13" s="843">
        <v>5</v>
      </c>
      <c r="H13" s="765">
        <v>12678</v>
      </c>
      <c r="I13" s="765">
        <v>9357</v>
      </c>
      <c r="J13" s="765"/>
      <c r="K13" s="1769">
        <f>(H13+I13)-J13</f>
        <v>22035</v>
      </c>
      <c r="L13" s="1769">
        <f>F13-K13</f>
        <v>24752</v>
      </c>
    </row>
    <row r="14" spans="1:14" ht="14.25" thickTop="1" thickBot="1" x14ac:dyDescent="0.25">
      <c r="A14" s="848" t="s">
        <v>1123</v>
      </c>
      <c r="B14" s="840">
        <v>253</v>
      </c>
      <c r="C14" s="765">
        <v>98726</v>
      </c>
      <c r="D14" s="765">
        <v>0</v>
      </c>
      <c r="E14" s="765"/>
      <c r="F14" s="1760">
        <f>(C14+D14)-E14</f>
        <v>98726</v>
      </c>
      <c r="G14" s="843">
        <v>3</v>
      </c>
      <c r="H14" s="765">
        <v>98229</v>
      </c>
      <c r="I14" s="765">
        <v>249</v>
      </c>
      <c r="J14" s="765"/>
      <c r="K14" s="1769">
        <f>(H14+I14)-J14</f>
        <v>98478</v>
      </c>
      <c r="L14" s="1769">
        <f>F14-K14</f>
        <v>248</v>
      </c>
    </row>
    <row r="15" spans="1:14" ht="15" customHeight="1" thickTop="1" thickBot="1" x14ac:dyDescent="0.25">
      <c r="A15" s="1631" t="s">
        <v>528</v>
      </c>
      <c r="B15" s="1630">
        <v>260</v>
      </c>
      <c r="C15" s="844">
        <v>0</v>
      </c>
      <c r="D15" s="844">
        <v>0</v>
      </c>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1367544</v>
      </c>
      <c r="D16" s="1760">
        <f>SUM(D3,D5:D6,D8:D10,D12:D15)</f>
        <v>20949</v>
      </c>
      <c r="E16" s="1760">
        <f>SUM(E3,E5:E6,E8:E10,E12:E15)</f>
        <v>0</v>
      </c>
      <c r="F16" s="1760">
        <f>SUM(F3,F5:F6,F8:F10,F12:F15)</f>
        <v>1388493</v>
      </c>
      <c r="G16" s="843"/>
      <c r="H16" s="1760">
        <f>SUM(H3,H6,H8:H10,H12:H14,)</f>
        <v>825755</v>
      </c>
      <c r="I16" s="1760">
        <f>SUM(I3,I6,I8:I10,I12:I14,)</f>
        <v>38170</v>
      </c>
      <c r="J16" s="1760">
        <f>SUM(J3,J6,J8:J10,J12:J14,)</f>
        <v>0</v>
      </c>
      <c r="K16" s="1760">
        <f>(H16+I16)-J16</f>
        <v>863925</v>
      </c>
      <c r="L16" s="1760">
        <f>F16-K16</f>
        <v>524568</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38170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1" firstPageNumber="26" orientation="landscape" useFirstPageNumber="1" r:id="rId1"/>
  <headerFooter alignWithMargins="0">
    <oddHeader>&amp;L&amp;8Page &amp;P&amp;C &amp;R&amp;8Page &amp;P</oddHeader>
    <oddFooter>&amp;L&amp;8"The notes are an integral part of these statements"&amp;CPage 26</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topLeftCell="A117" colorId="8" zoomScale="110" zoomScaleNormal="110" workbookViewId="0">
      <selection activeCell="F76" sqref="F7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1975</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880889</v>
      </c>
      <c r="G8" s="865"/>
    </row>
    <row r="9" spans="1:7" x14ac:dyDescent="0.2">
      <c r="A9" s="869" t="s">
        <v>460</v>
      </c>
      <c r="B9" s="870" t="s">
        <v>1877</v>
      </c>
      <c r="C9" s="871"/>
      <c r="D9" s="869" t="s">
        <v>501</v>
      </c>
      <c r="E9" s="868"/>
      <c r="F9" s="1909">
        <f>'Expenditures 15-22'!K151</f>
        <v>72724</v>
      </c>
      <c r="G9" s="872"/>
    </row>
    <row r="10" spans="1:7" x14ac:dyDescent="0.2">
      <c r="A10" s="869" t="s">
        <v>499</v>
      </c>
      <c r="B10" s="870" t="s">
        <v>1878</v>
      </c>
      <c r="C10" s="871"/>
      <c r="D10" s="869" t="s">
        <v>501</v>
      </c>
      <c r="E10" s="868"/>
      <c r="F10" s="1909">
        <f>'Expenditures 15-22'!K174</f>
        <v>45905</v>
      </c>
      <c r="G10" s="872"/>
    </row>
    <row r="11" spans="1:7" x14ac:dyDescent="0.2">
      <c r="A11" s="869" t="s">
        <v>461</v>
      </c>
      <c r="B11" s="870" t="s">
        <v>1879</v>
      </c>
      <c r="C11" s="871"/>
      <c r="D11" s="869" t="s">
        <v>501</v>
      </c>
      <c r="E11" s="868"/>
      <c r="F11" s="1909">
        <f>'Expenditures 15-22'!K210</f>
        <v>100560</v>
      </c>
      <c r="G11" s="872"/>
    </row>
    <row r="12" spans="1:7" x14ac:dyDescent="0.2">
      <c r="A12" s="869" t="s">
        <v>462</v>
      </c>
      <c r="B12" s="870" t="s">
        <v>1880</v>
      </c>
      <c r="C12" s="871"/>
      <c r="D12" s="869" t="s">
        <v>501</v>
      </c>
      <c r="E12" s="868"/>
      <c r="F12" s="1909">
        <f>'Expenditures 15-22'!K295</f>
        <v>35222</v>
      </c>
      <c r="G12" s="872"/>
    </row>
    <row r="13" spans="1:7" x14ac:dyDescent="0.2">
      <c r="A13" s="869" t="s">
        <v>106</v>
      </c>
      <c r="B13" s="870" t="s">
        <v>1881</v>
      </c>
      <c r="C13" s="871"/>
      <c r="D13" s="869" t="s">
        <v>501</v>
      </c>
      <c r="E13" s="868"/>
      <c r="F13" s="1909">
        <f>'Expenditures 15-22'!K342</f>
        <v>74365</v>
      </c>
      <c r="G13" s="873"/>
    </row>
    <row r="14" spans="1:7" ht="12" customHeight="1" thickBot="1" x14ac:dyDescent="0.25">
      <c r="A14" s="1770"/>
      <c r="B14" s="1771"/>
      <c r="C14" s="1772"/>
      <c r="D14" s="1773" t="s">
        <v>501</v>
      </c>
      <c r="E14" s="1774" t="s">
        <v>958</v>
      </c>
      <c r="F14" s="1775">
        <f>SUM(F8:F13)</f>
        <v>1209665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351</v>
      </c>
      <c r="G52" s="865"/>
    </row>
    <row r="53" spans="1:7" x14ac:dyDescent="0.2">
      <c r="A53" s="869" t="s">
        <v>459</v>
      </c>
      <c r="B53" s="869" t="s">
        <v>1475</v>
      </c>
      <c r="C53" s="889">
        <f>'Expenditures 15-22'!B102</f>
        <v>4000</v>
      </c>
      <c r="D53" s="888" t="str">
        <f>'Expenditures 15-22'!A102</f>
        <v>Total Payments to Other Govt Units</v>
      </c>
      <c r="E53" s="868"/>
      <c r="F53" s="1913">
        <f>'Expenditures 15-22'!K102</f>
        <v>30536</v>
      </c>
      <c r="G53" s="865"/>
    </row>
    <row r="54" spans="1:7" x14ac:dyDescent="0.2">
      <c r="A54" s="869" t="s">
        <v>459</v>
      </c>
      <c r="B54" s="869" t="s">
        <v>1476</v>
      </c>
      <c r="C54" s="889" t="s">
        <v>982</v>
      </c>
      <c r="D54" s="885" t="s">
        <v>1095</v>
      </c>
      <c r="E54" s="868"/>
      <c r="F54" s="1913">
        <f>'Expenditures 15-22'!G114</f>
        <v>17310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623</v>
      </c>
      <c r="G57" s="865"/>
    </row>
    <row r="58" spans="1:7" x14ac:dyDescent="0.2">
      <c r="A58" s="869" t="s">
        <v>460</v>
      </c>
      <c r="B58" s="869" t="s">
        <v>1883</v>
      </c>
      <c r="C58" s="886" t="s">
        <v>982</v>
      </c>
      <c r="D58" s="885" t="s">
        <v>1095</v>
      </c>
      <c r="E58" s="868"/>
      <c r="F58" s="1915">
        <f>'Expenditures 15-22'!G151</f>
        <v>1134</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34000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83954</v>
      </c>
      <c r="G76" s="865"/>
    </row>
    <row r="77" spans="1:8" s="893" customFormat="1" ht="12" customHeight="1" thickTop="1" thickBot="1" x14ac:dyDescent="0.25">
      <c r="A77" s="1779"/>
      <c r="B77" s="1776"/>
      <c r="C77" s="1772"/>
      <c r="D77" s="1777" t="s">
        <v>1900</v>
      </c>
      <c r="E77" s="1774"/>
      <c r="F77" s="1780">
        <f>(F14-F76)</f>
        <v>1125711</v>
      </c>
      <c r="G77" s="869"/>
    </row>
    <row r="78" spans="1:8" s="893" customFormat="1" ht="12" customHeight="1" thickTop="1" x14ac:dyDescent="0.2">
      <c r="A78" s="1781"/>
      <c r="B78" s="1776"/>
      <c r="C78" s="1772"/>
      <c r="D78" s="1777" t="s">
        <v>2062</v>
      </c>
      <c r="E78" s="1774"/>
      <c r="F78" s="898">
        <v>76.98</v>
      </c>
      <c r="G78" s="899"/>
      <c r="H78" s="869"/>
    </row>
    <row r="79" spans="1:8" s="893" customFormat="1" ht="12" customHeight="1" thickBot="1" x14ac:dyDescent="0.25">
      <c r="A79" s="1782"/>
      <c r="B79" s="1776"/>
      <c r="C79" s="1772"/>
      <c r="D79" s="1777" t="s">
        <v>1901</v>
      </c>
      <c r="E79" s="1774" t="s">
        <v>958</v>
      </c>
      <c r="F79" s="1783">
        <f>IF(F78&gt;0,F77/F78," Complete Line 78")</f>
        <v>14623.421667965704</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77</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1452</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0</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1346</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50919</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25835</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59309</v>
      </c>
      <c r="G125" s="930"/>
    </row>
    <row r="126" spans="1:7" x14ac:dyDescent="0.2">
      <c r="A126" s="927" t="s">
        <v>668</v>
      </c>
      <c r="B126" s="927" t="s">
        <v>2024</v>
      </c>
      <c r="C126" s="932">
        <v>4300</v>
      </c>
      <c r="D126" s="933" t="str">
        <f>'Revenues 9-14'!A204</f>
        <v>Total Title I</v>
      </c>
      <c r="E126" s="906"/>
      <c r="F126" s="1789">
        <f>SUM('Revenues 9-14'!C204,'Revenues 9-14'!D204,'Revenues 9-14'!F204,'Revenues 9-14'!G204)</f>
        <v>13472</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8998</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2544</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13700</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177652</v>
      </c>
    </row>
    <row r="175" spans="1:7" ht="12" customHeight="1" x14ac:dyDescent="0.2">
      <c r="A175" s="1770"/>
      <c r="B175" s="1784"/>
      <c r="C175" s="1785"/>
      <c r="D175" s="1786" t="s">
        <v>2057</v>
      </c>
      <c r="E175" s="1787"/>
      <c r="F175" s="1789">
        <f>'PCTC-OEPP 27-28'!F77-F174</f>
        <v>948059</v>
      </c>
    </row>
    <row r="176" spans="1:7" ht="12" customHeight="1" x14ac:dyDescent="0.2">
      <c r="A176" s="1770"/>
      <c r="B176" s="1784"/>
      <c r="C176" s="1785"/>
      <c r="D176" s="1786" t="s">
        <v>1817</v>
      </c>
      <c r="E176" s="1787"/>
      <c r="F176" s="1789">
        <f>'Cap Outlay Deprec 26'!I18</f>
        <v>38170</v>
      </c>
    </row>
    <row r="177" spans="1:7" ht="12" customHeight="1" x14ac:dyDescent="0.2">
      <c r="A177" s="1770"/>
      <c r="B177" s="1784"/>
      <c r="C177" s="1785"/>
      <c r="D177" s="1786" t="s">
        <v>2058</v>
      </c>
      <c r="E177" s="1787"/>
      <c r="F177" s="1789">
        <f>F175+F176</f>
        <v>986229</v>
      </c>
    </row>
    <row r="178" spans="1:7" ht="12" customHeight="1" x14ac:dyDescent="0.2">
      <c r="A178" s="1770"/>
      <c r="B178" s="1790"/>
      <c r="C178" s="1785"/>
      <c r="D178" s="1786" t="str">
        <f>D78</f>
        <v>9 Month ADA from District Average Daily Attendance/Prior General State Aid Inquiry 2018-2019</v>
      </c>
      <c r="E178" s="1787"/>
      <c r="F178" s="1791">
        <f>'PCTC-OEPP 27-28'!F78</f>
        <v>76.98</v>
      </c>
      <c r="G178" s="930"/>
    </row>
    <row r="179" spans="1:7" ht="12" customHeight="1" thickBot="1" x14ac:dyDescent="0.25">
      <c r="A179" s="1770"/>
      <c r="B179" s="1790"/>
      <c r="C179" s="1785"/>
      <c r="D179" s="1786" t="s">
        <v>2059</v>
      </c>
      <c r="E179" s="1787" t="s">
        <v>1545</v>
      </c>
      <c r="F179" s="1792">
        <f>F177/F178</f>
        <v>12811.496492595479</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&amp;L&amp;8"The notes are an integral part of these statements"&amp;CPages 27-28</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8" zoomScaleNormal="100" workbookViewId="0">
      <selection activeCell="B19" sqref="B19"/>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8" t="s">
        <v>1818</v>
      </c>
      <c r="B4" s="2269"/>
      <c r="C4" s="2269"/>
      <c r="D4" s="2269"/>
      <c r="E4" s="2269"/>
      <c r="F4" s="2269"/>
      <c r="G4" s="2270"/>
    </row>
    <row r="5" spans="1:7" x14ac:dyDescent="0.25">
      <c r="A5" s="2271"/>
      <c r="B5" s="2272"/>
      <c r="C5" s="2272"/>
      <c r="D5" s="2272"/>
      <c r="E5" s="2272"/>
      <c r="F5" s="2272"/>
      <c r="G5" s="2273"/>
    </row>
    <row r="6" spans="1:7" ht="18.75" x14ac:dyDescent="0.25">
      <c r="A6" s="1534" t="s">
        <v>1819</v>
      </c>
      <c r="B6" s="1535"/>
      <c r="C6" s="1535"/>
      <c r="D6" s="1535"/>
      <c r="E6" s="1535"/>
      <c r="F6" s="1535"/>
      <c r="G6" s="1536"/>
    </row>
    <row r="7" spans="1:7" ht="30.75" customHeight="1" x14ac:dyDescent="0.25">
      <c r="A7" s="2274" t="s">
        <v>1932</v>
      </c>
      <c r="B7" s="2275"/>
      <c r="C7" s="2275"/>
      <c r="D7" s="2275"/>
      <c r="E7" s="2275"/>
      <c r="F7" s="2275"/>
      <c r="G7" s="2276"/>
    </row>
    <row r="8" spans="1:7" ht="15.75" customHeight="1" x14ac:dyDescent="0.25">
      <c r="A8" s="2277" t="s">
        <v>1907</v>
      </c>
      <c r="B8" s="2278"/>
      <c r="C8" s="2278"/>
      <c r="D8" s="2278"/>
      <c r="E8" s="2278"/>
      <c r="F8" s="2278"/>
      <c r="G8" s="2279"/>
    </row>
    <row r="9" spans="1:7" ht="35.25" customHeight="1" x14ac:dyDescent="0.25">
      <c r="A9" s="2274" t="s">
        <v>1935</v>
      </c>
      <c r="B9" s="2275"/>
      <c r="C9" s="2275"/>
      <c r="D9" s="2275"/>
      <c r="E9" s="2275"/>
      <c r="F9" s="2275"/>
      <c r="G9" s="2276"/>
    </row>
    <row r="10" spans="1:7" ht="15" customHeight="1" x14ac:dyDescent="0.25">
      <c r="A10" s="1537" t="s">
        <v>1820</v>
      </c>
      <c r="B10" s="1538"/>
      <c r="C10" s="1538"/>
      <c r="D10" s="1538"/>
      <c r="E10" s="1538"/>
      <c r="F10" s="1538"/>
      <c r="G10" s="1539"/>
    </row>
    <row r="11" spans="1:7" ht="17.25" customHeight="1" x14ac:dyDescent="0.25">
      <c r="A11" s="2274" t="s">
        <v>1934</v>
      </c>
      <c r="B11" s="2275"/>
      <c r="C11" s="2275"/>
      <c r="D11" s="2275"/>
      <c r="E11" s="2275"/>
      <c r="F11" s="2275"/>
      <c r="G11" s="2276"/>
    </row>
    <row r="12" spans="1:7" ht="15" customHeight="1" x14ac:dyDescent="0.25">
      <c r="A12" s="1537" t="s">
        <v>1825</v>
      </c>
      <c r="B12" s="1538"/>
      <c r="C12" s="1538"/>
      <c r="D12" s="1538"/>
      <c r="E12" s="1538"/>
      <c r="F12" s="1538"/>
      <c r="G12" s="1539"/>
    </row>
    <row r="13" spans="1:7" ht="32.25" customHeight="1" x14ac:dyDescent="0.25">
      <c r="A13" s="2265" t="s">
        <v>1976</v>
      </c>
      <c r="B13" s="2266"/>
      <c r="C13" s="2266"/>
      <c r="D13" s="2266"/>
      <c r="E13" s="2266"/>
      <c r="F13" s="2266"/>
      <c r="G13" s="2267"/>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2086</v>
      </c>
      <c r="B17" s="2485" t="s">
        <v>2090</v>
      </c>
      <c r="C17" s="1938" t="s">
        <v>2087</v>
      </c>
      <c r="D17" s="1844">
        <v>12391</v>
      </c>
      <c r="E17" s="1540">
        <f t="shared" ref="E17:E141" si="0">IF(D17&lt;=25000,D17,IF(D17&gt;25000,25000,0))</f>
        <v>12391</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12391</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12391</v>
      </c>
      <c r="E141" s="1541">
        <f t="shared" si="0"/>
        <v>12391</v>
      </c>
      <c r="F141" s="1933">
        <f>SUM(F17:F140)</f>
        <v>12391</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topLeftCell="A25" colorId="8" zoomScale="110" zoomScaleNormal="110" workbookViewId="0">
      <selection activeCell="E13" sqref="E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v>25125</v>
      </c>
      <c r="F8" s="974"/>
      <c r="G8" s="975"/>
      <c r="H8" s="162"/>
      <c r="I8" s="162"/>
    </row>
    <row r="9" spans="1:9" s="668" customFormat="1" ht="12" customHeight="1" x14ac:dyDescent="0.2">
      <c r="A9" s="970" t="s">
        <v>130</v>
      </c>
      <c r="B9" s="971"/>
      <c r="C9" s="971"/>
      <c r="D9" s="972"/>
      <c r="E9" s="973">
        <v>23114</v>
      </c>
      <c r="F9" s="974"/>
      <c r="G9" s="975"/>
      <c r="H9" s="162"/>
      <c r="I9" s="162"/>
    </row>
    <row r="10" spans="1:9" s="668" customFormat="1" ht="12" customHeight="1" x14ac:dyDescent="0.2">
      <c r="A10" s="970" t="s">
        <v>1933</v>
      </c>
      <c r="B10" s="971"/>
      <c r="C10" s="976"/>
      <c r="D10" s="972"/>
      <c r="E10" s="973">
        <v>23974</v>
      </c>
      <c r="F10" s="974"/>
      <c r="G10" s="975"/>
      <c r="H10" s="162"/>
      <c r="I10" s="162"/>
    </row>
    <row r="11" spans="1:9" s="668" customFormat="1" ht="22.5" customHeight="1" x14ac:dyDescent="0.2">
      <c r="A11" s="2285" t="s">
        <v>1977</v>
      </c>
      <c r="B11" s="2286"/>
      <c r="C11" s="2286"/>
      <c r="D11" s="2287"/>
      <c r="E11" s="977">
        <v>5932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621654</v>
      </c>
      <c r="F19" s="1799"/>
      <c r="G19" s="1801">
        <f>'Expenditures 15-22'!K33-SUM('Expenditures 15-22'!G33,'Expenditures 15-22'!I33)+'Expenditures 15-22'!D229</f>
        <v>621654</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23139</v>
      </c>
      <c r="F21" s="1802"/>
      <c r="G21" s="1805">
        <f>'Expenditures 15-22'!K42-SUM('Expenditures 15-22'!G42,'Expenditures 15-22'!I42)+'Expenditures 15-22'!K120-SUM('Expenditures 15-22'!G120,'Expenditures 15-22'!I120)+'Expenditures 15-22'!K180-SUM('Expenditures 15-22'!G180,'Expenditures 15-22'!I180)+'Expenditures 15-22'!D238</f>
        <v>23139</v>
      </c>
      <c r="H21" s="987"/>
      <c r="I21" s="162"/>
    </row>
    <row r="22" spans="1:9" s="668" customFormat="1" ht="12" customHeight="1" x14ac:dyDescent="0.2">
      <c r="A22" s="994" t="s">
        <v>564</v>
      </c>
      <c r="B22" s="995"/>
      <c r="C22" s="993">
        <v>2200</v>
      </c>
      <c r="D22" s="1802"/>
      <c r="E22" s="1804">
        <f>'Expenditures 15-22'!K47-SUM('Expenditures 15-22'!G47,'Expenditures 15-22'!I47)+'Expenditures 15-22'!D243</f>
        <v>0</v>
      </c>
      <c r="F22" s="1802"/>
      <c r="G22" s="1805">
        <f>'Expenditures 15-22'!K47-SUM('Expenditures 15-22'!G47,'Expenditures 15-22'!I47)+'Expenditures 15-22'!D243</f>
        <v>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149030</v>
      </c>
      <c r="F23" s="1802"/>
      <c r="G23" s="1804">
        <f>'Expenditures 15-22'!K53-SUM('Expenditures 15-22'!G53,'Expenditures 15-22'!I53)+'Expenditures 15-22'!D257+'Expenditures 15-22'!K330-SUM('Expenditures 15-22'!G330,'Expenditures 15-22'!I330)</f>
        <v>149030</v>
      </c>
      <c r="H23" s="987"/>
      <c r="I23" s="162"/>
    </row>
    <row r="24" spans="1:9" s="668" customFormat="1" ht="12" customHeight="1" x14ac:dyDescent="0.2">
      <c r="A24" s="994" t="s">
        <v>566</v>
      </c>
      <c r="B24" s="995"/>
      <c r="C24" s="993">
        <v>2400</v>
      </c>
      <c r="D24" s="1802"/>
      <c r="E24" s="1804">
        <f>'Expenditures 15-22'!K57-SUM('Expenditures 15-22'!G57,'Expenditures 15-22'!I57)+'Expenditures 15-22'!D261</f>
        <v>25000</v>
      </c>
      <c r="F24" s="1802"/>
      <c r="G24" s="1805">
        <f>'Expenditures 15-22'!K57-SUM('Expenditures 15-22'!G57,'Expenditures 15-22'!I57)+'Expenditures 15-22'!D261</f>
        <v>25000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24487</v>
      </c>
      <c r="E27" s="1804">
        <f>E8</f>
        <v>25125</v>
      </c>
      <c r="F27" s="1804">
        <f>'Expenditures 15-22'!K60-SUM('Expenditures 15-22'!G60,'Expenditures 15-22'!I60)+'Expenditures 15-22'!D264-E8</f>
        <v>24487</v>
      </c>
      <c r="G27" s="1805">
        <f>E8</f>
        <v>25125</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78022</v>
      </c>
      <c r="F28" s="1806">
        <f>'Expenditures 15-22'!K61-SUM('Expenditures 15-22'!G61,'Expenditures 15-22'!I61)+'Expenditures 15-22'!K124-SUM('Expenditures 15-22'!G124,'Expenditures 15-22'!I124)+'Expenditures 15-22'!D266-E9</f>
        <v>54908</v>
      </c>
      <c r="G28" s="1805">
        <f>E9</f>
        <v>23114</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100560</v>
      </c>
      <c r="F29" s="1802"/>
      <c r="G29" s="1805">
        <f>'Expenditures 15-22'!K62-SUM('Expenditures 15-22'!G62,'Expenditures 15-22'!I62)+'Expenditures 15-22'!K125-SUM('Expenditures 15-22'!G125,'Expenditures 15-22'!I125)+'Expenditures 15-22'!K182-SUM('Expenditures 15-22'!G182,'Expenditures 15-22'!I182)+'Expenditures 15-22'!D267</f>
        <v>100560</v>
      </c>
      <c r="H29" s="985"/>
    </row>
    <row r="30" spans="1:9" ht="12" customHeight="1" x14ac:dyDescent="0.2">
      <c r="A30" s="994" t="s">
        <v>100</v>
      </c>
      <c r="B30" s="997"/>
      <c r="C30" s="993">
        <v>2560</v>
      </c>
      <c r="D30" s="1802"/>
      <c r="E30" s="1804">
        <f>'Expenditures 15-22'!K63-SUM('Expenditures 15-22'!G63,'Expenditures 15-22'!I63)+'Expenditures 15-22'!D268-E10</f>
        <v>42815</v>
      </c>
      <c r="F30" s="1802"/>
      <c r="G30" s="1804">
        <f>'Expenditures 15-22'!K63-SUM('Expenditures 15-22'!G63,'Expenditures 15-22'!I63)+'Expenditures 15-22'!D268-E10</f>
        <v>42815</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351</v>
      </c>
      <c r="F39" s="1802"/>
      <c r="G39" s="1804">
        <f>'Expenditures 15-22'!K75-SUM('Expenditures 15-22'!G75,'Expenditures 15-22'!I75)+'Expenditures 15-22'!K130-SUM('Expenditures 15-22'!G130,'Expenditures 15-22'!I130)+'Expenditures 15-22'!K185-SUM('Expenditures 15-22'!G185,'Expenditures 15-22'!I185)+'Expenditures 15-22'!D280</f>
        <v>351</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24487</v>
      </c>
      <c r="E41" s="1806">
        <f>SUM(E19:E40)</f>
        <v>1065696</v>
      </c>
      <c r="F41" s="1806">
        <f>SUM(F19:F39)</f>
        <v>79395</v>
      </c>
      <c r="G41" s="1806">
        <f>SUM(G19:G40)</f>
        <v>1010788</v>
      </c>
    </row>
    <row r="42" spans="1:7" x14ac:dyDescent="0.2">
      <c r="A42" s="987"/>
      <c r="B42" s="162"/>
      <c r="C42" s="1001"/>
      <c r="D42" s="2283" t="s">
        <v>522</v>
      </c>
      <c r="E42" s="2284"/>
      <c r="F42" s="1002" t="s">
        <v>523</v>
      </c>
      <c r="G42" s="1003"/>
    </row>
    <row r="43" spans="1:7" ht="12" customHeight="1" x14ac:dyDescent="0.2">
      <c r="A43" s="987"/>
      <c r="B43" s="162"/>
      <c r="C43" s="1001"/>
      <c r="D43" s="1807" t="s">
        <v>473</v>
      </c>
      <c r="E43" s="1808">
        <f>D41</f>
        <v>24487</v>
      </c>
      <c r="F43" s="1807" t="s">
        <v>473</v>
      </c>
      <c r="G43" s="1808">
        <f>F41</f>
        <v>79395</v>
      </c>
    </row>
    <row r="44" spans="1:7" ht="12" customHeight="1" x14ac:dyDescent="0.2">
      <c r="A44" s="987"/>
      <c r="B44" s="162"/>
      <c r="C44" s="1001"/>
      <c r="D44" s="1807" t="s">
        <v>474</v>
      </c>
      <c r="E44" s="1808">
        <f>E41</f>
        <v>1065696</v>
      </c>
      <c r="F44" s="1807" t="s">
        <v>474</v>
      </c>
      <c r="G44" s="1808">
        <f>G41</f>
        <v>1010788</v>
      </c>
    </row>
    <row r="45" spans="1:7" ht="12" customHeight="1" x14ac:dyDescent="0.2">
      <c r="A45" s="987"/>
      <c r="B45" s="162"/>
      <c r="C45" s="162"/>
      <c r="D45" s="1809" t="s">
        <v>1006</v>
      </c>
      <c r="E45" s="1810">
        <f>(E43/E44)</f>
        <v>2.2977471999519564E-2</v>
      </c>
      <c r="F45" s="1809" t="s">
        <v>1006</v>
      </c>
      <c r="G45" s="1810">
        <f>(G43/G44)</f>
        <v>7.8547628187117371E-2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&amp;L&amp;8"The notes are an integral part of these statements"&amp;CPage 30</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topLeftCell="A3" zoomScale="110" zoomScaleNormal="110" workbookViewId="0">
      <selection activeCell="F28" sqref="F28"/>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2" t="s">
        <v>1379</v>
      </c>
      <c r="B1" s="2302"/>
      <c r="C1" s="2302"/>
      <c r="D1" s="2302"/>
      <c r="E1" s="2302"/>
      <c r="F1" s="2302"/>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3" t="s">
        <v>1546</v>
      </c>
      <c r="B5" s="2304"/>
      <c r="C5" s="2305"/>
      <c r="D5" s="2305"/>
      <c r="E5" s="2305"/>
      <c r="F5" s="2305"/>
    </row>
    <row r="6" spans="1:10" ht="12" customHeight="1" x14ac:dyDescent="0.25">
      <c r="A6" s="1850"/>
      <c r="B6" s="1851"/>
      <c r="C6" s="2306" t="str">
        <f>COVER!A17</f>
        <v>Tamaroa School Dist 5</v>
      </c>
      <c r="D6" s="2306"/>
      <c r="E6" s="2306"/>
      <c r="F6" s="1852"/>
    </row>
    <row r="7" spans="1:10" ht="11.25" customHeight="1" thickBot="1" x14ac:dyDescent="0.3">
      <c r="A7" s="1850"/>
      <c r="B7" s="1851"/>
      <c r="C7" s="2307">
        <f>COVER!A13</f>
        <v>30073005002</v>
      </c>
      <c r="D7" s="2307"/>
      <c r="E7" s="2307"/>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2084</v>
      </c>
      <c r="D26" s="1865" t="s">
        <v>2084</v>
      </c>
      <c r="E26" s="1868" t="s">
        <v>2084</v>
      </c>
      <c r="F26" s="1867" t="s">
        <v>2089</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t="s">
        <v>2084</v>
      </c>
      <c r="D32" s="1865" t="s">
        <v>2084</v>
      </c>
      <c r="E32" s="1868" t="s">
        <v>2084</v>
      </c>
      <c r="F32" s="1867" t="s">
        <v>2088</v>
      </c>
      <c r="H32" s="1878">
        <f t="shared" si="0"/>
        <v>5</v>
      </c>
      <c r="I32" s="1878">
        <f t="shared" si="1"/>
        <v>5</v>
      </c>
      <c r="J32" s="1878">
        <f t="shared" si="2"/>
        <v>5</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3"/>
      <c r="B39" s="1873"/>
      <c r="C39" s="1873"/>
      <c r="D39" s="1873"/>
      <c r="E39" s="1873"/>
      <c r="F39" s="1873"/>
    </row>
    <row r="40" spans="1:11" s="1870" customFormat="1" ht="12" customHeight="1" x14ac:dyDescent="0.25">
      <c r="A40" s="1874" t="s">
        <v>1391</v>
      </c>
      <c r="B40" s="1875"/>
      <c r="C40" s="2297"/>
      <c r="D40" s="2297"/>
      <c r="E40" s="2297"/>
      <c r="F40" s="2298"/>
      <c r="H40" s="1879"/>
      <c r="I40" s="1879"/>
      <c r="J40" s="1879"/>
      <c r="K40" s="1879"/>
    </row>
    <row r="41" spans="1:11" s="1870" customFormat="1" ht="12" customHeight="1" x14ac:dyDescent="0.25">
      <c r="A41" s="2299"/>
      <c r="B41" s="2300"/>
      <c r="C41" s="2300"/>
      <c r="D41" s="2300"/>
      <c r="E41" s="2300"/>
      <c r="F41" s="2301"/>
      <c r="H41" s="1879"/>
      <c r="I41" s="1879"/>
      <c r="J41" s="1879"/>
      <c r="K41" s="1879"/>
    </row>
    <row r="42" spans="1:11" s="1870" customFormat="1" ht="12" customHeight="1" x14ac:dyDescent="0.25">
      <c r="A42" s="2299"/>
      <c r="B42" s="2300"/>
      <c r="C42" s="2300"/>
      <c r="D42" s="2300"/>
      <c r="E42" s="2300"/>
      <c r="F42" s="2301"/>
      <c r="H42" s="1879"/>
      <c r="I42" s="1879"/>
      <c r="J42" s="1879"/>
      <c r="K42" s="1879"/>
    </row>
    <row r="43" spans="1:11" s="1870" customFormat="1" ht="15" x14ac:dyDescent="0.25">
      <c r="A43" s="2288"/>
      <c r="B43" s="2289"/>
      <c r="C43" s="2289"/>
      <c r="D43" s="2289"/>
      <c r="E43" s="2289"/>
      <c r="F43" s="2290"/>
      <c r="H43" s="1879"/>
      <c r="I43" s="1879"/>
      <c r="J43" s="1879"/>
      <c r="K43" s="1879"/>
    </row>
    <row r="44" spans="1:11" s="1870" customFormat="1" ht="12" hidden="1" customHeight="1" x14ac:dyDescent="0.25">
      <c r="A44" s="2288"/>
      <c r="B44" s="2289"/>
      <c r="C44" s="2289"/>
      <c r="D44" s="2289"/>
      <c r="E44" s="2289"/>
      <c r="F44" s="229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&amp;L"The notes are an integral part of these statements"&amp;C&amp;8Page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Q40"/>
  <sheetViews>
    <sheetView showGridLines="0" defaultGridColor="0" colorId="8" zoomScale="110" zoomScaleNormal="110" workbookViewId="0">
      <selection activeCell="H14" sqref="H1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5" t="str">
        <f>COVER!A17</f>
        <v>Tamaroa School Dist 5</v>
      </c>
      <c r="J6" s="2316"/>
      <c r="Q6" s="1664"/>
    </row>
    <row r="7" spans="1:17" x14ac:dyDescent="0.2">
      <c r="A7" s="2317" t="s">
        <v>869</v>
      </c>
      <c r="B7" s="2318"/>
      <c r="C7" s="2318"/>
      <c r="D7" s="2318"/>
      <c r="E7" s="2319"/>
      <c r="F7" s="1017"/>
      <c r="G7" s="1009"/>
      <c r="H7" s="1016" t="s">
        <v>372</v>
      </c>
      <c r="I7" s="2320">
        <f>COVER!A13</f>
        <v>30073005002</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70439</v>
      </c>
      <c r="F12" s="1039"/>
      <c r="G12" s="1811">
        <f t="shared" ref="G12:G18" si="0">SUM(E12:F12)</f>
        <v>70439</v>
      </c>
      <c r="H12" s="1040">
        <v>52900</v>
      </c>
      <c r="I12" s="1039"/>
      <c r="J12" s="1811">
        <f t="shared" ref="J12:J18" si="1">SUM(H12:I12)</f>
        <v>52900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4" t="s">
        <v>7</v>
      </c>
      <c r="C18" s="2325"/>
      <c r="D18" s="2326"/>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70439</v>
      </c>
      <c r="F19" s="1813">
        <f t="shared" si="2"/>
        <v>0</v>
      </c>
      <c r="G19" s="1813">
        <f t="shared" si="2"/>
        <v>70439</v>
      </c>
      <c r="H19" s="1813">
        <f t="shared" si="2"/>
        <v>52900</v>
      </c>
      <c r="I19" s="1813">
        <f t="shared" si="2"/>
        <v>0</v>
      </c>
      <c r="J19" s="1813">
        <f t="shared" si="2"/>
        <v>52900</v>
      </c>
    </row>
    <row r="20" spans="1:10" ht="13.5" thickTop="1" x14ac:dyDescent="0.2">
      <c r="A20" s="1035">
        <v>9</v>
      </c>
      <c r="B20" s="2327" t="s">
        <v>1981</v>
      </c>
      <c r="C20" s="2327"/>
      <c r="D20" s="2328"/>
      <c r="E20" s="1046"/>
      <c r="F20" s="1046"/>
      <c r="G20" s="1046"/>
      <c r="H20" s="1046"/>
      <c r="I20" s="1046"/>
      <c r="J20" s="1814">
        <f>IF(AND(G19&gt;0,J19&gt;0),(((J19-G19)/G19)),"Enter Budget Data")</f>
        <v>-0.24899558483226622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1983</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2" firstPageNumber="31" orientation="landscape" useFirstPageNumber="1" r:id="rId1"/>
  <headerFooter alignWithMargins="0">
    <oddHeader>&amp;L&amp;8Page 32&amp;C &amp;R&amp;8Page 32</oddHeader>
    <oddFooter>&amp;L"The notes are an integral part of these statements"&amp;CPage 32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7" sqref="B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Tamaroa School Dist 5</v>
      </c>
    </row>
    <row r="65" spans="2:2" x14ac:dyDescent="0.2">
      <c r="B65" s="1070">
        <f>COVER!A13</f>
        <v>30073005002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oddFooter>&amp;L"The notes are an integral part of these statements"&amp;CPage 33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F54" sqref="F5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oddFooter>&amp;L"The notes are an integral part of these statements"&amp;CPage 34</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oddFooter>&amp;L"The notes are an integral part of these statements"&amp;CPage 35</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457200</xdr:colOff>
                <xdr:row>1</xdr:row>
                <xdr:rowOff>28575</xdr:rowOff>
              </from>
              <to>
                <xdr:col>1</xdr:col>
                <xdr:colOff>1371600</xdr:colOff>
                <xdr:row>5</xdr:row>
                <xdr:rowOff>66675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F29" sqref="F2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1987</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1988</v>
      </c>
      <c r="B4" s="2355"/>
      <c r="C4" s="2355"/>
      <c r="D4" s="2355"/>
      <c r="E4" s="2355"/>
      <c r="F4" s="2356"/>
      <c r="G4" s="1074"/>
      <c r="H4" s="1074"/>
    </row>
    <row r="5" spans="1:8" ht="14.25" customHeight="1" x14ac:dyDescent="0.2">
      <c r="A5" s="2357" t="s">
        <v>1984</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938312</v>
      </c>
      <c r="C8" s="1815">
        <f>'Acct Summary 7-8'!D8</f>
        <v>68566</v>
      </c>
      <c r="D8" s="1815">
        <f>'Acct Summary 7-8'!F8</f>
        <v>76719</v>
      </c>
      <c r="E8" s="1815">
        <f>'Acct Summary 7-8'!I8</f>
        <v>3950</v>
      </c>
      <c r="F8" s="1815">
        <f>SUM(B8:E8)</f>
        <v>1087547</v>
      </c>
    </row>
    <row r="9" spans="1:8" s="1079" customFormat="1" ht="14.25" customHeight="1" thickBot="1" x14ac:dyDescent="0.25">
      <c r="A9" s="1078" t="s">
        <v>1369</v>
      </c>
      <c r="B9" s="1816">
        <f>'Acct Summary 7-8'!C17</f>
        <v>880889</v>
      </c>
      <c r="C9" s="1816">
        <f>'Acct Summary 7-8'!D17</f>
        <v>72724</v>
      </c>
      <c r="D9" s="1816">
        <f>'Acct Summary 7-8'!F17</f>
        <v>100560</v>
      </c>
      <c r="E9" s="1815"/>
      <c r="F9" s="1815">
        <f>SUM(B9:E9)</f>
        <v>1054173</v>
      </c>
    </row>
    <row r="10" spans="1:8" s="1079" customFormat="1" ht="14.25" thickTop="1" thickBot="1" x14ac:dyDescent="0.25">
      <c r="A10" s="1080" t="s">
        <v>1370</v>
      </c>
      <c r="B10" s="1817">
        <f>(B8-B9)</f>
        <v>57423</v>
      </c>
      <c r="C10" s="1817">
        <f>(C8-C9)</f>
        <v>-4158</v>
      </c>
      <c r="D10" s="1817">
        <f>(D8-D9)</f>
        <v>-23841</v>
      </c>
      <c r="E10" s="1816">
        <f>(E8-E9)</f>
        <v>3950</v>
      </c>
      <c r="F10" s="1818">
        <f>SUM(F8-F9)</f>
        <v>33374</v>
      </c>
    </row>
    <row r="11" spans="1:8" s="1079" customFormat="1" ht="14.25" thickTop="1" thickBot="1" x14ac:dyDescent="0.25">
      <c r="A11" s="1081" t="s">
        <v>1985</v>
      </c>
      <c r="B11" s="1819">
        <f>'Acct Summary 7-8'!C81</f>
        <v>136258</v>
      </c>
      <c r="C11" s="1819">
        <f>'Acct Summary 7-8'!D81</f>
        <v>8107</v>
      </c>
      <c r="D11" s="1819">
        <f>'Acct Summary 7-8'!F81</f>
        <v>30590</v>
      </c>
      <c r="E11" s="1819">
        <f>'Acct Summary 7-8'!I81</f>
        <v>18415</v>
      </c>
      <c r="F11" s="1820">
        <f>SUM(B11:E11)</f>
        <v>193370</v>
      </c>
    </row>
    <row r="12" spans="1:8" ht="16.5" customHeight="1" thickTop="1" x14ac:dyDescent="0.2">
      <c r="A12" s="1082"/>
      <c r="B12" s="1083"/>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orientation="landscape" useFirstPageNumber="1" r:id="rId1"/>
  <headerFooter alignWithMargins="0">
    <oddHeader xml:space="preserve">&amp;L&amp;8Page 36&amp;R&amp;8Page 36
</oddHeader>
    <oddFooter>&amp;L"The notes are an integral part of these statements"&amp;CPage 36</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7" colorId="8" zoomScale="110" zoomScaleNormal="110" workbookViewId="0">
      <selection activeCell="D64" sqref="D64"/>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e">
        <f>IF((('Assets-Liab 5-6'!J38 + 'Assets-Liab 5-6'!J39) ='Acct Summary 7-8'!J81), "OK", "ERROR!" )</f>
        <v>#VALUE!</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&amp;L&amp;8"The notes are an integral part of these statements"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30073005002</v>
      </c>
    </row>
    <row r="3" spans="1:2" x14ac:dyDescent="0.2">
      <c r="A3" t="s">
        <v>956</v>
      </c>
      <c r="B3" s="138" t="str">
        <f>COVER!A15</f>
        <v>Perry</v>
      </c>
    </row>
    <row r="4" spans="1:2" x14ac:dyDescent="0.2">
      <c r="A4" t="s">
        <v>1007</v>
      </c>
      <c r="B4" s="138" t="str">
        <f>COVER!A17</f>
        <v>Tamaroa School Dist 5</v>
      </c>
    </row>
    <row r="5" spans="1:2" x14ac:dyDescent="0.2">
      <c r="A5" t="s">
        <v>704</v>
      </c>
      <c r="B5" s="138" t="str">
        <f>COVER!A38</f>
        <v>Brian Brink</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65.028419999999997</v>
      </c>
    </row>
    <row r="16" spans="1:2" x14ac:dyDescent="0.2">
      <c r="A16" t="s">
        <v>422</v>
      </c>
      <c r="B16" s="138" t="str">
        <f>COVER!T13</f>
        <v>Kujawa &amp; Batteau, P.C.</v>
      </c>
    </row>
    <row r="17" spans="1:2" x14ac:dyDescent="0.2">
      <c r="A17" t="s">
        <v>884</v>
      </c>
      <c r="B17" s="138" t="str">
        <f>COVER!T15</f>
        <v>Kevin Batteau</v>
      </c>
    </row>
    <row r="18" spans="1:2" x14ac:dyDescent="0.2">
      <c r="A18" t="s">
        <v>1150</v>
      </c>
      <c r="B18" s="138" t="str">
        <f>COVER!T17</f>
        <v>300 S. Walnut St.</v>
      </c>
    </row>
    <row r="19" spans="1:2" x14ac:dyDescent="0.2">
      <c r="A19" t="s">
        <v>886</v>
      </c>
      <c r="B19" s="138" t="str">
        <f>COVER!T25</f>
        <v>kbatteau@kandb-cpa.com</v>
      </c>
    </row>
    <row r="20" spans="1:2" x14ac:dyDescent="0.2">
      <c r="A20" t="s">
        <v>887</v>
      </c>
      <c r="B20" s="138" t="str">
        <f>COVER!T19</f>
        <v>Pinckneyville</v>
      </c>
    </row>
    <row r="21" spans="1:2" x14ac:dyDescent="0.2">
      <c r="A21" t="s">
        <v>479</v>
      </c>
      <c r="B21" s="138" t="str">
        <f>COVER!X19</f>
        <v>IL</v>
      </c>
    </row>
    <row r="22" spans="1:2" x14ac:dyDescent="0.2">
      <c r="A22" t="s">
        <v>888</v>
      </c>
      <c r="B22" s="138">
        <f>COVER!Z19</f>
        <v>62274</v>
      </c>
    </row>
    <row r="23" spans="1:2" x14ac:dyDescent="0.2">
      <c r="A23" t="s">
        <v>1152</v>
      </c>
      <c r="B23" s="138" t="str">
        <f>COVER!T21</f>
        <v>618-357-3000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2454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136288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30</v>
      </c>
      <c r="C91" s="2" t="s">
        <v>573</v>
      </c>
      <c r="D91" s="2" t="str">
        <f t="shared" si="0"/>
        <v>OK</v>
      </c>
    </row>
    <row r="92" spans="1:4" x14ac:dyDescent="0.2">
      <c r="A92" s="5">
        <v>31</v>
      </c>
      <c r="B92" s="138">
        <f>'Assets-Liab 5-6'!C39</f>
        <v>136258</v>
      </c>
      <c r="D92" s="2" t="str">
        <f t="shared" si="0"/>
        <v>Error?</v>
      </c>
    </row>
    <row r="93" spans="1:4" x14ac:dyDescent="0.2">
      <c r="A93" s="5">
        <v>32</v>
      </c>
      <c r="B93" s="138">
        <f>'Assets-Liab 5-6'!C41</f>
        <v>136288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14115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14115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6008</v>
      </c>
      <c r="C122" s="2" t="s">
        <v>573</v>
      </c>
      <c r="D122" s="2" t="str">
        <f t="shared" si="0"/>
        <v>Error?</v>
      </c>
    </row>
    <row r="123" spans="1:4" x14ac:dyDescent="0.2">
      <c r="A123" s="5">
        <v>62</v>
      </c>
      <c r="B123" s="138">
        <f>'Assets-Liab 5-6'!D39</f>
        <v>8107</v>
      </c>
      <c r="D123" s="2" t="str">
        <f t="shared" si="0"/>
        <v>Error?</v>
      </c>
    </row>
    <row r="124" spans="1:4" x14ac:dyDescent="0.2">
      <c r="A124" s="5">
        <v>63</v>
      </c>
      <c r="B124" s="138">
        <f>'Assets-Liab 5-6'!D41</f>
        <v>14115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26047</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30590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30590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17417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17417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6472</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17417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16031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16031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1000</v>
      </c>
      <c r="D273" s="2" t="str">
        <f t="shared" si="3"/>
        <v>Error?</v>
      </c>
    </row>
    <row r="274" spans="1:4" x14ac:dyDescent="0.2">
      <c r="A274" s="5">
        <v>213</v>
      </c>
      <c r="B274" s="138">
        <f>'Assets-Liab 5-6'!M17</f>
        <v>913371</v>
      </c>
      <c r="D274" s="2" t="str">
        <f t="shared" si="3"/>
        <v>Error?</v>
      </c>
    </row>
    <row r="275" spans="1:4" x14ac:dyDescent="0.2">
      <c r="A275" s="5">
        <v>214</v>
      </c>
      <c r="B275" s="138">
        <f>'Assets-Liab 5-6'!M18</f>
        <v>116833</v>
      </c>
      <c r="D275" s="2" t="str">
        <f t="shared" si="3"/>
        <v>Error?</v>
      </c>
    </row>
    <row r="276" spans="1:4" x14ac:dyDescent="0.2">
      <c r="A276" s="5">
        <v>215</v>
      </c>
      <c r="B276" s="138">
        <f>'Assets-Liab 5-6'!M19</f>
        <v>357289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1388493</v>
      </c>
      <c r="C279" s="2" t="s">
        <v>573</v>
      </c>
      <c r="D279" s="2" t="str">
        <f t="shared" si="3"/>
        <v>Error?</v>
      </c>
    </row>
    <row r="280" spans="1:4" x14ac:dyDescent="0.2">
      <c r="A280" s="5">
        <v>219</v>
      </c>
      <c r="B280" s="138">
        <f>'Assets-Liab 5-6'!M40</f>
        <v>1388493</v>
      </c>
      <c r="D280" s="2" t="str">
        <f t="shared" si="3"/>
        <v>Error?</v>
      </c>
    </row>
    <row r="281" spans="1:4" x14ac:dyDescent="0.2">
      <c r="A281" s="5">
        <v>220</v>
      </c>
      <c r="B281" s="138">
        <f>'Assets-Liab 5-6'!M41</f>
        <v>1388493</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233000</v>
      </c>
      <c r="D283" s="2" t="str">
        <f t="shared" si="3"/>
        <v>Error?</v>
      </c>
    </row>
    <row r="284" spans="1:4" x14ac:dyDescent="0.2">
      <c r="A284" s="5">
        <v>223</v>
      </c>
      <c r="B284" s="138">
        <f>'Assets-Liab 5-6'!N23</f>
        <v>233000</v>
      </c>
      <c r="C284" s="2" t="s">
        <v>573</v>
      </c>
      <c r="D284" s="2" t="str">
        <f t="shared" si="3"/>
        <v>Error?</v>
      </c>
    </row>
    <row r="285" spans="1:4" x14ac:dyDescent="0.2">
      <c r="A285" s="5">
        <v>224</v>
      </c>
      <c r="B285" s="138">
        <f>'Assets-Liab 5-6'!N36</f>
        <v>233000</v>
      </c>
      <c r="D285" s="2" t="str">
        <f t="shared" si="3"/>
        <v>Error?</v>
      </c>
    </row>
    <row r="286" spans="1:4" x14ac:dyDescent="0.2">
      <c r="A286" s="10">
        <v>225</v>
      </c>
      <c r="D286" s="2" t="str">
        <f t="shared" si="3"/>
        <v>OK</v>
      </c>
    </row>
    <row r="287" spans="1:4" x14ac:dyDescent="0.2">
      <c r="A287" s="5">
        <v>226</v>
      </c>
      <c r="B287" s="138">
        <f>'Assets-Liab 5-6'!N37</f>
        <v>233000</v>
      </c>
      <c r="C287" s="2" t="s">
        <v>573</v>
      </c>
      <c r="D287" s="2" t="str">
        <f t="shared" si="3"/>
        <v>Error?</v>
      </c>
    </row>
    <row r="288" spans="1:4" x14ac:dyDescent="0.2">
      <c r="A288" s="5">
        <v>227</v>
      </c>
      <c r="B288" s="138">
        <f>'Assets-Liab 5-6'!N41</f>
        <v>233000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410887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447694</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19994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19994</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52000</v>
      </c>
      <c r="D733" s="2" t="str">
        <f t="shared" si="10"/>
        <v>Error?</v>
      </c>
    </row>
    <row r="734" spans="1:4" x14ac:dyDescent="0.2">
      <c r="A734" s="5">
        <v>673</v>
      </c>
      <c r="B734" s="138">
        <f>'Expenditures 15-22'!C53</f>
        <v>52000</v>
      </c>
      <c r="C734" s="2" t="s">
        <v>573</v>
      </c>
      <c r="D734" s="2" t="str">
        <f t="shared" si="10"/>
        <v>Error?</v>
      </c>
    </row>
    <row r="735" spans="1:4" x14ac:dyDescent="0.2">
      <c r="A735" s="5">
        <v>674</v>
      </c>
      <c r="B735" s="138">
        <f>'Expenditures 15-22'!C55</f>
        <v>25000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25000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25125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23974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49099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146093</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593787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106336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106336</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2088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2088</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15098</v>
      </c>
      <c r="D791" s="2" t="str">
        <f t="shared" si="11"/>
        <v>Error?</v>
      </c>
    </row>
    <row r="792" spans="1:4" x14ac:dyDescent="0.2">
      <c r="A792" s="5">
        <v>731</v>
      </c>
      <c r="B792" s="138">
        <f>'Expenditures 15-22'!D53</f>
        <v>15098</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17186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123522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6240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12169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353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353</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573</v>
      </c>
      <c r="D847" s="2" t="str">
        <f t="shared" si="12"/>
        <v>Error?</v>
      </c>
    </row>
    <row r="848" spans="1:4" x14ac:dyDescent="0.2">
      <c r="A848" s="5">
        <v>787</v>
      </c>
      <c r="B848" s="138">
        <f>'Expenditures 15-22'!E49</f>
        <v>2992</v>
      </c>
      <c r="D848" s="2" t="str">
        <f t="shared" si="12"/>
        <v>Error?</v>
      </c>
    </row>
    <row r="849" spans="1:4" x14ac:dyDescent="0.2">
      <c r="A849" s="5">
        <v>788</v>
      </c>
      <c r="B849" s="138">
        <f>'Expenditures 15-22'!E50</f>
        <v>0</v>
      </c>
      <c r="D849" s="2" t="str">
        <f t="shared" si="12"/>
        <v>Error?</v>
      </c>
    </row>
    <row r="850" spans="1:4" x14ac:dyDescent="0.2">
      <c r="A850" s="5">
        <v>789</v>
      </c>
      <c r="B850" s="138">
        <f>'Expenditures 15-22'!E53</f>
        <v>2992</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3345</v>
      </c>
      <c r="C871" s="2" t="s">
        <v>573</v>
      </c>
      <c r="D871" s="2" t="str">
        <f t="shared" si="12"/>
        <v>Error?</v>
      </c>
    </row>
    <row r="872" spans="1:4" x14ac:dyDescent="0.2">
      <c r="A872" s="5">
        <v>811</v>
      </c>
      <c r="B872" s="138">
        <f>'Expenditures 15-22'!E75</f>
        <v>351</v>
      </c>
      <c r="D872" s="2" t="str">
        <f t="shared" si="12"/>
        <v>Error?</v>
      </c>
    </row>
    <row r="873" spans="1:4" x14ac:dyDescent="0.2">
      <c r="A873" s="5">
        <v>812</v>
      </c>
      <c r="B873" s="138">
        <f>'Expenditures 15-22'!E114</f>
        <v>46401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9883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27546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414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414</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1328</v>
      </c>
      <c r="D907" s="2" t="str">
        <f t="shared" si="13"/>
        <v>Error?</v>
      </c>
    </row>
    <row r="908" spans="1:4" x14ac:dyDescent="0.2">
      <c r="A908" s="5">
        <v>847</v>
      </c>
      <c r="B908" s="138">
        <f>'Expenditures 15-22'!F53</f>
        <v>1328</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4799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36191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40990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42732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70278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2927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16611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699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699</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699</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17310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11980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12555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2013</v>
      </c>
      <c r="D1023" s="2" t="str">
        <f t="shared" ref="D1023:D1086" si="15">IF(ISBLANK(B1023),"OK",IF(A1023-B1023=0,"OK","Error?"))</f>
        <v>Error?</v>
      </c>
    </row>
    <row r="1024" spans="1:4" x14ac:dyDescent="0.2">
      <c r="A1024" s="5">
        <v>963</v>
      </c>
      <c r="B1024" s="138">
        <f>'Expenditures 15-22'!H53</f>
        <v>2013</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14326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697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15023</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17036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29591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542013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6740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622911</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767</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22082</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22849</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0</v>
      </c>
      <c r="C1119" s="2" t="s">
        <v>573</v>
      </c>
      <c r="D1119" s="2" t="str">
        <f t="shared" si="16"/>
        <v>Error?</v>
      </c>
    </row>
    <row r="1120" spans="1:4" x14ac:dyDescent="0.2">
      <c r="A1120" s="5">
        <v>1059</v>
      </c>
      <c r="B1120" s="138">
        <f>'Expenditures 15-22'!K49</f>
        <v>2992</v>
      </c>
      <c r="C1120" s="2" t="s">
        <v>573</v>
      </c>
      <c r="D1120" s="2" t="str">
        <f t="shared" si="16"/>
        <v>Error?</v>
      </c>
    </row>
    <row r="1121" spans="1:4" x14ac:dyDescent="0.2">
      <c r="A1121" s="5">
        <v>1060</v>
      </c>
      <c r="B1121" s="138">
        <f>'Expenditures 15-22'!K50</f>
        <v>70439</v>
      </c>
      <c r="C1121" s="2" t="s">
        <v>573</v>
      </c>
      <c r="D1121" s="2" t="str">
        <f t="shared" si="16"/>
        <v>Error?</v>
      </c>
    </row>
    <row r="1122" spans="1:4" x14ac:dyDescent="0.2">
      <c r="A1122" s="5">
        <v>1061</v>
      </c>
      <c r="B1122" s="138">
        <f>'Expenditures 15-22'!K53</f>
        <v>73431</v>
      </c>
      <c r="C1122" s="2" t="s">
        <v>573</v>
      </c>
      <c r="D1122" s="2" t="str">
        <f t="shared" si="16"/>
        <v>Error?</v>
      </c>
    </row>
    <row r="1123" spans="1:4" x14ac:dyDescent="0.2">
      <c r="A1123" s="5">
        <v>1062</v>
      </c>
      <c r="B1123" s="138">
        <f>'Expenditures 15-22'!K55</f>
        <v>25000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25000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44250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61561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105811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227091</v>
      </c>
      <c r="C1143" s="2" t="s">
        <v>573</v>
      </c>
      <c r="D1143" s="2" t="str">
        <f t="shared" si="16"/>
        <v>Error?</v>
      </c>
    </row>
    <row r="1144" spans="1:4" x14ac:dyDescent="0.2">
      <c r="A1144" s="5">
        <v>1083</v>
      </c>
      <c r="B1144" s="138">
        <f>'Expenditures 15-22'!K75</f>
        <v>351</v>
      </c>
      <c r="C1144" s="2" t="s">
        <v>573</v>
      </c>
      <c r="D1144" s="2" t="str">
        <f t="shared" si="16"/>
        <v>Error?</v>
      </c>
    </row>
    <row r="1145" spans="1:4" x14ac:dyDescent="0.2">
      <c r="A1145" s="5">
        <v>1084</v>
      </c>
      <c r="B1145" s="138">
        <f>'Expenditures 15-22'!K102</f>
        <v>30536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880889</v>
      </c>
      <c r="C1152" s="2" t="s">
        <v>573</v>
      </c>
      <c r="D1152" s="2" t="str">
        <f t="shared" si="17"/>
        <v>Error?</v>
      </c>
    </row>
    <row r="1153" spans="1:4" x14ac:dyDescent="0.2">
      <c r="A1153" s="5">
        <v>1092</v>
      </c>
      <c r="B1153" s="138">
        <f>'Expenditures 15-22'!K115</f>
        <v>57423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23114</v>
      </c>
      <c r="D1221" s="2" t="str">
        <f t="shared" si="18"/>
        <v>Error?</v>
      </c>
    </row>
    <row r="1222" spans="1:4" x14ac:dyDescent="0.2">
      <c r="A1222" s="10">
        <v>1161</v>
      </c>
      <c r="D1222" s="2" t="str">
        <f t="shared" si="18"/>
        <v>OK</v>
      </c>
    </row>
    <row r="1223" spans="1:4" x14ac:dyDescent="0.2">
      <c r="A1223" s="5">
        <v>1162</v>
      </c>
      <c r="B1223" s="138">
        <f>'Expenditures 15-22'!C127</f>
        <v>23114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23114</v>
      </c>
      <c r="C1225" s="2" t="s">
        <v>573</v>
      </c>
      <c r="D1225" s="2" t="str">
        <f t="shared" si="18"/>
        <v>Error?</v>
      </c>
    </row>
    <row r="1226" spans="1:4" x14ac:dyDescent="0.2">
      <c r="A1226" s="5">
        <v>1165</v>
      </c>
      <c r="B1226" s="138">
        <f>'Expenditures 15-22'!C151</f>
        <v>23114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42296</v>
      </c>
      <c r="D1237" s="2" t="str">
        <f t="shared" si="18"/>
        <v>Error?</v>
      </c>
    </row>
    <row r="1238" spans="1:4" x14ac:dyDescent="0.2">
      <c r="A1238" s="10">
        <v>1177</v>
      </c>
      <c r="D1238" s="2" t="str">
        <f t="shared" si="18"/>
        <v>OK</v>
      </c>
    </row>
    <row r="1239" spans="1:4" x14ac:dyDescent="0.2">
      <c r="A1239" s="5">
        <v>1178</v>
      </c>
      <c r="B1239" s="138">
        <f>'Expenditures 15-22'!E127</f>
        <v>42296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42296</v>
      </c>
      <c r="C1241" s="2" t="s">
        <v>573</v>
      </c>
      <c r="D1241" s="2" t="str">
        <f t="shared" si="18"/>
        <v>Error?</v>
      </c>
    </row>
    <row r="1242" spans="1:4" x14ac:dyDescent="0.2">
      <c r="A1242" s="5">
        <v>1181</v>
      </c>
      <c r="B1242" s="138">
        <f>'Expenditures 15-22'!E151</f>
        <v>42919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2662</v>
      </c>
      <c r="D1245" s="2" t="str">
        <f t="shared" si="18"/>
        <v>Error?</v>
      </c>
    </row>
    <row r="1246" spans="1:4" x14ac:dyDescent="0.2">
      <c r="A1246" s="10">
        <v>1185</v>
      </c>
      <c r="D1246" s="2" t="str">
        <f t="shared" si="18"/>
        <v>OK</v>
      </c>
    </row>
    <row r="1247" spans="1:4" x14ac:dyDescent="0.2">
      <c r="A1247" s="5">
        <v>1186</v>
      </c>
      <c r="B1247" s="138">
        <f>'Expenditures 15-22'!F127</f>
        <v>2662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2662</v>
      </c>
      <c r="C1249" s="2" t="s">
        <v>573</v>
      </c>
      <c r="D1249" s="2" t="str">
        <f t="shared" si="18"/>
        <v>Error?</v>
      </c>
    </row>
    <row r="1250" spans="1:4" x14ac:dyDescent="0.2">
      <c r="A1250" s="5">
        <v>1189</v>
      </c>
      <c r="B1250" s="138">
        <f>'Expenditures 15-22'!F151</f>
        <v>2662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1134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1134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1134</v>
      </c>
      <c r="C1258" s="2" t="s">
        <v>573</v>
      </c>
      <c r="D1258" s="2" t="str">
        <f t="shared" si="18"/>
        <v>Error?</v>
      </c>
    </row>
    <row r="1259" spans="1:4" x14ac:dyDescent="0.2">
      <c r="A1259" s="5">
        <v>1198</v>
      </c>
      <c r="B1259" s="138">
        <f>'Expenditures 15-22'!G151</f>
        <v>1134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2895</v>
      </c>
      <c r="D1262" s="2" t="str">
        <f t="shared" si="18"/>
        <v>Error?</v>
      </c>
    </row>
    <row r="1263" spans="1:4" x14ac:dyDescent="0.2">
      <c r="A1263" s="10">
        <v>1202</v>
      </c>
      <c r="D1263" s="2" t="str">
        <f t="shared" si="18"/>
        <v>OK</v>
      </c>
    </row>
    <row r="1264" spans="1:4" x14ac:dyDescent="0.2">
      <c r="A1264" s="5">
        <v>1203</v>
      </c>
      <c r="B1264" s="138">
        <f>'Expenditures 15-22'!H127</f>
        <v>2895</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2895</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2895</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72101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72101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72101</v>
      </c>
      <c r="C1281" s="2" t="s">
        <v>573</v>
      </c>
      <c r="D1281" s="2" t="str">
        <f t="shared" si="19"/>
        <v>Error?</v>
      </c>
    </row>
    <row r="1282" spans="1:4" x14ac:dyDescent="0.2">
      <c r="A1282" s="5">
        <v>1221</v>
      </c>
      <c r="B1282" s="138">
        <f>'Expenditures 15-22'!K139</f>
        <v>623</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72724</v>
      </c>
      <c r="C1288" s="2" t="s">
        <v>573</v>
      </c>
      <c r="D1288" s="2" t="str">
        <f t="shared" si="19"/>
        <v>Error?</v>
      </c>
    </row>
    <row r="1289" spans="1:4" x14ac:dyDescent="0.2">
      <c r="A1289" s="5">
        <v>1228</v>
      </c>
      <c r="B1289" s="138">
        <f>'Expenditures 15-22'!K152</f>
        <v>-4158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11655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34000</v>
      </c>
      <c r="D1315" s="2" t="str">
        <f t="shared" si="19"/>
        <v>Error?</v>
      </c>
    </row>
    <row r="1316" spans="1:4" x14ac:dyDescent="0.2">
      <c r="A1316" s="5">
        <v>1255</v>
      </c>
      <c r="B1316" s="138">
        <f>'Expenditures 15-22'!H171</f>
        <v>250</v>
      </c>
      <c r="D1316" s="2" t="str">
        <f t="shared" si="19"/>
        <v>Error?</v>
      </c>
    </row>
    <row r="1317" spans="1:4" x14ac:dyDescent="0.2">
      <c r="A1317" s="5">
        <v>1256</v>
      </c>
      <c r="B1317" s="138">
        <f>'Expenditures 15-22'!H172</f>
        <v>45905</v>
      </c>
      <c r="C1317" s="2" t="s">
        <v>573</v>
      </c>
      <c r="D1317" s="2" t="str">
        <f t="shared" si="19"/>
        <v>Error?</v>
      </c>
    </row>
    <row r="1318" spans="1:4" x14ac:dyDescent="0.2">
      <c r="A1318" s="5">
        <v>1257</v>
      </c>
      <c r="B1318" s="138">
        <f>'Expenditures 15-22'!H174</f>
        <v>45905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11655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34000</v>
      </c>
      <c r="C1329" s="2" t="s">
        <v>573</v>
      </c>
      <c r="D1329" s="2" t="str">
        <f t="shared" si="19"/>
        <v>Error?</v>
      </c>
    </row>
    <row r="1330" spans="1:4" x14ac:dyDescent="0.2">
      <c r="A1330" s="5">
        <v>1269</v>
      </c>
      <c r="B1330" s="138">
        <f>'Expenditures 15-22'!K171</f>
        <v>250</v>
      </c>
      <c r="C1330" s="2" t="s">
        <v>573</v>
      </c>
      <c r="D1330" s="2" t="str">
        <f t="shared" si="19"/>
        <v>Error?</v>
      </c>
    </row>
    <row r="1331" spans="1:4" x14ac:dyDescent="0.2">
      <c r="A1331" s="5">
        <v>1270</v>
      </c>
      <c r="B1331" s="138">
        <f>'Expenditures 15-22'!K172</f>
        <v>45905</v>
      </c>
      <c r="C1331" s="2" t="s">
        <v>573</v>
      </c>
      <c r="D1331" s="2" t="str">
        <f t="shared" si="19"/>
        <v>Error?</v>
      </c>
    </row>
    <row r="1332" spans="1:4" x14ac:dyDescent="0.2">
      <c r="A1332" s="5">
        <v>1271</v>
      </c>
      <c r="B1332" s="138">
        <f>'Expenditures 15-22'!K174</f>
        <v>45905</v>
      </c>
      <c r="C1332" s="2" t="s">
        <v>573</v>
      </c>
      <c r="D1332" s="2" t="str">
        <f t="shared" si="19"/>
        <v>Error?</v>
      </c>
    </row>
    <row r="1333" spans="1:4" x14ac:dyDescent="0.2">
      <c r="A1333" s="5">
        <v>1272</v>
      </c>
      <c r="B1333" s="138">
        <f>'Expenditures 15-22'!K175</f>
        <v>-32767</v>
      </c>
      <c r="C1333" s="2" t="s">
        <v>573</v>
      </c>
      <c r="D1333" s="2" t="str">
        <f t="shared" si="19"/>
        <v>Error?</v>
      </c>
    </row>
    <row r="1334" spans="1:4" x14ac:dyDescent="0.2">
      <c r="A1334" s="10">
        <v>1273</v>
      </c>
      <c r="D1334" s="2" t="str">
        <f t="shared" si="19"/>
        <v>OK</v>
      </c>
    </row>
    <row r="1335" spans="1:4" x14ac:dyDescent="0.2">
      <c r="A1335" s="5">
        <v>1274</v>
      </c>
      <c r="B1335" s="138">
        <f>'Expenditures 15-22'!C182</f>
        <v>4000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4000</v>
      </c>
      <c r="C1339" s="2" t="s">
        <v>573</v>
      </c>
      <c r="D1339" s="2" t="str">
        <f t="shared" si="19"/>
        <v>Error?</v>
      </c>
    </row>
    <row r="1340" spans="1:4" x14ac:dyDescent="0.2">
      <c r="A1340" s="5">
        <v>1279</v>
      </c>
      <c r="B1340" s="138">
        <f>'Expenditures 15-22'!C210</f>
        <v>4000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96560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96560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96560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100560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100560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100560</v>
      </c>
      <c r="C1388" s="2" t="s">
        <v>573</v>
      </c>
      <c r="D1388" s="2" t="str">
        <f t="shared" si="20"/>
        <v>Error?</v>
      </c>
    </row>
    <row r="1389" spans="1:4" x14ac:dyDescent="0.2">
      <c r="A1389" s="5">
        <v>1328</v>
      </c>
      <c r="B1389" s="138">
        <f>'Expenditures 15-22'!K211</f>
        <v>-23841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15354</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290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290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1234</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1234</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5362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7055</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5927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18344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19868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35222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15354</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290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290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1234</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1234</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5362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7055</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5927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18344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19868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35222</v>
      </c>
      <c r="C1517" s="2" t="s">
        <v>573</v>
      </c>
      <c r="D1517" s="2" t="str">
        <f t="shared" si="22"/>
        <v>Error?</v>
      </c>
    </row>
    <row r="1518" spans="1:4" x14ac:dyDescent="0.2">
      <c r="A1518" s="5">
        <v>1457</v>
      </c>
      <c r="B1518" s="138">
        <f>'Expenditures 15-22'!K296</f>
        <v>-7011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2505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2505</v>
      </c>
      <c r="C1547" s="2" t="s">
        <v>573</v>
      </c>
      <c r="D1547" s="2" t="str">
        <f t="shared" si="23"/>
        <v>Error?</v>
      </c>
    </row>
    <row r="1548" spans="1:4" x14ac:dyDescent="0.2">
      <c r="A1548" s="5">
        <v>1487</v>
      </c>
      <c r="B1548" s="138">
        <f>'Expenditures 15-22'!G312</f>
        <v>2505</v>
      </c>
      <c r="C1548" s="2" t="s">
        <v>573</v>
      </c>
      <c r="D1548" s="2" t="str">
        <f t="shared" si="23"/>
        <v>Error?</v>
      </c>
    </row>
    <row r="1549" spans="1:4" x14ac:dyDescent="0.2">
      <c r="A1549" s="5">
        <v>1488</v>
      </c>
      <c r="B1549" s="138">
        <f>'Expenditures 15-22'!H301</f>
        <v>2800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2800</v>
      </c>
      <c r="C1553" s="2" t="s">
        <v>573</v>
      </c>
      <c r="D1553" s="2" t="str">
        <f t="shared" si="23"/>
        <v>Error?</v>
      </c>
    </row>
    <row r="1554" spans="1:4" x14ac:dyDescent="0.2">
      <c r="A1554" s="5">
        <v>1493</v>
      </c>
      <c r="B1554" s="138">
        <f>'Expenditures 15-22'!H312</f>
        <v>2800</v>
      </c>
      <c r="C1554" s="2" t="s">
        <v>573</v>
      </c>
      <c r="D1554" s="2" t="str">
        <f t="shared" si="23"/>
        <v>Error?</v>
      </c>
    </row>
    <row r="1555" spans="1:4" x14ac:dyDescent="0.2">
      <c r="A1555" s="5">
        <v>1494</v>
      </c>
      <c r="B1555" s="138">
        <f>'Expenditures 15-22'!K301</f>
        <v>5305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5305</v>
      </c>
      <c r="C1559" s="2" t="s">
        <v>573</v>
      </c>
      <c r="D1559" s="2" t="str">
        <f t="shared" si="23"/>
        <v>Error?</v>
      </c>
    </row>
    <row r="1560" spans="1:4" x14ac:dyDescent="0.2">
      <c r="A1560" s="5">
        <v>1499</v>
      </c>
      <c r="B1560" s="138">
        <f>'Expenditures 15-22'!K312</f>
        <v>5305</v>
      </c>
      <c r="C1560" s="2" t="s">
        <v>573</v>
      </c>
      <c r="D1560" s="2" t="str">
        <f t="shared" si="23"/>
        <v>Error?</v>
      </c>
    </row>
    <row r="1561" spans="1:4" x14ac:dyDescent="0.2">
      <c r="A1561" s="5">
        <v>1500</v>
      </c>
      <c r="B1561" s="138">
        <f>'Expenditures 15-22'!K313</f>
        <v>42017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97066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136258</v>
      </c>
      <c r="C1630" s="2" t="s">
        <v>573</v>
      </c>
      <c r="D1630" s="2" t="str">
        <f t="shared" si="24"/>
        <v>Error?</v>
      </c>
    </row>
    <row r="1631" spans="1:4" x14ac:dyDescent="0.2">
      <c r="A1631" s="5">
        <v>1570</v>
      </c>
      <c r="B1631" s="138">
        <f>'Acct Summary 7-8'!D79</f>
        <v>12265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8107</v>
      </c>
      <c r="C1644" s="2" t="s">
        <v>573</v>
      </c>
      <c r="D1644" s="2" t="str">
        <f t="shared" si="24"/>
        <v>Error?</v>
      </c>
    </row>
    <row r="1645" spans="1:4" x14ac:dyDescent="0.2">
      <c r="A1645" s="5">
        <v>1584</v>
      </c>
      <c r="B1645" s="138">
        <f>'Acct Summary 7-8'!E79</f>
        <v>-23705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54431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30590</v>
      </c>
      <c r="C1672" s="2" t="s">
        <v>573</v>
      </c>
      <c r="D1672" s="2" t="str">
        <f t="shared" si="25"/>
        <v>Error?</v>
      </c>
    </row>
    <row r="1673" spans="1:4" x14ac:dyDescent="0.2">
      <c r="A1673" s="5">
        <v>1612</v>
      </c>
      <c r="B1673" s="138">
        <f>'Acct Summary 7-8'!G79</f>
        <v>17956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10945</v>
      </c>
      <c r="C1686" s="2" t="s">
        <v>573</v>
      </c>
      <c r="D1686" s="2" t="str">
        <f t="shared" si="25"/>
        <v>Error?</v>
      </c>
    </row>
    <row r="1687" spans="1:4" x14ac:dyDescent="0.2">
      <c r="A1687" s="5">
        <v>1626</v>
      </c>
      <c r="B1687" s="138">
        <f>'Acct Summary 7-8'!H79</f>
        <v>30486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16031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118498</v>
      </c>
      <c r="C1744" s="2" t="s">
        <v>573</v>
      </c>
      <c r="D1744" s="2" t="str">
        <f t="shared" si="26"/>
        <v>Error?</v>
      </c>
    </row>
    <row r="1745" spans="1:5" x14ac:dyDescent="0.2">
      <c r="A1745" s="5">
        <v>1684</v>
      </c>
      <c r="B1745" s="138">
        <f>'Tax Sched 23'!B5</f>
        <v>27650</v>
      </c>
      <c r="C1745" s="2" t="s">
        <v>573</v>
      </c>
      <c r="D1745" s="2" t="str">
        <f t="shared" si="26"/>
        <v>Error?</v>
      </c>
    </row>
    <row r="1746" spans="1:5" x14ac:dyDescent="0.2">
      <c r="A1746" s="5">
        <v>1685</v>
      </c>
      <c r="B1746" s="138">
        <f>'Tax Sched 23'!B6</f>
        <v>13138</v>
      </c>
      <c r="C1746" s="2" t="s">
        <v>573</v>
      </c>
      <c r="D1746" s="2" t="str">
        <f t="shared" si="26"/>
        <v>Error?</v>
      </c>
    </row>
    <row r="1747" spans="1:5" x14ac:dyDescent="0.2">
      <c r="A1747" s="5">
        <v>1686</v>
      </c>
      <c r="B1747" s="138">
        <f>'Tax Sched 23'!B7</f>
        <v>15800</v>
      </c>
      <c r="C1747" s="2" t="s">
        <v>573</v>
      </c>
      <c r="D1747" s="2" t="str">
        <f t="shared" si="26"/>
        <v>Error?</v>
      </c>
    </row>
    <row r="1748" spans="1:5" x14ac:dyDescent="0.2">
      <c r="A1748" s="5">
        <v>1687</v>
      </c>
      <c r="B1748" s="138">
        <f>'Tax Sched 23'!B8</f>
        <v>11242</v>
      </c>
      <c r="C1748" s="2" t="s">
        <v>573</v>
      </c>
      <c r="D1748" s="2" t="str">
        <f t="shared" si="26"/>
        <v>Error?</v>
      </c>
    </row>
    <row r="1749" spans="1:5" x14ac:dyDescent="0.2">
      <c r="A1749" s="5">
        <v>1688</v>
      </c>
      <c r="B1749" s="138">
        <f>'Tax Sched 23'!B10</f>
        <v>3950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63697</v>
      </c>
      <c r="C1752" s="2" t="s">
        <v>573</v>
      </c>
      <c r="D1752" s="2" t="str">
        <f t="shared" si="26"/>
        <v>Error?</v>
      </c>
    </row>
    <row r="1753" spans="1:5" x14ac:dyDescent="0.2">
      <c r="A1753" s="5">
        <v>1692</v>
      </c>
      <c r="B1753" s="138">
        <f>'Tax Sched 23'!B12</f>
        <v>3950</v>
      </c>
      <c r="C1753" s="2" t="s">
        <v>573</v>
      </c>
      <c r="D1753" s="2" t="str">
        <f t="shared" si="26"/>
        <v>Error?</v>
      </c>
    </row>
    <row r="1754" spans="1:5" x14ac:dyDescent="0.2">
      <c r="A1754" s="5">
        <v>1693</v>
      </c>
      <c r="B1754" s="138">
        <f>'Tax Sched 23'!B14</f>
        <v>1580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280424</v>
      </c>
      <c r="C1759" s="2" t="s">
        <v>573</v>
      </c>
      <c r="D1759" s="2" t="str">
        <f t="shared" si="26"/>
        <v>Error?</v>
      </c>
    </row>
    <row r="1760" spans="1:5" x14ac:dyDescent="0.2">
      <c r="A1760" s="5">
        <v>1699</v>
      </c>
      <c r="B1760" s="138">
        <f>'Tax Sched 23'!D4</f>
        <v>118498</v>
      </c>
      <c r="C1760" s="2" t="s">
        <v>573</v>
      </c>
      <c r="D1760" s="2" t="str">
        <f t="shared" si="26"/>
        <v>Error?</v>
      </c>
    </row>
    <row r="1761" spans="1:5" x14ac:dyDescent="0.2">
      <c r="A1761" s="5">
        <v>1700</v>
      </c>
      <c r="B1761" s="138">
        <f>'Tax Sched 23'!D5</f>
        <v>27650</v>
      </c>
      <c r="C1761" s="2" t="s">
        <v>573</v>
      </c>
      <c r="D1761" s="2" t="str">
        <f t="shared" si="26"/>
        <v>Error?</v>
      </c>
    </row>
    <row r="1762" spans="1:5" s="8" customFormat="1" x14ac:dyDescent="0.2">
      <c r="A1762" s="5">
        <v>1701</v>
      </c>
      <c r="B1762" s="138">
        <f>'Tax Sched 23'!D6</f>
        <v>13138</v>
      </c>
      <c r="C1762" s="2" t="s">
        <v>573</v>
      </c>
      <c r="D1762" s="2" t="str">
        <f t="shared" si="26"/>
        <v>Error?</v>
      </c>
      <c r="E1762" s="9"/>
    </row>
    <row r="1763" spans="1:5" x14ac:dyDescent="0.2">
      <c r="A1763" s="5">
        <v>1702</v>
      </c>
      <c r="B1763" s="138">
        <f>'Tax Sched 23'!D7</f>
        <v>15800</v>
      </c>
      <c r="C1763" s="2" t="s">
        <v>573</v>
      </c>
      <c r="D1763" s="2" t="str">
        <f t="shared" si="26"/>
        <v>Error?</v>
      </c>
    </row>
    <row r="1764" spans="1:5" x14ac:dyDescent="0.2">
      <c r="A1764" s="5">
        <v>1703</v>
      </c>
      <c r="B1764" s="138">
        <f>'Tax Sched 23'!D8</f>
        <v>11242</v>
      </c>
      <c r="C1764" s="2" t="s">
        <v>573</v>
      </c>
      <c r="D1764" s="2" t="str">
        <f t="shared" si="26"/>
        <v>Error?</v>
      </c>
    </row>
    <row r="1765" spans="1:5" x14ac:dyDescent="0.2">
      <c r="A1765" s="5">
        <v>1704</v>
      </c>
      <c r="B1765" s="138">
        <f>'Tax Sched 23'!D10</f>
        <v>3950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63697</v>
      </c>
      <c r="C1768" s="2" t="s">
        <v>573</v>
      </c>
      <c r="D1768" s="2" t="str">
        <f t="shared" si="26"/>
        <v>Error?</v>
      </c>
    </row>
    <row r="1769" spans="1:5" x14ac:dyDescent="0.2">
      <c r="A1769" s="5">
        <v>1708</v>
      </c>
      <c r="B1769" s="138">
        <f>'Tax Sched 23'!D12</f>
        <v>3950</v>
      </c>
      <c r="C1769" s="2" t="s">
        <v>573</v>
      </c>
      <c r="D1769" s="2" t="str">
        <f t="shared" si="26"/>
        <v>Error?</v>
      </c>
    </row>
    <row r="1770" spans="1:5" x14ac:dyDescent="0.2">
      <c r="A1770" s="5">
        <v>1709</v>
      </c>
      <c r="B1770" s="138">
        <f>'Tax Sched 23'!D14</f>
        <v>1580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280424</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123113</v>
      </c>
      <c r="C1792" s="2" t="s">
        <v>573</v>
      </c>
      <c r="D1792" s="2" t="str">
        <f t="shared" si="27"/>
        <v>Error?</v>
      </c>
    </row>
    <row r="1793" spans="1:4" x14ac:dyDescent="0.2">
      <c r="A1793" s="5">
        <v>1732</v>
      </c>
      <c r="B1793" s="138">
        <f>'Tax Sched 23'!F5</f>
        <v>28726</v>
      </c>
      <c r="C1793" s="2" t="s">
        <v>573</v>
      </c>
      <c r="D1793" s="2" t="str">
        <f t="shared" si="27"/>
        <v>Error?</v>
      </c>
    </row>
    <row r="1794" spans="1:4" x14ac:dyDescent="0.2">
      <c r="A1794" s="5">
        <v>1733</v>
      </c>
      <c r="B1794" s="138">
        <f>'Tax Sched 23'!F6</f>
        <v>13739</v>
      </c>
      <c r="C1794" s="2" t="s">
        <v>573</v>
      </c>
      <c r="D1794" s="2" t="str">
        <f t="shared" si="27"/>
        <v>Error?</v>
      </c>
    </row>
    <row r="1795" spans="1:4" x14ac:dyDescent="0.2">
      <c r="A1795" s="5">
        <v>1734</v>
      </c>
      <c r="B1795" s="138">
        <f>'Tax Sched 23'!F7</f>
        <v>16415</v>
      </c>
      <c r="C1795" s="2" t="s">
        <v>573</v>
      </c>
      <c r="D1795" s="2" t="str">
        <f t="shared" si="27"/>
        <v>Error?</v>
      </c>
    </row>
    <row r="1796" spans="1:4" x14ac:dyDescent="0.2">
      <c r="A1796" s="5">
        <v>1735</v>
      </c>
      <c r="B1796" s="138">
        <f>'Tax Sched 23'!F8</f>
        <v>16325</v>
      </c>
      <c r="C1796" s="2" t="s">
        <v>573</v>
      </c>
      <c r="D1796" s="2" t="str">
        <f t="shared" si="27"/>
        <v>Error?</v>
      </c>
    </row>
    <row r="1797" spans="1:4" x14ac:dyDescent="0.2">
      <c r="A1797" s="5">
        <v>1736</v>
      </c>
      <c r="B1797" s="138">
        <f>'Tax Sched 23'!F10</f>
        <v>4104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60006</v>
      </c>
      <c r="C1800" s="2" t="s">
        <v>573</v>
      </c>
      <c r="D1800" s="2" t="str">
        <f t="shared" si="27"/>
        <v>Error?</v>
      </c>
    </row>
    <row r="1801" spans="1:4" x14ac:dyDescent="0.2">
      <c r="A1801" s="5">
        <v>1740</v>
      </c>
      <c r="B1801" s="138">
        <f>'Tax Sched 23'!F12</f>
        <v>4104</v>
      </c>
      <c r="C1801" s="2" t="s">
        <v>573</v>
      </c>
      <c r="D1801" s="2" t="str">
        <f t="shared" si="27"/>
        <v>Error?</v>
      </c>
    </row>
    <row r="1802" spans="1:4" x14ac:dyDescent="0.2">
      <c r="A1802" s="5">
        <v>1741</v>
      </c>
      <c r="B1802" s="138">
        <f>'Tax Sched 23'!F14</f>
        <v>1642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291836</v>
      </c>
      <c r="C1807" s="2" t="s">
        <v>573</v>
      </c>
      <c r="D1807" s="2" t="str">
        <f t="shared" si="27"/>
        <v>Error?</v>
      </c>
    </row>
    <row r="1808" spans="1:4" x14ac:dyDescent="0.2">
      <c r="A1808" s="5">
        <v>1747</v>
      </c>
      <c r="B1808" s="138">
        <f>'Tax Sched 23'!E4</f>
        <v>123113</v>
      </c>
      <c r="D1808" s="2" t="str">
        <f t="shared" si="27"/>
        <v>Error?</v>
      </c>
    </row>
    <row r="1809" spans="1:4" x14ac:dyDescent="0.2">
      <c r="A1809" s="5">
        <v>1748</v>
      </c>
      <c r="B1809" s="138">
        <f>'Tax Sched 23'!E5</f>
        <v>28726</v>
      </c>
      <c r="D1809" s="2" t="str">
        <f t="shared" si="27"/>
        <v>Error?</v>
      </c>
    </row>
    <row r="1810" spans="1:4" x14ac:dyDescent="0.2">
      <c r="A1810" s="5">
        <v>1749</v>
      </c>
      <c r="B1810" s="138">
        <f>'Tax Sched 23'!E6</f>
        <v>13739</v>
      </c>
      <c r="D1810" s="2" t="str">
        <f t="shared" si="27"/>
        <v>Error?</v>
      </c>
    </row>
    <row r="1811" spans="1:4" x14ac:dyDescent="0.2">
      <c r="A1811" s="5">
        <v>1750</v>
      </c>
      <c r="B1811" s="138">
        <f>'Tax Sched 23'!E7</f>
        <v>16415</v>
      </c>
      <c r="D1811" s="2" t="str">
        <f t="shared" si="27"/>
        <v>Error?</v>
      </c>
    </row>
    <row r="1812" spans="1:4" x14ac:dyDescent="0.2">
      <c r="A1812" s="5">
        <v>1751</v>
      </c>
      <c r="B1812" s="138">
        <f>'Tax Sched 23'!E8</f>
        <v>16325</v>
      </c>
      <c r="D1812" s="2" t="str">
        <f t="shared" si="27"/>
        <v>Error?</v>
      </c>
    </row>
    <row r="1813" spans="1:4" x14ac:dyDescent="0.2">
      <c r="A1813" s="5">
        <v>1752</v>
      </c>
      <c r="B1813" s="138">
        <f>'Tax Sched 23'!E10</f>
        <v>4104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60006</v>
      </c>
      <c r="D1816" s="2" t="str">
        <f t="shared" si="27"/>
        <v>Error?</v>
      </c>
    </row>
    <row r="1817" spans="1:4" x14ac:dyDescent="0.2">
      <c r="A1817" s="5">
        <v>1756</v>
      </c>
      <c r="B1817" s="138">
        <f>'Tax Sched 23'!E12</f>
        <v>4104</v>
      </c>
      <c r="D1817" s="2" t="str">
        <f t="shared" si="27"/>
        <v>Error?</v>
      </c>
    </row>
    <row r="1818" spans="1:4" x14ac:dyDescent="0.2">
      <c r="A1818" s="5">
        <v>1757</v>
      </c>
      <c r="B1818" s="138">
        <f>'Tax Sched 23'!E14</f>
        <v>1642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291836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267000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1580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1580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1580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1000</v>
      </c>
      <c r="D2008" s="2" t="str">
        <f t="shared" si="30"/>
        <v>Error?</v>
      </c>
    </row>
    <row r="2009" spans="1:4" x14ac:dyDescent="0.2">
      <c r="A2009" s="5">
        <v>1948</v>
      </c>
      <c r="B2009" s="138">
        <f>'Cap Outlay Deprec 26'!C8</f>
        <v>913371</v>
      </c>
      <c r="D2009" s="2" t="str">
        <f t="shared" si="30"/>
        <v>Error?</v>
      </c>
    </row>
    <row r="2010" spans="1:4" x14ac:dyDescent="0.2">
      <c r="A2010" s="5">
        <v>1949</v>
      </c>
      <c r="B2010" s="138">
        <f>'Cap Outlay Deprec 26'!C10</f>
        <v>116833</v>
      </c>
      <c r="D2010" s="2" t="str">
        <f t="shared" si="30"/>
        <v>Error?</v>
      </c>
    </row>
    <row r="2011" spans="1:4" x14ac:dyDescent="0.2">
      <c r="A2011" s="5">
        <v>1950</v>
      </c>
      <c r="B2011" s="138">
        <f>'Cap Outlay Deprec 26'!C12</f>
        <v>206344</v>
      </c>
      <c r="D2011" s="2" t="str">
        <f t="shared" si="30"/>
        <v>Error?</v>
      </c>
    </row>
    <row r="2012" spans="1:4" x14ac:dyDescent="0.2">
      <c r="A2012" s="5">
        <v>1951</v>
      </c>
      <c r="B2012" s="138">
        <f>'Cap Outlay Deprec 26'!C13</f>
        <v>31270</v>
      </c>
      <c r="D2012" s="2" t="str">
        <f t="shared" si="30"/>
        <v>Error?</v>
      </c>
    </row>
    <row r="2013" spans="1:4" x14ac:dyDescent="0.2">
      <c r="A2013" s="5">
        <v>1952</v>
      </c>
      <c r="B2013" s="138">
        <f>'Cap Outlay Deprec 26'!C16</f>
        <v>1367544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5432</v>
      </c>
      <c r="D2017" s="2" t="str">
        <f t="shared" si="30"/>
        <v>Error?</v>
      </c>
    </row>
    <row r="2018" spans="1:4" x14ac:dyDescent="0.2">
      <c r="A2018" s="5">
        <v>1957</v>
      </c>
      <c r="B2018" s="138">
        <f>'Cap Outlay Deprec 26'!D13</f>
        <v>15517</v>
      </c>
      <c r="D2018" s="2" t="str">
        <f t="shared" si="30"/>
        <v>Error?</v>
      </c>
    </row>
    <row r="2019" spans="1:4" x14ac:dyDescent="0.2">
      <c r="A2019" s="5">
        <v>1958</v>
      </c>
      <c r="B2019" s="138">
        <f>'Cap Outlay Deprec 26'!D16</f>
        <v>20949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1000</v>
      </c>
      <c r="C2026" s="2" t="s">
        <v>573</v>
      </c>
      <c r="D2026" s="2" t="str">
        <f t="shared" si="30"/>
        <v>Error?</v>
      </c>
    </row>
    <row r="2027" spans="1:4" x14ac:dyDescent="0.2">
      <c r="A2027" s="5">
        <v>1966</v>
      </c>
      <c r="B2027" s="138">
        <f>'Cap Outlay Deprec 26'!F8</f>
        <v>913371</v>
      </c>
      <c r="C2027" s="2" t="s">
        <v>573</v>
      </c>
      <c r="D2027" s="2" t="str">
        <f t="shared" si="30"/>
        <v>Error?</v>
      </c>
    </row>
    <row r="2028" spans="1:4" x14ac:dyDescent="0.2">
      <c r="A2028" s="5">
        <v>1967</v>
      </c>
      <c r="B2028" s="138">
        <f>'Cap Outlay Deprec 26'!F10</f>
        <v>116833</v>
      </c>
      <c r="C2028" s="2" t="s">
        <v>573</v>
      </c>
      <c r="D2028" s="2" t="str">
        <f t="shared" si="30"/>
        <v>Error?</v>
      </c>
    </row>
    <row r="2029" spans="1:4" x14ac:dyDescent="0.2">
      <c r="A2029" s="5">
        <v>1968</v>
      </c>
      <c r="B2029" s="138">
        <f>'Cap Outlay Deprec 26'!F12</f>
        <v>211776</v>
      </c>
      <c r="C2029" s="2" t="s">
        <v>573</v>
      </c>
      <c r="D2029" s="2" t="str">
        <f t="shared" si="30"/>
        <v>Error?</v>
      </c>
    </row>
    <row r="2030" spans="1:4" x14ac:dyDescent="0.2">
      <c r="A2030" s="5">
        <v>1969</v>
      </c>
      <c r="B2030" s="138">
        <f>'Cap Outlay Deprec 26'!F13</f>
        <v>46787</v>
      </c>
      <c r="C2030" s="2" t="s">
        <v>573</v>
      </c>
      <c r="D2030" s="2" t="str">
        <f t="shared" si="30"/>
        <v>Error?</v>
      </c>
    </row>
    <row r="2031" spans="1:4" x14ac:dyDescent="0.2">
      <c r="A2031" s="5">
        <v>1970</v>
      </c>
      <c r="B2031" s="138">
        <f>'Cap Outlay Deprec 26'!F16</f>
        <v>1388493</v>
      </c>
      <c r="C2031" s="2" t="s">
        <v>573</v>
      </c>
      <c r="D2031" s="2" t="str">
        <f t="shared" si="30"/>
        <v>Error?</v>
      </c>
    </row>
    <row r="2032" spans="1:4" x14ac:dyDescent="0.2">
      <c r="A2032" s="10">
        <v>1971</v>
      </c>
      <c r="D2032" s="2" t="str">
        <f t="shared" si="30"/>
        <v>OK</v>
      </c>
    </row>
    <row r="2033" spans="1:4" x14ac:dyDescent="0.2">
      <c r="A2033" s="5">
        <v>1972</v>
      </c>
      <c r="B2033" s="138">
        <f>'Cap Outlay Deprec 26'!H8</f>
        <v>489558</v>
      </c>
      <c r="D2033" s="2" t="str">
        <f t="shared" si="30"/>
        <v>Error?</v>
      </c>
    </row>
    <row r="2034" spans="1:4" x14ac:dyDescent="0.2">
      <c r="A2034" s="5">
        <v>1973</v>
      </c>
      <c r="B2034" s="138">
        <f>'Cap Outlay Deprec 26'!H10</f>
        <v>44953</v>
      </c>
      <c r="D2034" s="2" t="str">
        <f t="shared" si="30"/>
        <v>Error?</v>
      </c>
    </row>
    <row r="2035" spans="1:4" x14ac:dyDescent="0.2">
      <c r="A2035" s="5">
        <v>1974</v>
      </c>
      <c r="B2035" s="138">
        <f>'Cap Outlay Deprec 26'!H12</f>
        <v>180337</v>
      </c>
      <c r="D2035" s="2" t="str">
        <f t="shared" si="30"/>
        <v>Error?</v>
      </c>
    </row>
    <row r="2036" spans="1:4" x14ac:dyDescent="0.2">
      <c r="A2036" s="5">
        <v>1975</v>
      </c>
      <c r="B2036" s="138">
        <f>'Cap Outlay Deprec 26'!H13</f>
        <v>12678</v>
      </c>
      <c r="D2036" s="2" t="str">
        <f t="shared" si="30"/>
        <v>Error?</v>
      </c>
    </row>
    <row r="2037" spans="1:4" x14ac:dyDescent="0.2">
      <c r="A2037" s="5">
        <v>1976</v>
      </c>
      <c r="B2037" s="138">
        <f>'Cap Outlay Deprec 26'!H16</f>
        <v>825755</v>
      </c>
      <c r="C2037" s="2" t="s">
        <v>573</v>
      </c>
      <c r="D2037" s="2" t="str">
        <f t="shared" si="30"/>
        <v>Error?</v>
      </c>
    </row>
    <row r="2038" spans="1:4" x14ac:dyDescent="0.2">
      <c r="A2038" s="10">
        <v>1977</v>
      </c>
      <c r="D2038" s="2" t="str">
        <f t="shared" si="30"/>
        <v>OK</v>
      </c>
    </row>
    <row r="2039" spans="1:4" x14ac:dyDescent="0.2">
      <c r="A2039" s="5">
        <v>1978</v>
      </c>
      <c r="B2039" s="138">
        <f>'Cap Outlay Deprec 26'!I8</f>
        <v>18267</v>
      </c>
      <c r="D2039" s="2" t="str">
        <f t="shared" si="30"/>
        <v>Error?</v>
      </c>
    </row>
    <row r="2040" spans="1:4" x14ac:dyDescent="0.2">
      <c r="A2040" s="5">
        <v>1979</v>
      </c>
      <c r="B2040" s="138">
        <f>'Cap Outlay Deprec 26'!I10</f>
        <v>5842</v>
      </c>
      <c r="D2040" s="2" t="str">
        <f t="shared" si="30"/>
        <v>Error?</v>
      </c>
    </row>
    <row r="2041" spans="1:4" x14ac:dyDescent="0.2">
      <c r="A2041" s="5">
        <v>1980</v>
      </c>
      <c r="B2041" s="138">
        <f>'Cap Outlay Deprec 26'!I12</f>
        <v>4455</v>
      </c>
      <c r="D2041" s="2" t="str">
        <f t="shared" si="30"/>
        <v>Error?</v>
      </c>
    </row>
    <row r="2042" spans="1:4" x14ac:dyDescent="0.2">
      <c r="A2042" s="5">
        <v>1981</v>
      </c>
      <c r="B2042" s="138">
        <f>'Cap Outlay Deprec 26'!I13</f>
        <v>9357</v>
      </c>
      <c r="D2042" s="2" t="str">
        <f t="shared" si="30"/>
        <v>Error?</v>
      </c>
    </row>
    <row r="2043" spans="1:4" x14ac:dyDescent="0.2">
      <c r="A2043" s="5">
        <v>1982</v>
      </c>
      <c r="B2043" s="138">
        <f>'Cap Outlay Deprec 26'!I16</f>
        <v>38170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507825</v>
      </c>
      <c r="C2051" s="2" t="s">
        <v>573</v>
      </c>
      <c r="D2051" s="2" t="str">
        <f t="shared" si="31"/>
        <v>Error?</v>
      </c>
    </row>
    <row r="2052" spans="1:4" x14ac:dyDescent="0.2">
      <c r="A2052" s="5">
        <v>1991</v>
      </c>
      <c r="B2052" s="138">
        <f>'Cap Outlay Deprec 26'!K10</f>
        <v>50795</v>
      </c>
      <c r="C2052" s="2" t="s">
        <v>573</v>
      </c>
      <c r="D2052" s="2" t="str">
        <f t="shared" si="31"/>
        <v>Error?</v>
      </c>
    </row>
    <row r="2053" spans="1:4" x14ac:dyDescent="0.2">
      <c r="A2053" s="5">
        <v>1992</v>
      </c>
      <c r="B2053" s="138">
        <f>'Cap Outlay Deprec 26'!K12</f>
        <v>184792</v>
      </c>
      <c r="C2053" s="2" t="s">
        <v>573</v>
      </c>
      <c r="D2053" s="2" t="str">
        <f t="shared" si="31"/>
        <v>Error?</v>
      </c>
    </row>
    <row r="2054" spans="1:4" x14ac:dyDescent="0.2">
      <c r="A2054" s="5">
        <v>1993</v>
      </c>
      <c r="B2054" s="138">
        <f>'Cap Outlay Deprec 26'!K13</f>
        <v>22035</v>
      </c>
      <c r="C2054" s="2" t="s">
        <v>573</v>
      </c>
      <c r="D2054" s="2" t="str">
        <f t="shared" si="31"/>
        <v>Error?</v>
      </c>
    </row>
    <row r="2055" spans="1:4" x14ac:dyDescent="0.2">
      <c r="A2055" s="5">
        <v>1994</v>
      </c>
      <c r="B2055" s="138">
        <f>'Cap Outlay Deprec 26'!K16</f>
        <v>863925</v>
      </c>
      <c r="C2055" s="2" t="s">
        <v>573</v>
      </c>
      <c r="D2055" s="2" t="str">
        <f t="shared" si="31"/>
        <v>Error?</v>
      </c>
    </row>
    <row r="2056" spans="1:4" x14ac:dyDescent="0.2">
      <c r="A2056" s="5">
        <v>1995</v>
      </c>
      <c r="B2056" s="138">
        <f>'Cap Outlay Deprec 26'!L5</f>
        <v>1000</v>
      </c>
      <c r="C2056" s="2" t="s">
        <v>573</v>
      </c>
      <c r="D2056" s="2" t="str">
        <f t="shared" si="31"/>
        <v>Error?</v>
      </c>
    </row>
    <row r="2057" spans="1:4" x14ac:dyDescent="0.2">
      <c r="A2057" s="5">
        <v>1996</v>
      </c>
      <c r="B2057" s="138">
        <f>'Cap Outlay Deprec 26'!L8</f>
        <v>405546</v>
      </c>
      <c r="C2057" s="2" t="s">
        <v>573</v>
      </c>
      <c r="D2057" s="2" t="str">
        <f t="shared" si="31"/>
        <v>Error?</v>
      </c>
    </row>
    <row r="2058" spans="1:4" x14ac:dyDescent="0.2">
      <c r="A2058" s="5">
        <v>1997</v>
      </c>
      <c r="B2058" s="138">
        <f>'Cap Outlay Deprec 26'!L10</f>
        <v>66038</v>
      </c>
      <c r="C2058" s="2" t="s">
        <v>573</v>
      </c>
      <c r="D2058" s="2" t="str">
        <f t="shared" si="31"/>
        <v>Error?</v>
      </c>
    </row>
    <row r="2059" spans="1:4" x14ac:dyDescent="0.2">
      <c r="A2059" s="5">
        <v>1998</v>
      </c>
      <c r="B2059" s="138">
        <f>'Cap Outlay Deprec 26'!L12</f>
        <v>26984</v>
      </c>
      <c r="C2059" s="2" t="s">
        <v>573</v>
      </c>
      <c r="D2059" s="2" t="str">
        <f t="shared" si="31"/>
        <v>Error?</v>
      </c>
    </row>
    <row r="2060" spans="1:4" x14ac:dyDescent="0.2">
      <c r="A2060" s="5">
        <v>1999</v>
      </c>
      <c r="B2060" s="138">
        <f>'Cap Outlay Deprec 26'!L13</f>
        <v>24752</v>
      </c>
      <c r="C2060" s="2" t="s">
        <v>573</v>
      </c>
      <c r="D2060" s="2" t="str">
        <f t="shared" si="31"/>
        <v>Error?</v>
      </c>
    </row>
    <row r="2061" spans="1:4" x14ac:dyDescent="0.2">
      <c r="A2061" s="5">
        <v>2000</v>
      </c>
      <c r="B2061" s="138">
        <f>'Cap Outlay Deprec 26'!L16</f>
        <v>524568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28339</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623</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30590</v>
      </c>
      <c r="D2475" s="2" t="str">
        <f t="shared" si="37"/>
        <v>Error?</v>
      </c>
    </row>
    <row r="2476" spans="1:4" x14ac:dyDescent="0.2">
      <c r="A2476" s="10">
        <v>2415</v>
      </c>
      <c r="D2476" s="2" t="str">
        <f t="shared" si="37"/>
        <v>OK</v>
      </c>
    </row>
    <row r="2477" spans="1:4" x14ac:dyDescent="0.2">
      <c r="A2477" s="5">
        <v>2416</v>
      </c>
      <c r="B2477" s="138">
        <f>'Assets-Liab 5-6'!G38</f>
        <v>10945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16031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144615</v>
      </c>
      <c r="C2551" s="2" t="s">
        <v>573</v>
      </c>
      <c r="D2551" s="2" t="str">
        <f t="shared" si="38"/>
        <v>Error?</v>
      </c>
    </row>
    <row r="2552" spans="1:4" x14ac:dyDescent="0.2">
      <c r="A2552" s="10">
        <v>2491</v>
      </c>
      <c r="D2552" s="2" t="str">
        <f t="shared" si="38"/>
        <v>OK</v>
      </c>
    </row>
    <row r="2553" spans="1:4" x14ac:dyDescent="0.2">
      <c r="A2553" s="5">
        <v>2492</v>
      </c>
      <c r="B2553" s="138">
        <f>'Acct Summary 7-8'!C6</f>
        <v>681999</v>
      </c>
      <c r="C2553" s="2" t="s">
        <v>573</v>
      </c>
      <c r="D2553" s="2" t="str">
        <f t="shared" si="38"/>
        <v>Error?</v>
      </c>
    </row>
    <row r="2554" spans="1:4" x14ac:dyDescent="0.2">
      <c r="A2554" s="5">
        <v>2493</v>
      </c>
      <c r="B2554" s="138">
        <f>'Acct Summary 7-8'!C7</f>
        <v>111698</v>
      </c>
      <c r="C2554" s="2" t="s">
        <v>573</v>
      </c>
      <c r="D2554" s="2" t="str">
        <f t="shared" si="38"/>
        <v>Error?</v>
      </c>
    </row>
    <row r="2555" spans="1:4" x14ac:dyDescent="0.2">
      <c r="A2555" s="5">
        <v>2494</v>
      </c>
      <c r="B2555" s="138">
        <f>'Acct Summary 7-8'!C8</f>
        <v>938312</v>
      </c>
      <c r="C2555" s="2" t="s">
        <v>573</v>
      </c>
      <c r="D2555" s="2" t="str">
        <f t="shared" si="38"/>
        <v>Error?</v>
      </c>
    </row>
    <row r="2556" spans="1:4" x14ac:dyDescent="0.2">
      <c r="A2556" s="5">
        <v>2495</v>
      </c>
      <c r="B2556" s="138">
        <f>'Acct Summary 7-8'!C12</f>
        <v>622911</v>
      </c>
      <c r="C2556" s="2" t="s">
        <v>573</v>
      </c>
      <c r="D2556" s="2" t="str">
        <f t="shared" si="38"/>
        <v>Error?</v>
      </c>
    </row>
    <row r="2557" spans="1:4" x14ac:dyDescent="0.2">
      <c r="A2557" s="5">
        <v>2496</v>
      </c>
      <c r="B2557" s="138">
        <f>'Acct Summary 7-8'!C13</f>
        <v>227091</v>
      </c>
      <c r="C2557" s="2" t="s">
        <v>573</v>
      </c>
      <c r="D2557" s="2" t="str">
        <f t="shared" si="38"/>
        <v>Error?</v>
      </c>
    </row>
    <row r="2558" spans="1:4" x14ac:dyDescent="0.2">
      <c r="A2558" s="5">
        <v>2497</v>
      </c>
      <c r="B2558" s="138">
        <f>'Acct Summary 7-8'!C14</f>
        <v>351</v>
      </c>
      <c r="C2558" s="2" t="s">
        <v>573</v>
      </c>
      <c r="D2558" s="2" t="str">
        <f t="shared" si="38"/>
        <v>Error?</v>
      </c>
    </row>
    <row r="2559" spans="1:4" x14ac:dyDescent="0.2">
      <c r="A2559" s="5">
        <v>2498</v>
      </c>
      <c r="B2559" s="138">
        <f>'Acct Summary 7-8'!C15</f>
        <v>30536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880889</v>
      </c>
      <c r="C2561" s="2" t="s">
        <v>573</v>
      </c>
      <c r="D2561" s="2" t="str">
        <f t="shared" si="39"/>
        <v>Error?</v>
      </c>
    </row>
    <row r="2562" spans="1:4" x14ac:dyDescent="0.2">
      <c r="A2562" s="5">
        <v>2501</v>
      </c>
      <c r="B2562" s="138">
        <f>'Acct Summary 7-8'!C20</f>
        <v>57423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36909</v>
      </c>
      <c r="C2564" s="2" t="s">
        <v>573</v>
      </c>
      <c r="D2564" s="2" t="str">
        <f t="shared" si="39"/>
        <v>Error?</v>
      </c>
    </row>
    <row r="2565" spans="1:4" x14ac:dyDescent="0.2">
      <c r="A2565" s="10">
        <v>2504</v>
      </c>
      <c r="D2565" s="2" t="str">
        <f t="shared" si="39"/>
        <v>OK</v>
      </c>
    </row>
    <row r="2566" spans="1:4" x14ac:dyDescent="0.2">
      <c r="A2566" s="5">
        <v>2505</v>
      </c>
      <c r="B2566" s="138">
        <f>'Acct Summary 7-8'!D6</f>
        <v>31657</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68566</v>
      </c>
      <c r="C2568" s="2" t="s">
        <v>573</v>
      </c>
      <c r="D2568" s="2" t="str">
        <f t="shared" si="39"/>
        <v>Error?</v>
      </c>
    </row>
    <row r="2569" spans="1:4" x14ac:dyDescent="0.2">
      <c r="A2569" s="5">
        <v>2508</v>
      </c>
      <c r="B2569" s="138">
        <f>'Acct Summary 7-8'!D13</f>
        <v>72101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623</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72724</v>
      </c>
      <c r="C2573" s="2" t="s">
        <v>573</v>
      </c>
      <c r="D2573" s="2" t="str">
        <f t="shared" si="39"/>
        <v>Error?</v>
      </c>
    </row>
    <row r="2574" spans="1:4" x14ac:dyDescent="0.2">
      <c r="A2574" s="5">
        <v>2513</v>
      </c>
      <c r="B2574" s="138">
        <f>'Acct Summary 7-8'!D20</f>
        <v>-4158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15800</v>
      </c>
      <c r="C2591" s="2" t="s">
        <v>573</v>
      </c>
      <c r="D2591" s="2" t="str">
        <f t="shared" si="39"/>
        <v>Error?</v>
      </c>
    </row>
    <row r="2592" spans="1:4" x14ac:dyDescent="0.2">
      <c r="A2592" s="10">
        <v>2531</v>
      </c>
      <c r="D2592" s="2" t="str">
        <f t="shared" si="39"/>
        <v>OK</v>
      </c>
    </row>
    <row r="2593" spans="1:4" x14ac:dyDescent="0.2">
      <c r="A2593" s="5">
        <v>2532</v>
      </c>
      <c r="B2593" s="138">
        <f>'Acct Summary 7-8'!F6</f>
        <v>60919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76719</v>
      </c>
      <c r="C2595" s="2" t="s">
        <v>573</v>
      </c>
      <c r="D2595" s="2" t="str">
        <f t="shared" si="39"/>
        <v>Error?</v>
      </c>
    </row>
    <row r="2596" spans="1:4" x14ac:dyDescent="0.2">
      <c r="A2596" s="5">
        <v>2535</v>
      </c>
      <c r="B2596" s="138">
        <f>'Acct Summary 7-8'!F13</f>
        <v>100560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100560</v>
      </c>
      <c r="C2600" s="2" t="s">
        <v>573</v>
      </c>
      <c r="D2600" s="2" t="str">
        <f t="shared" si="39"/>
        <v>Error?</v>
      </c>
    </row>
    <row r="2601" spans="1:4" x14ac:dyDescent="0.2">
      <c r="A2601" s="5">
        <v>2540</v>
      </c>
      <c r="B2601" s="138">
        <f>'Acct Summary 7-8'!F20</f>
        <v>-23841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28211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28211</v>
      </c>
      <c r="C2606" s="2" t="s">
        <v>573</v>
      </c>
      <c r="D2606" s="2" t="str">
        <f t="shared" si="39"/>
        <v>Error?</v>
      </c>
    </row>
    <row r="2607" spans="1:4" x14ac:dyDescent="0.2">
      <c r="A2607" s="5">
        <v>2546</v>
      </c>
      <c r="B2607" s="138">
        <f>'Acct Summary 7-8'!G12</f>
        <v>15354</v>
      </c>
      <c r="C2607" s="2" t="s">
        <v>573</v>
      </c>
      <c r="D2607" s="2" t="str">
        <f t="shared" si="39"/>
        <v>Error?</v>
      </c>
    </row>
    <row r="2608" spans="1:4" x14ac:dyDescent="0.2">
      <c r="A2608" s="5">
        <v>2547</v>
      </c>
      <c r="B2608" s="138">
        <f>'Acct Summary 7-8'!G13</f>
        <v>19868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35222</v>
      </c>
      <c r="C2612" s="2" t="s">
        <v>573</v>
      </c>
      <c r="D2612" s="2" t="str">
        <f t="shared" si="39"/>
        <v>Error?</v>
      </c>
    </row>
    <row r="2613" spans="1:4" x14ac:dyDescent="0.2">
      <c r="A2613" s="5">
        <v>2552</v>
      </c>
      <c r="B2613" s="138">
        <f>'Acct Summary 7-8'!G20</f>
        <v>-7011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13138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13138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45905</v>
      </c>
      <c r="C2634" s="2" t="s">
        <v>573</v>
      </c>
      <c r="D2634" s="2" t="str">
        <f t="shared" si="40"/>
        <v>Error?</v>
      </c>
    </row>
    <row r="2635" spans="1:4" x14ac:dyDescent="0.2">
      <c r="A2635" s="5">
        <v>2574</v>
      </c>
      <c r="B2635" s="138">
        <f>'Acct Summary 7-8'!E17</f>
        <v>45905</v>
      </c>
      <c r="C2635" s="2" t="s">
        <v>573</v>
      </c>
      <c r="D2635" s="2" t="str">
        <f t="shared" si="40"/>
        <v>Error?</v>
      </c>
    </row>
    <row r="2636" spans="1:4" x14ac:dyDescent="0.2">
      <c r="A2636" s="5">
        <v>2575</v>
      </c>
      <c r="B2636" s="138">
        <f>'Acct Summary 7-8'!E20</f>
        <v>-32767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47322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47322</v>
      </c>
      <c r="C2658" s="2" t="s">
        <v>573</v>
      </c>
      <c r="D2658" s="2" t="str">
        <f t="shared" si="40"/>
        <v>Error?</v>
      </c>
    </row>
    <row r="2659" spans="1:4" x14ac:dyDescent="0.2">
      <c r="A2659" s="5">
        <v>2598</v>
      </c>
      <c r="B2659" s="138">
        <f>'Acct Summary 7-8'!H13</f>
        <v>5305</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5305</v>
      </c>
      <c r="C2661" s="2" t="s">
        <v>573</v>
      </c>
      <c r="D2661" s="2" t="str">
        <f t="shared" si="40"/>
        <v>Error?</v>
      </c>
    </row>
    <row r="2662" spans="1:4" x14ac:dyDescent="0.2">
      <c r="A2662" s="5">
        <v>2601</v>
      </c>
      <c r="B2662" s="138">
        <f>'Acct Summary 7-8'!H20</f>
        <v>42017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28339</v>
      </c>
      <c r="C2789" s="2" t="s">
        <v>573</v>
      </c>
      <c r="D2789" s="2" t="str">
        <f t="shared" si="42"/>
        <v>Error?</v>
      </c>
    </row>
    <row r="2790" spans="1:4" x14ac:dyDescent="0.2">
      <c r="A2790" s="5">
        <v>2729</v>
      </c>
      <c r="B2790" s="138">
        <f>'Expenditures 15-22'!E102</f>
        <v>30536</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25125</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23114</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6969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18415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10856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18415</v>
      </c>
      <c r="D2912" s="2" t="str">
        <f t="shared" si="44"/>
        <v>Error?</v>
      </c>
    </row>
    <row r="2913" spans="1:4" x14ac:dyDescent="0.2">
      <c r="A2913" s="5">
        <v>2852</v>
      </c>
      <c r="B2913" s="138">
        <f>'Assets-Liab 5-6'!I41</f>
        <v>18415</v>
      </c>
      <c r="C2913" s="2" t="s">
        <v>573</v>
      </c>
      <c r="D2913" s="2" t="str">
        <f t="shared" si="44"/>
        <v>Error?</v>
      </c>
    </row>
    <row r="2914" spans="1:4" x14ac:dyDescent="0.2">
      <c r="A2914" s="5">
        <v>2853</v>
      </c>
      <c r="B2914" s="138">
        <f>'Assets-Liab 5-6'!L33</f>
        <v>10856</v>
      </c>
      <c r="D2914" s="2" t="str">
        <f t="shared" si="44"/>
        <v>Error?</v>
      </c>
    </row>
    <row r="2915" spans="1:4" x14ac:dyDescent="0.2">
      <c r="A2915" s="10">
        <v>2854</v>
      </c>
      <c r="D2915" s="2" t="str">
        <f t="shared" si="44"/>
        <v>OK</v>
      </c>
    </row>
    <row r="2916" spans="1:4" x14ac:dyDescent="0.2">
      <c r="A2916" s="5">
        <v>2855</v>
      </c>
      <c r="B2916" s="138">
        <f>'Assets-Liab 5-6'!L34</f>
        <v>10856</v>
      </c>
      <c r="C2916" s="2" t="s">
        <v>573</v>
      </c>
      <c r="D2916" s="2" t="str">
        <f t="shared" si="44"/>
        <v>Error?</v>
      </c>
    </row>
    <row r="2917" spans="1:4" x14ac:dyDescent="0.2">
      <c r="A2917" s="5">
        <v>2856</v>
      </c>
      <c r="B2917" s="138">
        <f>'Assets-Liab 5-6'!L41</f>
        <v>10856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2197</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28339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28339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623</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26385</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5929</v>
      </c>
      <c r="D3057" s="2" t="str">
        <f t="shared" si="46"/>
        <v>Error?</v>
      </c>
    </row>
    <row r="3058" spans="1:4" x14ac:dyDescent="0.2">
      <c r="A3058" s="5">
        <v>2997</v>
      </c>
      <c r="B3058" s="138">
        <f>'Expenditures 15-22'!F10</f>
        <v>10788</v>
      </c>
      <c r="D3058" s="2" t="str">
        <f t="shared" si="46"/>
        <v>Error?</v>
      </c>
    </row>
    <row r="3059" spans="1:4" x14ac:dyDescent="0.2">
      <c r="A3059" s="5">
        <v>2998</v>
      </c>
      <c r="B3059" s="138">
        <f>'Expenditures 15-22'!G10</f>
        <v>13684</v>
      </c>
      <c r="D3059" s="2" t="str">
        <f t="shared" si="46"/>
        <v>Error?</v>
      </c>
    </row>
    <row r="3060" spans="1:4" x14ac:dyDescent="0.2">
      <c r="A3060" s="5">
        <v>2999</v>
      </c>
      <c r="B3060" s="138">
        <f>'Expenditures 15-22'!H10</f>
        <v>75</v>
      </c>
      <c r="D3060" s="2" t="str">
        <f t="shared" si="46"/>
        <v>Error?</v>
      </c>
    </row>
    <row r="3061" spans="1:4" x14ac:dyDescent="0.2">
      <c r="A3061" s="10">
        <v>3000</v>
      </c>
      <c r="D3061" s="2" t="str">
        <f t="shared" si="46"/>
        <v>OK</v>
      </c>
    </row>
    <row r="3062" spans="1:4" x14ac:dyDescent="0.2">
      <c r="A3062" s="5">
        <v>3001</v>
      </c>
      <c r="B3062" s="138">
        <f>'Expenditures 15-22'!K10</f>
        <v>56861</v>
      </c>
      <c r="C3062" s="2" t="s">
        <v>573</v>
      </c>
      <c r="D3062" s="2" t="str">
        <f t="shared" si="46"/>
        <v>Error?</v>
      </c>
    </row>
    <row r="3063" spans="1:4" x14ac:dyDescent="0.2">
      <c r="A3063" s="10">
        <v>3002</v>
      </c>
      <c r="D3063" s="2" t="str">
        <f t="shared" si="46"/>
        <v>OK</v>
      </c>
    </row>
    <row r="3064" spans="1:4" x14ac:dyDescent="0.2">
      <c r="A3064" s="5">
        <v>3003</v>
      </c>
      <c r="B3064" s="138">
        <f>'Expenditures 15-22'!D219</f>
        <v>6193</v>
      </c>
      <c r="D3064" s="2" t="str">
        <f t="shared" si="46"/>
        <v>Error?</v>
      </c>
    </row>
    <row r="3065" spans="1:4" x14ac:dyDescent="0.2">
      <c r="A3065" s="5">
        <v>3004</v>
      </c>
      <c r="B3065" s="138">
        <f>'Expenditures 15-22'!K219</f>
        <v>6193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3950</v>
      </c>
      <c r="C3225" s="2" t="s">
        <v>573</v>
      </c>
      <c r="D3225" s="2" t="str">
        <f t="shared" si="49"/>
        <v>Error?</v>
      </c>
    </row>
    <row r="3226" spans="1:4" x14ac:dyDescent="0.2">
      <c r="A3226" s="5">
        <v>3165</v>
      </c>
      <c r="B3226" s="138">
        <f>'Acct Summary 7-8'!I8</f>
        <v>3950</v>
      </c>
      <c r="C3226" s="2" t="s">
        <v>573</v>
      </c>
      <c r="D3226" s="2" t="str">
        <f t="shared" si="49"/>
        <v>Error?</v>
      </c>
    </row>
    <row r="3227" spans="1:4" x14ac:dyDescent="0.2">
      <c r="A3227" s="5">
        <v>3166</v>
      </c>
      <c r="B3227" s="138">
        <f>'Acct Summary 7-8'!I20</f>
        <v>3950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18231</v>
      </c>
      <c r="D3230" s="2" t="str">
        <f t="shared" si="49"/>
        <v>Error?</v>
      </c>
    </row>
    <row r="3231" spans="1:4" x14ac:dyDescent="0.2">
      <c r="A3231" s="5">
        <v>3170</v>
      </c>
      <c r="B3231" s="138">
        <f>'Acct Summary 7-8'!C76</f>
        <v>18231</v>
      </c>
      <c r="C3231" s="2" t="s">
        <v>573</v>
      </c>
      <c r="D3231" s="2" t="str">
        <f t="shared" si="49"/>
        <v>Error?</v>
      </c>
    </row>
    <row r="3232" spans="1:4" x14ac:dyDescent="0.2">
      <c r="A3232" s="5">
        <v>3171</v>
      </c>
      <c r="B3232" s="138">
        <f>'Acct Summary 7-8'!C77</f>
        <v>-18231</v>
      </c>
      <c r="C3232" s="2" t="s">
        <v>573</v>
      </c>
      <c r="D3232" s="2" t="str">
        <f t="shared" si="49"/>
        <v>Error?</v>
      </c>
    </row>
    <row r="3233" spans="1:4" x14ac:dyDescent="0.2">
      <c r="A3233" s="5">
        <v>3172</v>
      </c>
      <c r="B3233" s="138">
        <f>'Acct Summary 7-8'!C78</f>
        <v>39192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-4158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-23841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-7011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56472</v>
      </c>
      <c r="D3273" s="2" t="str">
        <f t="shared" si="50"/>
        <v>Error?</v>
      </c>
    </row>
    <row r="3274" spans="1:4" x14ac:dyDescent="0.2">
      <c r="A3274" s="5">
        <v>3213</v>
      </c>
      <c r="B3274" s="138">
        <f>'Acct Summary 7-8'!E44</f>
        <v>56472</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56472</v>
      </c>
      <c r="C3277" s="2" t="s">
        <v>573</v>
      </c>
      <c r="D3277" s="2" t="str">
        <f t="shared" si="50"/>
        <v>Error?</v>
      </c>
    </row>
    <row r="3278" spans="1:4" x14ac:dyDescent="0.2">
      <c r="A3278" s="5">
        <v>3217</v>
      </c>
      <c r="B3278" s="138">
        <f>'Acct Summary 7-8'!E78</f>
        <v>23705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56472</v>
      </c>
      <c r="D3297" s="2" t="str">
        <f t="shared" si="50"/>
        <v>Error?</v>
      </c>
    </row>
    <row r="3298" spans="1:4" x14ac:dyDescent="0.2">
      <c r="A3298" s="5">
        <v>3237</v>
      </c>
      <c r="B3298" s="138">
        <f>'Acct Summary 7-8'!H76</f>
        <v>56472</v>
      </c>
      <c r="C3298" s="2" t="s">
        <v>573</v>
      </c>
      <c r="D3298" s="2" t="str">
        <f t="shared" si="50"/>
        <v>Error?</v>
      </c>
    </row>
    <row r="3299" spans="1:4" x14ac:dyDescent="0.2">
      <c r="A3299" s="5">
        <v>3238</v>
      </c>
      <c r="B3299" s="138">
        <f>'Acct Summary 7-8'!H77</f>
        <v>-56472</v>
      </c>
      <c r="C3299" s="2" t="s">
        <v>573</v>
      </c>
      <c r="D3299" s="2" t="str">
        <f t="shared" si="50"/>
        <v>Error?</v>
      </c>
    </row>
    <row r="3300" spans="1:4" x14ac:dyDescent="0.2">
      <c r="A3300" s="5">
        <v>3239</v>
      </c>
      <c r="B3300" s="138">
        <f>'Acct Summary 7-8'!H78</f>
        <v>-14455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3950</v>
      </c>
      <c r="C3320" s="2" t="s">
        <v>573</v>
      </c>
      <c r="D3320" s="2" t="str">
        <f t="shared" si="50"/>
        <v>Error?</v>
      </c>
    </row>
    <row r="3321" spans="1:4" x14ac:dyDescent="0.2">
      <c r="A3321" s="5">
        <v>3260</v>
      </c>
      <c r="B3321" s="138">
        <f>'Acct Summary 7-8'!I79</f>
        <v>14465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18415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10422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6875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17297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9010</v>
      </c>
      <c r="D3387" s="2" t="str">
        <f t="shared" si="51"/>
        <v>Error?</v>
      </c>
    </row>
    <row r="3388" spans="1:4" x14ac:dyDescent="0.2">
      <c r="A3388" s="5">
        <v>3327</v>
      </c>
      <c r="B3388" s="138">
        <f>'Expenditures 15-22'!D217</f>
        <v>151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9010</v>
      </c>
      <c r="C3390" s="2" t="s">
        <v>573</v>
      </c>
      <c r="D3390" s="2" t="str">
        <f t="shared" si="51"/>
        <v>Error?</v>
      </c>
    </row>
    <row r="3391" spans="1:4" x14ac:dyDescent="0.2">
      <c r="A3391" s="5">
        <v>3330</v>
      </c>
      <c r="B3391" s="138">
        <f>'Expenditures 15-22'!K217</f>
        <v>151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127362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4543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10023</v>
      </c>
      <c r="D3425" s="2" t="str">
        <f t="shared" si="52"/>
        <v>Error?</v>
      </c>
    </row>
    <row r="3426" spans="1:4" x14ac:dyDescent="0.2">
      <c r="A3426" s="10">
        <v>3365</v>
      </c>
      <c r="D3426" s="2" t="str">
        <f t="shared" si="52"/>
        <v>OK</v>
      </c>
    </row>
    <row r="3427" spans="1:4" x14ac:dyDescent="0.2">
      <c r="A3427" s="5">
        <v>3366</v>
      </c>
      <c r="B3427" s="138">
        <f>'Assets-Liab 5-6'!I4</f>
        <v>11446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10856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16969</v>
      </c>
      <c r="C3446" s="2" t="s">
        <v>573</v>
      </c>
      <c r="D3446" s="2" t="str">
        <f t="shared" si="52"/>
        <v>Error?</v>
      </c>
    </row>
    <row r="3447" spans="1:4" x14ac:dyDescent="0.2">
      <c r="A3447" s="5">
        <v>3386</v>
      </c>
      <c r="B3447" s="138">
        <f>'Tax Sched 23'!D16</f>
        <v>16969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19558</v>
      </c>
      <c r="C3449" s="2" t="s">
        <v>573</v>
      </c>
      <c r="D3449" s="2" t="str">
        <f t="shared" si="52"/>
        <v>Error?</v>
      </c>
    </row>
    <row r="3450" spans="1:4" x14ac:dyDescent="0.2">
      <c r="A3450" s="5">
        <v>3389</v>
      </c>
      <c r="B3450" s="138">
        <f>'Tax Sched 23'!E16</f>
        <v>19558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8714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8714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8714</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8714</v>
      </c>
      <c r="C3568" s="2" t="s">
        <v>573</v>
      </c>
      <c r="D3568" s="2" t="str">
        <f t="shared" si="54"/>
        <v>Error?</v>
      </c>
    </row>
    <row r="3569" spans="1:4" x14ac:dyDescent="0.2">
      <c r="A3569" s="5">
        <v>3508</v>
      </c>
      <c r="B3569" s="138">
        <f>'Acct Summary 7-8'!K4</f>
        <v>3950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3950</v>
      </c>
      <c r="C3571" s="2" t="s">
        <v>573</v>
      </c>
      <c r="D3571" s="2" t="str">
        <f t="shared" si="54"/>
        <v>Error?</v>
      </c>
    </row>
    <row r="3572" spans="1:4" x14ac:dyDescent="0.2">
      <c r="A3572" s="5">
        <v>3511</v>
      </c>
      <c r="B3572" s="138">
        <f>'Acct Summary 7-8'!K13</f>
        <v>1227</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1227</v>
      </c>
      <c r="C3575" s="2" t="s">
        <v>573</v>
      </c>
      <c r="D3575" s="2" t="str">
        <f t="shared" si="54"/>
        <v>Error?</v>
      </c>
    </row>
    <row r="3576" spans="1:4" x14ac:dyDescent="0.2">
      <c r="A3576" s="5">
        <v>3515</v>
      </c>
      <c r="B3576" s="138">
        <f>'Acct Summary 7-8'!K20</f>
        <v>2723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2723</v>
      </c>
      <c r="C3588" s="2" t="s">
        <v>573</v>
      </c>
      <c r="D3588" s="2" t="str">
        <f t="shared" si="55"/>
        <v>Error?</v>
      </c>
    </row>
    <row r="3589" spans="1:4" x14ac:dyDescent="0.2">
      <c r="A3589" s="5">
        <v>3528</v>
      </c>
      <c r="B3589" s="138">
        <f>'Acct Summary 7-8'!K79</f>
        <v>5991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8714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1227</v>
      </c>
      <c r="D3653" s="2" t="str">
        <f t="shared" si="56"/>
        <v>Error?</v>
      </c>
    </row>
    <row r="3654" spans="1:4" x14ac:dyDescent="0.2">
      <c r="A3654" s="5">
        <v>3593</v>
      </c>
      <c r="B3654" s="138">
        <f>'Expenditures 15-22'!H350</f>
        <v>1227</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1227</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1227</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1227</v>
      </c>
      <c r="C3669" s="2" t="s">
        <v>573</v>
      </c>
      <c r="D3669" s="2" t="str">
        <f t="shared" si="56"/>
        <v>Error?</v>
      </c>
    </row>
    <row r="3670" spans="1:4" x14ac:dyDescent="0.2">
      <c r="A3670" s="5">
        <v>3609</v>
      </c>
      <c r="B3670" s="138">
        <f>'Expenditures 15-22'!K350</f>
        <v>1227</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1227</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1227</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2723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23974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3950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3950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4104</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4104</v>
      </c>
      <c r="D4111" s="2" t="str">
        <f t="shared" si="63"/>
        <v>Error?</v>
      </c>
    </row>
    <row r="4112" spans="1:4" x14ac:dyDescent="0.2">
      <c r="A4112" s="10">
        <v>4051</v>
      </c>
      <c r="D4112" s="2" t="str">
        <f t="shared" si="63"/>
        <v>OK</v>
      </c>
    </row>
    <row r="4113" spans="1:4" x14ac:dyDescent="0.2">
      <c r="A4113" s="5">
        <v>4052</v>
      </c>
      <c r="B4113" s="138">
        <f>'Acct Summary 7-8'!C9</f>
        <v>64100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1002412</v>
      </c>
      <c r="C4122" s="2" t="s">
        <v>573</v>
      </c>
      <c r="D4122" s="2" t="str">
        <f t="shared" si="63"/>
        <v>Error?</v>
      </c>
    </row>
    <row r="4123" spans="1:4" x14ac:dyDescent="0.2">
      <c r="A4123" s="5">
        <v>4062</v>
      </c>
      <c r="B4123" s="138">
        <f>'Acct Summary 7-8'!D10</f>
        <v>68566</v>
      </c>
      <c r="C4123" s="2" t="s">
        <v>573</v>
      </c>
      <c r="D4123" s="2" t="str">
        <f t="shared" si="63"/>
        <v>Error?</v>
      </c>
    </row>
    <row r="4124" spans="1:4" x14ac:dyDescent="0.2">
      <c r="A4124" s="5">
        <v>4063</v>
      </c>
      <c r="B4124" s="138">
        <f>'Acct Summary 7-8'!E10</f>
        <v>13138</v>
      </c>
      <c r="C4124" s="2" t="s">
        <v>573</v>
      </c>
      <c r="D4124" s="2" t="str">
        <f t="shared" si="63"/>
        <v>Error?</v>
      </c>
    </row>
    <row r="4125" spans="1:4" x14ac:dyDescent="0.2">
      <c r="A4125" s="5">
        <v>4064</v>
      </c>
      <c r="B4125" s="138">
        <f>'Acct Summary 7-8'!F10</f>
        <v>76719</v>
      </c>
      <c r="C4125" s="2" t="s">
        <v>573</v>
      </c>
      <c r="D4125" s="2" t="str">
        <f t="shared" si="63"/>
        <v>Error?</v>
      </c>
    </row>
    <row r="4126" spans="1:4" x14ac:dyDescent="0.2">
      <c r="A4126" s="5">
        <v>4065</v>
      </c>
      <c r="B4126" s="138">
        <f>'Acct Summary 7-8'!G10</f>
        <v>28211</v>
      </c>
      <c r="C4126" s="2" t="s">
        <v>573</v>
      </c>
      <c r="D4126" s="2" t="str">
        <f t="shared" si="63"/>
        <v>Error?</v>
      </c>
    </row>
    <row r="4127" spans="1:4" x14ac:dyDescent="0.2">
      <c r="A4127" s="5">
        <v>4066</v>
      </c>
      <c r="B4127" s="138">
        <f>'Acct Summary 7-8'!H10</f>
        <v>47322</v>
      </c>
      <c r="C4127" s="2" t="s">
        <v>573</v>
      </c>
      <c r="D4127" s="2" t="str">
        <f t="shared" si="63"/>
        <v>Error?</v>
      </c>
    </row>
    <row r="4128" spans="1:4" x14ac:dyDescent="0.2">
      <c r="A4128" s="5">
        <v>4067</v>
      </c>
      <c r="B4128" s="138">
        <f>'Acct Summary 7-8'!I10</f>
        <v>3950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3950</v>
      </c>
      <c r="C4130" s="2" t="s">
        <v>573</v>
      </c>
      <c r="D4130" s="2" t="str">
        <f t="shared" si="63"/>
        <v>Error?</v>
      </c>
    </row>
    <row r="4131" spans="1:4" x14ac:dyDescent="0.2">
      <c r="A4131" s="5">
        <v>4070</v>
      </c>
      <c r="B4131" s="138">
        <f>'Acct Summary 7-8'!C18</f>
        <v>64100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944989</v>
      </c>
      <c r="C4136" s="2" t="s">
        <v>573</v>
      </c>
      <c r="D4136" s="2" t="str">
        <f t="shared" si="63"/>
        <v>Error?</v>
      </c>
    </row>
    <row r="4137" spans="1:4" x14ac:dyDescent="0.2">
      <c r="A4137" s="5">
        <v>4076</v>
      </c>
      <c r="B4137" s="138">
        <f>'Acct Summary 7-8'!D19</f>
        <v>72724</v>
      </c>
      <c r="C4137" s="2" t="s">
        <v>573</v>
      </c>
      <c r="D4137" s="2" t="str">
        <f t="shared" si="63"/>
        <v>Error?</v>
      </c>
    </row>
    <row r="4138" spans="1:4" x14ac:dyDescent="0.2">
      <c r="A4138" s="5">
        <v>4077</v>
      </c>
      <c r="B4138" s="138">
        <f>'Acct Summary 7-8'!E19</f>
        <v>45905</v>
      </c>
      <c r="C4138" s="2" t="s">
        <v>573</v>
      </c>
      <c r="D4138" s="2" t="str">
        <f t="shared" si="63"/>
        <v>Error?</v>
      </c>
    </row>
    <row r="4139" spans="1:4" x14ac:dyDescent="0.2">
      <c r="A4139" s="5">
        <v>4078</v>
      </c>
      <c r="B4139" s="138">
        <f>'Acct Summary 7-8'!F19</f>
        <v>100560</v>
      </c>
      <c r="C4139" s="2" t="s">
        <v>573</v>
      </c>
      <c r="D4139" s="2" t="str">
        <f t="shared" si="63"/>
        <v>Error?</v>
      </c>
    </row>
    <row r="4140" spans="1:4" x14ac:dyDescent="0.2">
      <c r="A4140" s="5">
        <v>4079</v>
      </c>
      <c r="B4140" s="138">
        <f>'Acct Summary 7-8'!G19</f>
        <v>35222</v>
      </c>
      <c r="C4140" s="2" t="s">
        <v>573</v>
      </c>
      <c r="D4140" s="2" t="str">
        <f t="shared" si="63"/>
        <v>Error?</v>
      </c>
    </row>
    <row r="4141" spans="1:4" x14ac:dyDescent="0.2">
      <c r="A4141" s="5">
        <v>4080</v>
      </c>
      <c r="B4141" s="138">
        <f>'Acct Summary 7-8'!H19</f>
        <v>5305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1227</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233000</v>
      </c>
      <c r="C4171" s="2" t="s">
        <v>573</v>
      </c>
      <c r="D4171" s="2" t="str">
        <f t="shared" si="64"/>
        <v>Error?</v>
      </c>
    </row>
    <row r="4172" spans="1:4" x14ac:dyDescent="0.2">
      <c r="A4172" s="5">
        <v>4111</v>
      </c>
      <c r="B4172" s="138">
        <f>'Short-Term Long-Term Debt 24'!J49</f>
        <v>233000</v>
      </c>
      <c r="C4172" s="2" t="s">
        <v>573</v>
      </c>
      <c r="D4172" s="2" t="str">
        <f t="shared" si="64"/>
        <v>Error?</v>
      </c>
    </row>
    <row r="4173" spans="1:4" x14ac:dyDescent="0.2">
      <c r="A4173" s="5">
        <v>4112</v>
      </c>
      <c r="B4173" s="138">
        <f>'Short-Term Long-Term Debt 24'!H49</f>
        <v>34000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623</v>
      </c>
      <c r="D4201" s="2" t="str">
        <f t="shared" si="64"/>
        <v>Error?</v>
      </c>
    </row>
    <row r="4202" spans="1:4" x14ac:dyDescent="0.2">
      <c r="A4202" s="5">
        <v>4141</v>
      </c>
      <c r="B4202" s="138">
        <f>'Expenditures 15-22'!E137</f>
        <v>623</v>
      </c>
      <c r="C4202" s="2" t="s">
        <v>573</v>
      </c>
      <c r="D4202" s="2" t="str">
        <f t="shared" si="64"/>
        <v>Error?</v>
      </c>
    </row>
    <row r="4203" spans="1:4" x14ac:dyDescent="0.2">
      <c r="A4203" s="5">
        <v>4142</v>
      </c>
      <c r="B4203" s="138">
        <f>'Expenditures 15-22'!E139</f>
        <v>623</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1500</v>
      </c>
      <c r="C4265" s="2" t="s">
        <v>573</v>
      </c>
      <c r="D4265" s="2" t="str">
        <f t="shared" si="65"/>
        <v>Error?</v>
      </c>
      <c r="E4265" s="128"/>
    </row>
    <row r="4266" spans="1:5" x14ac:dyDescent="0.2">
      <c r="A4266" s="12">
        <v>4205</v>
      </c>
      <c r="B4266" s="138">
        <f>('FP Info 3'!F10)*100000</f>
        <v>350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2050</v>
      </c>
      <c r="C4268" s="2" t="s">
        <v>573</v>
      </c>
      <c r="D4268" s="2" t="str">
        <f t="shared" si="65"/>
        <v>Error?</v>
      </c>
    </row>
    <row r="4269" spans="1:5" x14ac:dyDescent="0.2">
      <c r="A4269" s="12">
        <v>4208</v>
      </c>
      <c r="B4269" s="138">
        <f>'FP Info 3'!J16</f>
        <v>193370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13700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8998</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2544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25835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13675</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8207565</v>
      </c>
      <c r="D4995" s="2" t="str">
        <f t="shared" si="77"/>
        <v>Error?</v>
      </c>
    </row>
    <row r="4996" spans="1:4" x14ac:dyDescent="0.2">
      <c r="A4996" s="12">
        <v>4935</v>
      </c>
      <c r="B4996" s="138">
        <f>'FP Info 3'!H31</f>
        <v>566321.9850000001</v>
      </c>
      <c r="D4996" s="2" t="str">
        <f t="shared" si="77"/>
        <v>Error?</v>
      </c>
    </row>
    <row r="4997" spans="1:4" x14ac:dyDescent="0.2">
      <c r="A4997" s="12">
        <v>4936</v>
      </c>
      <c r="B4997" s="138">
        <f>'FP Info 3'!H37</f>
        <v>233000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118498</v>
      </c>
      <c r="D5061" s="2" t="str">
        <f t="shared" si="78"/>
        <v>Error?</v>
      </c>
    </row>
    <row r="5062" spans="1:4" x14ac:dyDescent="0.2">
      <c r="A5062" s="10">
        <v>5001</v>
      </c>
      <c r="D5062" s="2" t="str">
        <f t="shared" si="78"/>
        <v>OK</v>
      </c>
    </row>
    <row r="5063" spans="1:4" x14ac:dyDescent="0.2">
      <c r="A5063" s="5">
        <v>5002</v>
      </c>
      <c r="B5063" s="138">
        <f>'Revenues 9-14'!C7</f>
        <v>1580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120078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17757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17757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213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77</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1452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1452</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5038</v>
      </c>
      <c r="D5119" s="2" t="str">
        <f t="shared" ref="D5119:D5182" si="79">IF(ISBLANK(B5119),"OK",IF(A5119-B5119=0,"OK","Error?"))</f>
        <v>Error?</v>
      </c>
    </row>
    <row r="5120" spans="1:4" x14ac:dyDescent="0.2">
      <c r="A5120" s="5">
        <v>5059</v>
      </c>
      <c r="B5120" s="138">
        <f>'Revenues 9-14'!C108</f>
        <v>5038</v>
      </c>
      <c r="C5120" s="2" t="s">
        <v>573</v>
      </c>
      <c r="D5120" s="2" t="str">
        <f t="shared" si="79"/>
        <v>Error?</v>
      </c>
    </row>
    <row r="5121" spans="1:4" x14ac:dyDescent="0.2">
      <c r="A5121" s="5">
        <v>5060</v>
      </c>
      <c r="B5121" s="138">
        <f>'Revenues 9-14'!C109</f>
        <v>144615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654818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654818</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1346</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27181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681999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13675</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40697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18612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59309</v>
      </c>
      <c r="C5246" s="2" t="s">
        <v>573</v>
      </c>
      <c r="D5246" s="2" t="str">
        <f t="shared" si="80"/>
        <v>Error?</v>
      </c>
    </row>
    <row r="5247" spans="1:4" x14ac:dyDescent="0.2">
      <c r="A5247" s="5">
        <v>5186</v>
      </c>
      <c r="B5247" s="138">
        <f>'Revenues 9-14'!C200</f>
        <v>13472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8998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13472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98023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111698</v>
      </c>
      <c r="C5326" s="2" t="s">
        <v>573</v>
      </c>
      <c r="D5326" s="2" t="str">
        <f t="shared" si="82"/>
        <v>Error?</v>
      </c>
    </row>
    <row r="5327" spans="1:5" x14ac:dyDescent="0.2">
      <c r="A5327" s="5">
        <v>5266</v>
      </c>
      <c r="B5327" s="138">
        <f>'Revenues 9-14'!C268</f>
        <v>938312</v>
      </c>
      <c r="C5327" s="2" t="s">
        <v>573</v>
      </c>
      <c r="D5327" s="2" t="str">
        <f t="shared" si="82"/>
        <v>Error?</v>
      </c>
    </row>
    <row r="5328" spans="1:5" x14ac:dyDescent="0.2">
      <c r="A5328" s="5">
        <v>5267</v>
      </c>
      <c r="B5328" s="138">
        <f>'Revenues 9-14'!D5</f>
        <v>27650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27650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9259</v>
      </c>
      <c r="D5354" s="2" t="str">
        <f t="shared" si="82"/>
        <v>Error?</v>
      </c>
    </row>
    <row r="5355" spans="1:4" x14ac:dyDescent="0.2">
      <c r="A5355" s="5">
        <v>5294</v>
      </c>
      <c r="B5355" s="138">
        <f>'Revenues 9-14'!D108</f>
        <v>9259</v>
      </c>
      <c r="C5355" s="2" t="s">
        <v>573</v>
      </c>
      <c r="D5355" s="2" t="str">
        <f t="shared" si="82"/>
        <v>Error?</v>
      </c>
    </row>
    <row r="5356" spans="1:4" x14ac:dyDescent="0.2">
      <c r="A5356" s="5">
        <v>5295</v>
      </c>
      <c r="B5356" s="138">
        <f>'Revenues 9-14'!D109</f>
        <v>36909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31657</v>
      </c>
      <c r="D5361" s="2" t="str">
        <f t="shared" si="82"/>
        <v>Error?</v>
      </c>
    </row>
    <row r="5362" spans="1:4" x14ac:dyDescent="0.2">
      <c r="A5362" s="5">
        <v>5301</v>
      </c>
      <c r="B5362" s="138" t="str">
        <f>'Revenues 9-14'!D119</f>
        <v>j</v>
      </c>
      <c r="D5362" s="2" t="e">
        <f t="shared" si="82"/>
        <v>#VALUE!</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31657</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31657</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68566</v>
      </c>
      <c r="C5508" s="2" t="s">
        <v>573</v>
      </c>
      <c r="D5508" s="2" t="str">
        <f t="shared" si="85"/>
        <v>Error?</v>
      </c>
    </row>
    <row r="5509" spans="1:4" x14ac:dyDescent="0.2">
      <c r="A5509" s="5">
        <v>5448</v>
      </c>
      <c r="B5509" s="138">
        <f>'Revenues 9-14'!E5</f>
        <v>13138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13138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13138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13138</v>
      </c>
      <c r="C5552" s="2" t="s">
        <v>573</v>
      </c>
      <c r="D5552" s="2" t="str">
        <f t="shared" si="85"/>
        <v>Error?</v>
      </c>
    </row>
    <row r="5553" spans="1:4" x14ac:dyDescent="0.2">
      <c r="A5553" s="5">
        <v>5492</v>
      </c>
      <c r="B5553" s="138">
        <f>'Revenues 9-14'!F5</f>
        <v>15800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15800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15800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23883</v>
      </c>
      <c r="D5615" s="2" t="str">
        <f t="shared" si="86"/>
        <v>Error?</v>
      </c>
    </row>
    <row r="5616" spans="1:4" x14ac:dyDescent="0.2">
      <c r="A5616" s="10">
        <v>5555</v>
      </c>
      <c r="D5616" s="2" t="str">
        <f t="shared" si="86"/>
        <v>OK</v>
      </c>
    </row>
    <row r="5617" spans="1:5" x14ac:dyDescent="0.2">
      <c r="A5617" s="5">
        <v>5556</v>
      </c>
      <c r="B5617" s="138">
        <f>'Revenues 9-14'!F153</f>
        <v>27036</v>
      </c>
      <c r="D5617" s="2" t="str">
        <f t="shared" si="86"/>
        <v>Error?</v>
      </c>
    </row>
    <row r="5618" spans="1:5" x14ac:dyDescent="0.2">
      <c r="A5618" s="5">
        <v>5557</v>
      </c>
      <c r="B5618" s="138">
        <f>'Revenues 9-14'!F155</f>
        <v>50919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50919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60919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76719</v>
      </c>
      <c r="C5720" s="2" t="s">
        <v>573</v>
      </c>
      <c r="D5720" s="2" t="str">
        <f t="shared" si="88"/>
        <v>Error?</v>
      </c>
    </row>
    <row r="5721" spans="1:4" x14ac:dyDescent="0.2">
      <c r="A5721" s="5">
        <v>5660</v>
      </c>
      <c r="B5721" s="138">
        <f>'Revenues 9-14'!G5</f>
        <v>11242</v>
      </c>
      <c r="D5721" s="2" t="str">
        <f t="shared" si="88"/>
        <v>Error?</v>
      </c>
    </row>
    <row r="5722" spans="1:4" x14ac:dyDescent="0.2">
      <c r="A5722" s="5">
        <v>5661</v>
      </c>
      <c r="B5722" s="138">
        <f>'Revenues 9-14'!G7</f>
        <v>0</v>
      </c>
      <c r="D5722" s="2" t="str">
        <f t="shared" si="88"/>
        <v>Error?</v>
      </c>
    </row>
    <row r="5723" spans="1:4" x14ac:dyDescent="0.2">
      <c r="A5723" s="5">
        <v>5662</v>
      </c>
      <c r="B5723" s="138">
        <f>'Revenues 9-14'!G8</f>
        <v>16969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28211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28211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3950</v>
      </c>
      <c r="D5872" s="2" t="str">
        <f t="shared" si="90"/>
        <v>Error?</v>
      </c>
    </row>
    <row r="5873" spans="1:4" x14ac:dyDescent="0.2">
      <c r="A5873" s="5">
        <v>5812</v>
      </c>
      <c r="B5873" s="138">
        <f>'Revenues 9-14'!H12</f>
        <v>3950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43372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47322</v>
      </c>
      <c r="C5915" s="2" t="s">
        <v>573</v>
      </c>
      <c r="D5915" s="2" t="str">
        <f t="shared" si="91"/>
        <v>Error?</v>
      </c>
    </row>
    <row r="5916" spans="1:4" x14ac:dyDescent="0.2">
      <c r="A5916" s="5">
        <v>5855</v>
      </c>
      <c r="B5916" s="138">
        <f>'Revenues 9-14'!I5</f>
        <v>3950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3950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3950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3950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3950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3950</v>
      </c>
      <c r="C6023" s="2" t="s">
        <v>573</v>
      </c>
      <c r="D6023" s="2" t="str">
        <f t="shared" si="93"/>
        <v>Error?</v>
      </c>
    </row>
    <row r="6024" spans="1:5" x14ac:dyDescent="0.2">
      <c r="A6024" s="5">
        <v>5963</v>
      </c>
      <c r="B6024" s="138">
        <f>'Revenues 9-14'!G109</f>
        <v>28211</v>
      </c>
      <c r="C6024" s="2" t="s">
        <v>573</v>
      </c>
      <c r="D6024" s="2" t="str">
        <f t="shared" si="93"/>
        <v>Error?</v>
      </c>
    </row>
    <row r="6025" spans="1:5" x14ac:dyDescent="0.2">
      <c r="A6025" s="5">
        <v>5964</v>
      </c>
      <c r="B6025" s="138">
        <f>'Revenues 9-14'!H109</f>
        <v>47322</v>
      </c>
      <c r="C6025" s="2" t="s">
        <v>573</v>
      </c>
      <c r="D6025" s="2" t="str">
        <f t="shared" si="93"/>
        <v>Error?</v>
      </c>
    </row>
    <row r="6026" spans="1:5" x14ac:dyDescent="0.2">
      <c r="A6026" s="5">
        <v>5965</v>
      </c>
      <c r="B6026" s="138">
        <f>'Revenues 9-14'!I109</f>
        <v>3950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3950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5932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76.98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6472</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6008</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79193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6008</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6472</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79193</v>
      </c>
      <c r="D6214" s="2" t="str">
        <f t="shared" si="96"/>
        <v>Error?</v>
      </c>
      <c r="E6214" s="2" t="s">
        <v>190</v>
      </c>
    </row>
    <row r="6215" spans="1:5" x14ac:dyDescent="0.2">
      <c r="A6215">
        <v>6154</v>
      </c>
      <c r="B6215" s="138" t="str">
        <f>'Assets-Liab 5-6'!J39</f>
        <v xml:space="preserve"> </v>
      </c>
      <c r="D6215" s="2" t="e">
        <f t="shared" si="96"/>
        <v>#VALUE!</v>
      </c>
      <c r="E6215" s="2" t="s">
        <v>190</v>
      </c>
    </row>
    <row r="6216" spans="1:5" x14ac:dyDescent="0.2">
      <c r="A6216">
        <v>6155</v>
      </c>
      <c r="B6216" s="138">
        <f>'Assets-Liab 5-6'!J41</f>
        <v>79193</v>
      </c>
      <c r="D6216" s="2" t="str">
        <f t="shared" si="96"/>
        <v>Error?</v>
      </c>
      <c r="E6216" s="2" t="s">
        <v>190</v>
      </c>
    </row>
    <row r="6217" spans="1:5" x14ac:dyDescent="0.2">
      <c r="A6217">
        <v>6156</v>
      </c>
      <c r="B6217" s="138">
        <f>'Assets-Liab 5-6'!J4</f>
        <v>77280</v>
      </c>
      <c r="D6217" s="2" t="str">
        <f t="shared" si="96"/>
        <v>Error?</v>
      </c>
      <c r="E6217" s="2" t="s">
        <v>190</v>
      </c>
    </row>
    <row r="6218" spans="1:5" x14ac:dyDescent="0.2">
      <c r="A6218">
        <v>6157</v>
      </c>
      <c r="B6218" s="138">
        <f>'Assets-Liab 5-6'!J5</f>
        <v>1913</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63697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63697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63697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74365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74365</v>
      </c>
      <c r="D6229" s="2" t="str">
        <f t="shared" si="96"/>
        <v>Error?</v>
      </c>
      <c r="E6229" s="2" t="s">
        <v>190</v>
      </c>
    </row>
    <row r="6230" spans="1:5" x14ac:dyDescent="0.2">
      <c r="A6230">
        <v>6169</v>
      </c>
      <c r="B6230" s="138">
        <f>'Acct Summary 7-8'!J20</f>
        <v>-10668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18231</v>
      </c>
      <c r="D6237" s="2" t="str">
        <f t="shared" si="96"/>
        <v>Error?</v>
      </c>
      <c r="E6237" s="2" t="s">
        <v>190</v>
      </c>
    </row>
    <row r="6238" spans="1:5" x14ac:dyDescent="0.2">
      <c r="A6238">
        <v>6177</v>
      </c>
      <c r="B6238" s="138">
        <f>'Acct Summary 7-8'!J44</f>
        <v>18231</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18231</v>
      </c>
      <c r="D6262" s="2" t="str">
        <f t="shared" si="96"/>
        <v>Error?</v>
      </c>
      <c r="E6262" s="2" t="s">
        <v>190</v>
      </c>
    </row>
    <row r="6263" spans="1:5" x14ac:dyDescent="0.2">
      <c r="A6263">
        <v>6202</v>
      </c>
      <c r="B6263" s="138">
        <f>'Acct Summary 7-8'!J78</f>
        <v>7563</v>
      </c>
      <c r="D6263" s="2" t="str">
        <f t="shared" si="96"/>
        <v>Error?</v>
      </c>
      <c r="E6263" s="2" t="s">
        <v>190</v>
      </c>
    </row>
    <row r="6264" spans="1:5" x14ac:dyDescent="0.2">
      <c r="A6264">
        <v>6203</v>
      </c>
      <c r="B6264" s="138">
        <f>'Acct Summary 7-8'!J79</f>
        <v>71630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79193</v>
      </c>
      <c r="D6266" s="2" t="str">
        <f t="shared" si="96"/>
        <v>Error?</v>
      </c>
      <c r="E6266" s="2" t="s">
        <v>190</v>
      </c>
    </row>
    <row r="6267" spans="1:5" x14ac:dyDescent="0.2">
      <c r="A6267">
        <v>6206</v>
      </c>
      <c r="B6267" s="138">
        <f>'Acct Summary 7-8'!C82</f>
        <v>39192</v>
      </c>
      <c r="D6267" s="2" t="str">
        <f t="shared" si="96"/>
        <v>Error?</v>
      </c>
      <c r="E6267" s="2" t="s">
        <v>190</v>
      </c>
    </row>
    <row r="6268" spans="1:5" x14ac:dyDescent="0.2">
      <c r="A6268">
        <v>6207</v>
      </c>
      <c r="B6268" s="138">
        <f>'Acct Summary 7-8'!D82</f>
        <v>-4158</v>
      </c>
      <c r="D6268" s="2" t="str">
        <f t="shared" si="96"/>
        <v>Error?</v>
      </c>
      <c r="E6268" s="2" t="s">
        <v>190</v>
      </c>
    </row>
    <row r="6269" spans="1:5" x14ac:dyDescent="0.2">
      <c r="A6269">
        <v>6208</v>
      </c>
      <c r="B6269" s="138">
        <f>'Acct Summary 7-8'!E82</f>
        <v>23705</v>
      </c>
      <c r="D6269" s="2" t="str">
        <f t="shared" si="96"/>
        <v>Error?</v>
      </c>
      <c r="E6269" s="2" t="s">
        <v>190</v>
      </c>
    </row>
    <row r="6270" spans="1:5" x14ac:dyDescent="0.2">
      <c r="A6270">
        <v>6209</v>
      </c>
      <c r="B6270" s="138">
        <f>'Acct Summary 7-8'!F82</f>
        <v>-23841</v>
      </c>
      <c r="D6270" s="2" t="str">
        <f t="shared" si="96"/>
        <v>Error?</v>
      </c>
      <c r="E6270" s="2" t="s">
        <v>190</v>
      </c>
    </row>
    <row r="6271" spans="1:5" x14ac:dyDescent="0.2">
      <c r="A6271">
        <v>6210</v>
      </c>
      <c r="B6271" s="138">
        <f>'Acct Summary 7-8'!G82</f>
        <v>-7011</v>
      </c>
      <c r="D6271" s="2" t="str">
        <f t="shared" ref="D6271:D6334" si="97">IF(ISBLANK(B6271),"OK",IF(A6271-B6271=0,"OK","Error?"))</f>
        <v>Error?</v>
      </c>
      <c r="E6271" s="2" t="s">
        <v>190</v>
      </c>
    </row>
    <row r="6272" spans="1:5" x14ac:dyDescent="0.2">
      <c r="A6272">
        <v>6211</v>
      </c>
      <c r="B6272" s="138">
        <f>'Acct Summary 7-8'!H82</f>
        <v>-14455</v>
      </c>
      <c r="D6272" s="2" t="str">
        <f t="shared" si="97"/>
        <v>Error?</v>
      </c>
      <c r="E6272" s="2" t="s">
        <v>190</v>
      </c>
    </row>
    <row r="6273" spans="1:5" x14ac:dyDescent="0.2">
      <c r="A6273">
        <v>6212</v>
      </c>
      <c r="B6273" s="138">
        <f>'Acct Summary 7-8'!I82</f>
        <v>3950</v>
      </c>
      <c r="D6273" s="2" t="str">
        <f t="shared" si="97"/>
        <v>Error?</v>
      </c>
      <c r="E6273" s="2" t="s">
        <v>190</v>
      </c>
    </row>
    <row r="6274" spans="1:5" x14ac:dyDescent="0.2">
      <c r="A6274">
        <v>6213</v>
      </c>
      <c r="B6274" s="138">
        <f>'Acct Summary 7-8'!J82</f>
        <v>7563</v>
      </c>
      <c r="D6274" s="2" t="str">
        <f t="shared" si="97"/>
        <v>Error?</v>
      </c>
      <c r="E6274" s="2" t="s">
        <v>190</v>
      </c>
    </row>
    <row r="6275" spans="1:5" x14ac:dyDescent="0.2">
      <c r="A6275">
        <v>6214</v>
      </c>
      <c r="B6275" s="138">
        <f>'Acct Summary 7-8'!K82</f>
        <v>2723</v>
      </c>
      <c r="D6275" s="2" t="str">
        <f t="shared" si="97"/>
        <v>Error?</v>
      </c>
      <c r="E6275" s="2" t="s">
        <v>190</v>
      </c>
    </row>
    <row r="6276" spans="1:5" x14ac:dyDescent="0.2">
      <c r="A6276">
        <v>6215</v>
      </c>
      <c r="B6276" s="138">
        <f>'Acct Summary 7-8'!C83</f>
        <v>0.28763081800701612</v>
      </c>
      <c r="D6276" s="2" t="str">
        <f t="shared" si="97"/>
        <v>Error?</v>
      </c>
      <c r="E6276" s="2" t="s">
        <v>190</v>
      </c>
    </row>
    <row r="6277" spans="1:5" x14ac:dyDescent="0.2">
      <c r="A6277">
        <v>6216</v>
      </c>
      <c r="B6277" s="138">
        <f>'Acct Summary 7-8'!D83</f>
        <v>-0.51289009497964722</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-0.7793723439032364</v>
      </c>
      <c r="D6279" s="2" t="str">
        <f t="shared" si="97"/>
        <v>Error?</v>
      </c>
      <c r="E6279" s="2" t="s">
        <v>190</v>
      </c>
    </row>
    <row r="6280" spans="1:5" x14ac:dyDescent="0.2">
      <c r="A6280">
        <v>6219</v>
      </c>
      <c r="B6280" s="138">
        <f>'Acct Summary 7-8'!G83</f>
        <v>-0.64056646870717227</v>
      </c>
      <c r="D6280" s="2" t="str">
        <f t="shared" si="97"/>
        <v>Error?</v>
      </c>
      <c r="E6280" s="2" t="s">
        <v>190</v>
      </c>
    </row>
    <row r="6281" spans="1:5" x14ac:dyDescent="0.2">
      <c r="A6281">
        <v>6220</v>
      </c>
      <c r="B6281" s="138">
        <f>'Acct Summary 7-8'!H83</f>
        <v>-0.90169047470525854</v>
      </c>
      <c r="D6281" s="2" t="str">
        <f t="shared" si="97"/>
        <v>Error?</v>
      </c>
      <c r="E6281" s="2" t="s">
        <v>190</v>
      </c>
    </row>
    <row r="6282" spans="1:5" x14ac:dyDescent="0.2">
      <c r="A6282">
        <v>6221</v>
      </c>
      <c r="B6282" s="138">
        <f>'Acct Summary 7-8'!I83</f>
        <v>0.21449904968775454</v>
      </c>
      <c r="D6282" s="2" t="str">
        <f t="shared" si="97"/>
        <v>Error?</v>
      </c>
      <c r="E6282" s="2" t="s">
        <v>190</v>
      </c>
    </row>
    <row r="6283" spans="1:5" x14ac:dyDescent="0.2">
      <c r="A6283">
        <v>6222</v>
      </c>
      <c r="B6283" s="138">
        <f>'Acct Summary 7-8'!J83</f>
        <v>9.5500864975439748E-2</v>
      </c>
      <c r="D6283" s="2" t="str">
        <f t="shared" si="97"/>
        <v>Error?</v>
      </c>
      <c r="E6283" s="2" t="s">
        <v>190</v>
      </c>
    </row>
    <row r="6284" spans="1:5" x14ac:dyDescent="0.2">
      <c r="A6284">
        <v>6223</v>
      </c>
      <c r="B6284" s="138">
        <f>'Acct Summary 7-8'!K83</f>
        <v>0.31248565526738581</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63697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63697</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63697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2197</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74365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63697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27099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27099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47266</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47266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47266</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27099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74365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47266</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27099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74365</v>
      </c>
      <c r="D7224" s="2" t="str">
        <f t="shared" si="111"/>
        <v>Error?</v>
      </c>
    </row>
    <row r="7225" spans="1:4" x14ac:dyDescent="0.2">
      <c r="A7225">
        <v>7164</v>
      </c>
      <c r="B7225" s="138">
        <f>'Expenditures 15-22'!K343</f>
        <v>-10668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98726</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98726</v>
      </c>
      <c r="D7618" s="2" t="str">
        <f t="shared" si="124"/>
        <v>Error?</v>
      </c>
      <c r="E7618" s="2" t="s">
        <v>19</v>
      </c>
    </row>
    <row r="7619" spans="1:5" x14ac:dyDescent="0.2">
      <c r="A7619">
        <f t="shared" si="123"/>
        <v>7558</v>
      </c>
      <c r="B7619" s="138">
        <f>'Cap Outlay Deprec 26'!H14</f>
        <v>98229</v>
      </c>
      <c r="D7619" s="2" t="str">
        <f t="shared" si="124"/>
        <v>Error?</v>
      </c>
      <c r="E7619" s="2" t="s">
        <v>19</v>
      </c>
    </row>
    <row r="7620" spans="1:5" x14ac:dyDescent="0.2">
      <c r="A7620">
        <f t="shared" si="123"/>
        <v>7559</v>
      </c>
      <c r="B7620" s="138">
        <f>'Cap Outlay Deprec 26'!I14</f>
        <v>249</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98478</v>
      </c>
      <c r="D7622" s="2" t="str">
        <f t="shared" si="124"/>
        <v>Error?</v>
      </c>
      <c r="E7622" s="2" t="s">
        <v>19</v>
      </c>
    </row>
    <row r="7623" spans="1:5" x14ac:dyDescent="0.2">
      <c r="A7623">
        <f t="shared" si="123"/>
        <v>7562</v>
      </c>
      <c r="B7623" s="138">
        <f>'Cap Outlay Deprec 26'!L14</f>
        <v>248</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38170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1580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43372</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12391</v>
      </c>
      <c r="D7797" s="2" t="str">
        <f t="shared" si="127"/>
        <v>Error?</v>
      </c>
      <c r="E7797" s="4" t="s">
        <v>1904</v>
      </c>
    </row>
    <row r="7798" spans="1:5" x14ac:dyDescent="0.2">
      <c r="A7798">
        <v>7737</v>
      </c>
      <c r="B7798" s="138">
        <f>'Contracts Paid in CY 29'!F141</f>
        <v>12391</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3" zoomScale="110" zoomScaleNormal="110" workbookViewId="0">
      <selection activeCell="L56" sqref="L56"/>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1989</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2" t="str">
        <f>COVER!A17</f>
        <v>Tamaroa School Dist 5</v>
      </c>
      <c r="B7" s="2383"/>
      <c r="C7" s="2383"/>
      <c r="D7" s="2420"/>
      <c r="E7" s="2421">
        <f>COVER!A13</f>
        <v>30073005002</v>
      </c>
      <c r="F7" s="2422"/>
      <c r="G7" s="2389">
        <f>COVER!T23</f>
        <v>65.028419999999997</v>
      </c>
      <c r="H7" s="2390"/>
      <c r="I7" s="2390"/>
      <c r="J7" s="2390"/>
      <c r="K7" s="2390"/>
      <c r="L7" s="239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2"/>
      <c r="B9" s="2393"/>
      <c r="C9" s="2393"/>
      <c r="D9" s="2393"/>
      <c r="E9" s="2393"/>
      <c r="F9" s="2394"/>
      <c r="G9" s="2395" t="str">
        <f>COVER!T13</f>
        <v>Kujawa &amp; Batteau, P.C.</v>
      </c>
      <c r="H9" s="2396"/>
      <c r="I9" s="2396"/>
      <c r="J9" s="2396"/>
      <c r="K9" s="2396"/>
      <c r="L9" s="2397"/>
    </row>
    <row r="10" spans="1:29" ht="13.5" customHeight="1" x14ac:dyDescent="0.2">
      <c r="A10" s="2379" t="str">
        <f>COVER!A38</f>
        <v>Brian Brink</v>
      </c>
      <c r="B10" s="2380"/>
      <c r="C10" s="2380"/>
      <c r="D10" s="2380"/>
      <c r="E10" s="2380"/>
      <c r="F10" s="2381"/>
      <c r="G10" s="2395" t="str">
        <f>COVER!T17</f>
        <v>300 S. Walnut St.</v>
      </c>
      <c r="H10" s="2408"/>
      <c r="I10" s="2408"/>
      <c r="J10" s="2408"/>
      <c r="K10" s="2408"/>
      <c r="L10" s="2409"/>
    </row>
    <row r="11" spans="1:29" ht="13.5" customHeight="1" x14ac:dyDescent="0.2">
      <c r="A11" s="1184" t="s">
        <v>1519</v>
      </c>
      <c r="B11" s="1185"/>
      <c r="C11" s="1186"/>
      <c r="D11" s="1191"/>
      <c r="E11" s="1186"/>
      <c r="F11" s="1190"/>
      <c r="G11" s="2395" t="str">
        <f>COVER!T19</f>
        <v>Pinckneyville</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t="str">
        <f>COVER!T25</f>
        <v>kbatteau@kandb-cpa.com</v>
      </c>
      <c r="J13" s="2417"/>
      <c r="K13" s="2417"/>
      <c r="L13" s="2418"/>
    </row>
    <row r="14" spans="1:29" ht="13.5" customHeight="1" x14ac:dyDescent="0.2">
      <c r="A14" s="2395" t="str">
        <f>COVER!A19</f>
        <v>200 W. Main St.</v>
      </c>
      <c r="B14" s="2408"/>
      <c r="C14" s="2408"/>
      <c r="D14" s="2408"/>
      <c r="E14" s="2408"/>
      <c r="F14" s="2409"/>
      <c r="G14" s="1195" t="s">
        <v>1185</v>
      </c>
      <c r="H14" s="1193"/>
      <c r="I14" s="1193"/>
      <c r="J14" s="1193"/>
      <c r="K14" s="1193"/>
      <c r="L14" s="1194"/>
    </row>
    <row r="15" spans="1:29" ht="13.5" customHeight="1" x14ac:dyDescent="0.2">
      <c r="A15" s="2395" t="str">
        <f>COVER!A21</f>
        <v xml:space="preserve">Tamaroa  </v>
      </c>
      <c r="B15" s="2408"/>
      <c r="C15" s="2408"/>
      <c r="D15" s="2408"/>
      <c r="E15" s="2408"/>
      <c r="F15" s="2409"/>
      <c r="G15" s="2405" t="str">
        <f>COVER!T15</f>
        <v>Kevin Batteau</v>
      </c>
      <c r="H15" s="2406"/>
      <c r="I15" s="2406"/>
      <c r="J15" s="2406"/>
      <c r="K15" s="2406"/>
      <c r="L15" s="2407"/>
    </row>
    <row r="16" spans="1:29" ht="12.2" customHeight="1" x14ac:dyDescent="0.2">
      <c r="A16" s="2385">
        <f>COVER!A25</f>
        <v>62888</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5" t="s">
        <v>1184</v>
      </c>
      <c r="H17" s="1193"/>
      <c r="I17" s="1193"/>
      <c r="J17" s="1193"/>
      <c r="K17" s="1197" t="s">
        <v>1183</v>
      </c>
      <c r="L17" s="1190"/>
      <c r="M17" s="1183"/>
    </row>
    <row r="18" spans="1:13" ht="12.2" customHeight="1" x14ac:dyDescent="0.2">
      <c r="A18" s="2379"/>
      <c r="B18" s="2380"/>
      <c r="C18" s="2380"/>
      <c r="D18" s="2380"/>
      <c r="E18" s="2380"/>
      <c r="F18" s="2381"/>
      <c r="G18" s="2382" t="str">
        <f>COVER!T21</f>
        <v>618-357-3000</v>
      </c>
      <c r="H18" s="2383"/>
      <c r="I18" s="2383"/>
      <c r="J18" s="2383"/>
      <c r="K18" s="2382" t="str">
        <f>COVER!X21</f>
        <v>618-357-3654</v>
      </c>
      <c r="L18" s="238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orientation="portrait" useFirstPageNumber="1" r:id="rId1"/>
  <headerFooter alignWithMargins="0">
    <oddHeader>&amp;L&amp;8Page 37&amp;R&amp;8Page 37</oddHeader>
    <oddFooter>&amp;L"The notes are an integral part of these statements"&amp;CPage 37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143" sqref="D143"/>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Tamaroa School Dist 5</v>
      </c>
      <c r="B1" s="2419"/>
      <c r="C1" s="2419"/>
      <c r="D1" s="2419"/>
    </row>
    <row r="2" spans="1:11" s="1212" customFormat="1" ht="12.75" x14ac:dyDescent="0.2">
      <c r="A2" s="2424">
        <f>'Single Audit Cover'!E7</f>
        <v>30073005002</v>
      </c>
      <c r="B2" s="2425"/>
      <c r="C2" s="2425"/>
      <c r="D2" s="2425"/>
    </row>
    <row r="3" spans="1:11" s="1212" customFormat="1" ht="12.75" x14ac:dyDescent="0.2">
      <c r="A3" s="2423" t="s">
        <v>1513</v>
      </c>
      <c r="B3" s="2419"/>
      <c r="C3" s="2419"/>
      <c r="D3" s="241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oddFooter>&amp;L"The notes are an integral part of these statements"&amp;CPage 38</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8" sqref="A28:B28"/>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Tamaroa School Dist 5</v>
      </c>
      <c r="B1" s="2427"/>
      <c r="C1" s="2427"/>
      <c r="D1" s="2427"/>
      <c r="E1" s="2427"/>
    </row>
    <row r="2" spans="1:5" x14ac:dyDescent="0.2">
      <c r="A2" s="2428">
        <f>'Single Audit Cover'!E7</f>
        <v>30073005002</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111698</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5932</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-13700</v>
      </c>
    </row>
    <row r="19" spans="1:4" ht="13.5" thickBot="1" x14ac:dyDescent="0.25">
      <c r="A19" s="1262" t="s">
        <v>1235</v>
      </c>
      <c r="D19" s="1263">
        <f>SUM(D10:D17)</f>
        <v>103930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c r="B24" s="2429"/>
      <c r="D24" s="1265"/>
    </row>
    <row r="25" spans="1:4" x14ac:dyDescent="0.2">
      <c r="A25" s="2426" t="s">
        <v>2085</v>
      </c>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103930</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0</v>
      </c>
    </row>
    <row r="49" spans="2:4" x14ac:dyDescent="0.2">
      <c r="B49" s="1269" t="s">
        <v>1226</v>
      </c>
      <c r="C49" s="1269"/>
      <c r="D49" s="1270">
        <f>D32-D47</f>
        <v>103930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&amp;L"The notes are an integral part of these statements"&amp;CPage 39</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C13" sqref="C1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Tamaroa School Dist 5</v>
      </c>
      <c r="C1" s="2431"/>
      <c r="D1" s="2431"/>
      <c r="E1" s="2431"/>
      <c r="F1" s="2431"/>
      <c r="G1" s="2431"/>
      <c r="H1" s="2431"/>
      <c r="I1" s="2431"/>
      <c r="J1" s="2431"/>
      <c r="K1" s="2431"/>
      <c r="L1" s="2431"/>
      <c r="M1" s="2431"/>
    </row>
    <row r="2" spans="2:14" ht="15" x14ac:dyDescent="0.2">
      <c r="B2" s="2432">
        <f>'Single Audit Cover'!E7</f>
        <v>30073005002</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t="s">
        <v>2085</v>
      </c>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oddFooter>&amp;L"The notes are an integral part of these statements"&amp;CPage 40</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7" zoomScale="120" zoomScaleNormal="120" workbookViewId="0">
      <selection activeCell="B19" sqref="B19:B20"/>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Tamaroa School Dist 5</v>
      </c>
      <c r="B1" s="2436"/>
      <c r="C1" s="2436"/>
      <c r="D1" s="2436"/>
      <c r="E1" s="2436"/>
      <c r="F1" s="2436"/>
    </row>
    <row r="2" spans="1:7" ht="13.5" customHeight="1" x14ac:dyDescent="0.2">
      <c r="A2" s="2432">
        <f>'Single Audit Cover'!E7</f>
        <v>30073005002</v>
      </c>
      <c r="B2" s="2432"/>
      <c r="C2" s="2432"/>
      <c r="D2" s="2432"/>
      <c r="E2" s="2432"/>
      <c r="F2" s="2432"/>
      <c r="G2" s="1272"/>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3" t="s">
        <v>1728</v>
      </c>
      <c r="C6" s="317"/>
      <c r="D6" s="317"/>
    </row>
    <row r="7" spans="1:7" ht="60.95" customHeight="1" x14ac:dyDescent="0.2">
      <c r="A7" s="2435" t="s">
        <v>1729</v>
      </c>
      <c r="B7" s="2435"/>
      <c r="C7" s="2435"/>
      <c r="D7" s="2435"/>
      <c r="E7" s="2435"/>
      <c r="F7" s="243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5" t="s">
        <v>1731</v>
      </c>
      <c r="B13" s="2435"/>
      <c r="C13" s="2435"/>
      <c r="D13" s="2435"/>
      <c r="E13" s="2435"/>
      <c r="F13" s="2435"/>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c r="C17" s="1282"/>
      <c r="D17" s="2439"/>
      <c r="E17" s="2439"/>
      <c r="F17" s="2439"/>
    </row>
    <row r="18" spans="1:6" ht="20.65" customHeight="1" x14ac:dyDescent="0.2">
      <c r="A18" s="1280"/>
      <c r="B18" s="1281" t="s">
        <v>2085</v>
      </c>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1732</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2" t="s">
        <v>1551</v>
      </c>
      <c r="C51" s="2442"/>
      <c r="D51" s="2442"/>
    </row>
    <row r="52" spans="1:5" ht="14.25" customHeight="1" x14ac:dyDescent="0.2">
      <c r="A52" s="1298"/>
      <c r="B52" s="2442"/>
      <c r="C52" s="2442"/>
      <c r="D52" s="244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F15" sqref="F15"/>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1" t="str">
        <f>'Single Audit Cover'!A7</f>
        <v>Tamaroa School Dist 5</v>
      </c>
      <c r="C1" s="2452"/>
      <c r="D1" s="2452"/>
      <c r="E1" s="2452"/>
      <c r="F1" s="2452"/>
      <c r="G1" s="2452"/>
      <c r="H1" s="2452"/>
      <c r="I1" s="2452"/>
      <c r="J1" s="1406"/>
    </row>
    <row r="2" spans="2:10" s="317" customFormat="1" ht="12.75" customHeight="1" x14ac:dyDescent="0.2">
      <c r="B2" s="2453">
        <f>'Single Audit Cover'!E7</f>
        <v>30073005002</v>
      </c>
      <c r="C2" s="2454"/>
      <c r="D2" s="2454"/>
      <c r="E2" s="2454"/>
      <c r="F2" s="2454"/>
      <c r="G2" s="2454"/>
      <c r="H2" s="2454"/>
      <c r="I2" s="2454"/>
      <c r="J2" s="1406"/>
    </row>
    <row r="3" spans="2:10" s="317" customFormat="1" ht="12.75" customHeight="1" x14ac:dyDescent="0.2">
      <c r="B3" s="2455" t="s">
        <v>1285</v>
      </c>
      <c r="C3" s="2456"/>
      <c r="D3" s="2456"/>
      <c r="E3" s="2456"/>
      <c r="F3" s="2456"/>
      <c r="G3" s="2456"/>
      <c r="H3" s="2456"/>
      <c r="I3" s="2456"/>
      <c r="J3" s="1407"/>
    </row>
    <row r="4" spans="2:10" s="317" customFormat="1" ht="12.75" customHeight="1" x14ac:dyDescent="0.2">
      <c r="B4" s="2455" t="str">
        <f>'Single Audit Cover'!A4</f>
        <v>Year Ending June 30, 2019</v>
      </c>
      <c r="C4" s="2456"/>
      <c r="D4" s="2456"/>
      <c r="E4" s="2456"/>
      <c r="F4" s="2456"/>
      <c r="G4" s="2456"/>
      <c r="H4" s="2456"/>
      <c r="I4" s="245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5" t="s">
        <v>1284</v>
      </c>
      <c r="C7" s="2456"/>
      <c r="D7" s="2456"/>
      <c r="E7" s="2456"/>
      <c r="F7" s="2456"/>
      <c r="G7" s="2456"/>
      <c r="H7" s="2456"/>
      <c r="I7" s="245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7" t="s">
        <v>2085</v>
      </c>
      <c r="D11" s="245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8"/>
      <c r="E29" s="2458"/>
      <c r="F29" s="2458"/>
      <c r="G29" s="2458"/>
      <c r="H29" s="2458"/>
      <c r="I29" s="2458"/>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59" t="s">
        <v>1751</v>
      </c>
      <c r="D37" s="2460"/>
      <c r="E37" s="2460"/>
      <c r="F37" s="2461"/>
      <c r="G37" s="2459" t="s">
        <v>1592</v>
      </c>
      <c r="H37" s="2460"/>
      <c r="I37" s="2461"/>
    </row>
    <row r="38" spans="2:9" ht="16.5" customHeight="1" x14ac:dyDescent="0.2">
      <c r="B38" s="1428"/>
      <c r="C38" s="2447"/>
      <c r="D38" s="2448"/>
      <c r="E38" s="2448"/>
      <c r="F38" s="2449"/>
      <c r="G38" s="2462"/>
      <c r="H38" s="2463"/>
      <c r="I38" s="2464"/>
    </row>
    <row r="39" spans="2:9" ht="16.5" customHeight="1" x14ac:dyDescent="0.2">
      <c r="B39" s="1428"/>
      <c r="C39" s="2447"/>
      <c r="D39" s="2448"/>
      <c r="E39" s="2448"/>
      <c r="F39" s="2449"/>
      <c r="G39" s="2450"/>
      <c r="H39" s="2450"/>
      <c r="I39" s="2450"/>
    </row>
    <row r="40" spans="2:9" ht="16.5" customHeight="1" x14ac:dyDescent="0.2">
      <c r="B40" s="1428"/>
      <c r="C40" s="2447"/>
      <c r="D40" s="2448"/>
      <c r="E40" s="2448"/>
      <c r="F40" s="2449"/>
      <c r="G40" s="2450"/>
      <c r="H40" s="2450"/>
      <c r="I40" s="2450"/>
    </row>
    <row r="41" spans="2:9" ht="16.5" customHeight="1" x14ac:dyDescent="0.2">
      <c r="B41" s="1428"/>
      <c r="C41" s="2447"/>
      <c r="D41" s="2448"/>
      <c r="E41" s="2448"/>
      <c r="F41" s="2449"/>
      <c r="G41" s="2450"/>
      <c r="H41" s="2450"/>
      <c r="I41" s="2450"/>
    </row>
    <row r="42" spans="2:9" ht="16.5" customHeight="1" x14ac:dyDescent="0.2">
      <c r="B42" s="1428"/>
      <c r="C42" s="2447"/>
      <c r="D42" s="2448"/>
      <c r="E42" s="2448"/>
      <c r="F42" s="2449"/>
      <c r="G42" s="2450"/>
      <c r="H42" s="2450"/>
      <c r="I42" s="2450"/>
    </row>
    <row r="43" spans="2:9" ht="16.5" customHeight="1" x14ac:dyDescent="0.2">
      <c r="B43" s="1428"/>
      <c r="C43" s="2465" t="s">
        <v>1593</v>
      </c>
      <c r="D43" s="2466"/>
      <c r="E43" s="2466"/>
      <c r="F43" s="2467"/>
      <c r="G43" s="2468">
        <f>SUM(G38:I42)</f>
        <v>0</v>
      </c>
      <c r="H43" s="2468"/>
      <c r="I43" s="2468"/>
    </row>
    <row r="44" spans="2:9" ht="12.75" customHeight="1" x14ac:dyDescent="0.2"/>
    <row r="45" spans="2:9" ht="12.75" customHeight="1" x14ac:dyDescent="0.2">
      <c r="B45" s="1419" t="s">
        <v>1841</v>
      </c>
      <c r="D45" s="2469">
        <v>0</v>
      </c>
      <c r="E45" s="2470"/>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1"/>
      <c r="F49" s="2471"/>
      <c r="G49" s="247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oddFooter>&amp;L"The notes are an integral part of these statements"&amp;CPage 42</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7" sqref="B17:K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Tamaroa School Dist 5</v>
      </c>
      <c r="C1" s="2451"/>
      <c r="D1" s="2451"/>
      <c r="E1" s="2451"/>
      <c r="F1" s="2451"/>
      <c r="G1" s="2451"/>
      <c r="H1" s="2451"/>
      <c r="I1" s="2451"/>
      <c r="J1" s="2451"/>
      <c r="K1" s="2451"/>
      <c r="L1" s="1371"/>
      <c r="M1" s="1371"/>
    </row>
    <row r="2" spans="1:13" ht="12" customHeight="1" x14ac:dyDescent="0.2">
      <c r="B2" s="2453">
        <f>'Single Audit Cover'!E7</f>
        <v>30073005002</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t="s">
        <v>2085</v>
      </c>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&amp;L"The notes are an integral part of these statements"&amp;CPage 43</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4" zoomScale="110" zoomScaleNormal="110" workbookViewId="0">
      <selection activeCell="B23" sqref="B23:K2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Tamaroa School Dist 5</v>
      </c>
      <c r="C1" s="2478"/>
      <c r="D1" s="2478"/>
      <c r="E1" s="2478"/>
      <c r="F1" s="2478"/>
      <c r="G1" s="2478"/>
      <c r="H1" s="2478"/>
      <c r="I1" s="2478"/>
      <c r="J1" s="2478"/>
      <c r="K1" s="2478"/>
      <c r="L1" s="1449"/>
    </row>
    <row r="2" spans="1:12" ht="12.75" customHeight="1" x14ac:dyDescent="0.2">
      <c r="B2" s="2479">
        <f>'Single Audit Cover'!E7</f>
        <v>30073005002</v>
      </c>
      <c r="C2" s="2479"/>
      <c r="D2" s="2479"/>
      <c r="E2" s="2479"/>
      <c r="F2" s="2479"/>
      <c r="G2" s="2479"/>
      <c r="H2" s="2479"/>
      <c r="I2" s="2479"/>
      <c r="J2" s="2479"/>
      <c r="K2" s="2479"/>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0" t="s">
        <v>1308</v>
      </c>
      <c r="C6" s="2480"/>
      <c r="D6" s="2480"/>
      <c r="E6" s="2480"/>
      <c r="F6" s="2480"/>
      <c r="G6" s="2480"/>
      <c r="H6" s="2480"/>
      <c r="I6" s="2480"/>
      <c r="J6" s="2480"/>
      <c r="K6" s="2480"/>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8"/>
      <c r="G12" s="2458"/>
      <c r="H12" s="2458"/>
      <c r="I12" s="2458"/>
      <c r="J12" s="2458"/>
      <c r="K12" s="245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t="s">
        <v>2085</v>
      </c>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&amp;L"The notes are an integral part of these statements"&amp;CPage 44</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10" sqref="B1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1" t="str">
        <f>'Single Audit Cover'!A7</f>
        <v>Tamaroa School Dist 5</v>
      </c>
      <c r="C1" s="2451"/>
      <c r="D1" s="2451"/>
      <c r="E1" s="1469"/>
    </row>
    <row r="2" spans="2:5" s="1279" customFormat="1" ht="12.75" customHeight="1" x14ac:dyDescent="0.2">
      <c r="B2" s="2453">
        <f>'Single Audit Cover'!E7</f>
        <v>30073005002</v>
      </c>
      <c r="C2" s="2453"/>
      <c r="D2" s="2453"/>
      <c r="E2" s="1470"/>
    </row>
    <row r="3" spans="2:5" ht="12.75" customHeight="1" x14ac:dyDescent="0.2">
      <c r="B3" s="2474" t="s">
        <v>1766</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t="s">
        <v>2085</v>
      </c>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&amp;L"The notes are an integral part of these statements"&amp;CPage 45</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4d435f69-8686-490b-bd6d-b153bf22ab50"/>
    <ds:schemaRef ds:uri="http://purl.org/dc/elements/1.1/"/>
    <ds:schemaRef ds:uri="http://purl.org/dc/dcmitype/"/>
    <ds:schemaRef ds:uri="http://schemas.microsoft.com/sharepoint/v3"/>
    <ds:schemaRef ds:uri="http://schemas.openxmlformats.org/package/2006/metadata/core-properties"/>
    <ds:schemaRef ds:uri="http://schemas.microsoft.com/office/2006/documentManagement/types"/>
    <ds:schemaRef ds:uri="http://schemas.microsoft.com/office/2006/metadata/properties"/>
    <ds:schemaRef ds:uri="d21dc803-237d-4c68-8692-8d731fd29118"/>
    <ds:schemaRef ds:uri="http://www.w3.org/XML/1998/namespace"/>
    <ds:schemaRef ds:uri="http://schemas.microsoft.com/office/infopath/2007/PartnerControls"/>
    <ds:schemaRef ds:uri="6ce3111e-7420-4802-b50a-75d4e9a0b980"/>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2019-12-17T16:47:11Z</cp:lastPrinted>
  <dcterms:created xsi:type="dcterms:W3CDTF">2003-10-29T19:06:34Z</dcterms:created>
  <dcterms:modified xsi:type="dcterms:W3CDTF">2020-01-10T17:30:47Z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