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436E62A-91B3-43C3-AA89-1BD138BC8B94}"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 sheetId="183" r:id="rId31"/>
    <sheet name="SF&amp;QC Sec-3" sheetId="176" r:id="rId32"/>
    <sheet name="SSPAF" sheetId="177" r:id="rId33"/>
  </sheets>
  <externalReferences>
    <externalReference r:id="rId34"/>
  </externalReference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EFA">#REF!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6" i="181" l="1"/>
  <c r="G56" i="181" s="1"/>
  <c r="F58" i="181"/>
  <c r="G58" i="181" s="1"/>
  <c r="F54" i="181"/>
  <c r="G54" i="181" s="1"/>
  <c r="F48" i="18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L5" i="11" l="1"/>
  <c r="B2056" i="106" s="1"/>
  <c r="D2056" i="106" s="1"/>
  <c r="H28" i="118"/>
  <c r="H33" i="118"/>
  <c r="H29" i="118"/>
  <c r="H112" i="29"/>
  <c r="B7018" i="106" s="1"/>
  <c r="D7018" i="106" s="1"/>
  <c r="D14" i="4"/>
  <c r="B2570" i="106" s="1"/>
  <c r="D2570" i="106" s="1"/>
  <c r="G33" i="108"/>
  <c r="G39" i="108"/>
  <c r="D27" i="108"/>
  <c r="F62" i="34"/>
  <c r="D68" i="36"/>
  <c r="J22" i="37"/>
  <c r="D11" i="37"/>
  <c r="D31" i="36"/>
  <c r="L15" i="11"/>
  <c r="B3459" i="106" s="1"/>
  <c r="D3459" i="106" s="1"/>
  <c r="L22" i="37"/>
  <c r="D69" i="36"/>
  <c r="N22" i="3"/>
  <c r="B283" i="106" s="1"/>
  <c r="D283" i="106" s="1"/>
  <c r="F19" i="7"/>
  <c r="B1807" i="106" s="1"/>
  <c r="D1807" i="106" s="1"/>
  <c r="D22" i="37"/>
  <c r="F70" i="34"/>
  <c r="L13" i="11"/>
  <c r="B2060" i="106" s="1"/>
  <c r="D2060" i="106" s="1"/>
  <c r="D6103" i="106"/>
  <c r="D24" i="37"/>
  <c r="B4270" i="106" s="1"/>
  <c r="D4270" i="106" s="1"/>
  <c r="I24" i="12"/>
  <c r="F28" i="108"/>
  <c r="F14" i="4"/>
  <c r="B2597" i="106" s="1"/>
  <c r="D2597" i="106" s="1"/>
  <c r="F38" i="34"/>
  <c r="F37" i="34"/>
  <c r="F31" i="108"/>
  <c r="D54" i="36"/>
  <c r="D36" i="108"/>
  <c r="F36" i="108"/>
  <c r="B7078" i="106"/>
  <c r="D7078" i="106" s="1"/>
  <c r="E28" i="108"/>
  <c r="B7076" i="106"/>
  <c r="D7076" i="106" s="1"/>
  <c r="F26" i="108"/>
  <c r="F72" i="34"/>
  <c r="D26" i="108"/>
  <c r="B7047" i="106"/>
  <c r="D7047" i="106" s="1"/>
  <c r="H44" i="4"/>
  <c r="B3296" i="106" s="1"/>
  <c r="D3296" i="106" s="1"/>
  <c r="F34" i="34"/>
  <c r="G34" i="108"/>
  <c r="B2724" i="106"/>
  <c r="D2724" i="106" s="1"/>
  <c r="F42" i="34"/>
  <c r="B1126" i="106"/>
  <c r="D1126" i="106" s="1"/>
  <c r="E35" i="108"/>
  <c r="G35" i="108"/>
  <c r="F36" i="34"/>
  <c r="E29" i="108"/>
  <c r="E26" i="108"/>
  <c r="F50" i="34"/>
  <c r="F37" i="108"/>
  <c r="F44" i="34"/>
  <c r="G15" i="145"/>
  <c r="F71" i="34"/>
  <c r="G38" i="108"/>
  <c r="G14" i="4"/>
  <c r="B2609" i="106" s="1"/>
  <c r="D2609" i="106" s="1"/>
  <c r="D37" i="108"/>
  <c r="B1274" i="106"/>
  <c r="D1274" i="106" s="1"/>
  <c r="F46" i="34"/>
  <c r="G26" i="108"/>
  <c r="J77" i="4"/>
  <c r="B6262" i="106" s="1"/>
  <c r="D6262" i="106" s="1"/>
  <c r="J210" i="29"/>
  <c r="B7072" i="106" s="1"/>
  <c r="D7072" i="106" s="1"/>
  <c r="G29" i="108"/>
  <c r="J352" i="29"/>
  <c r="J367" i="29" s="1"/>
  <c r="B7245" i="106" s="1"/>
  <c r="D7245" i="106" s="1"/>
  <c r="E38" i="108"/>
  <c r="I129" i="29"/>
  <c r="B7037" i="106" s="1"/>
  <c r="D7037" i="106" s="1"/>
  <c r="G30" i="108"/>
  <c r="B6995" i="106"/>
  <c r="D6995" i="106" s="1"/>
  <c r="B1124" i="106"/>
  <c r="D1124" i="106" s="1"/>
  <c r="H342" i="29"/>
  <c r="B7221" i="106" s="1"/>
  <c r="D7221" i="106" s="1"/>
  <c r="E30" i="108"/>
  <c r="F49" i="34"/>
  <c r="D9" i="7"/>
  <c r="B1767" i="106" s="1"/>
  <c r="D1767" i="106" s="1"/>
  <c r="B6261" i="106"/>
  <c r="D6261" i="106" s="1"/>
  <c r="D17" i="7"/>
  <c r="B4104" i="106" s="1"/>
  <c r="D4104" i="106" s="1"/>
  <c r="F77" i="4"/>
  <c r="B3255" i="106" s="1"/>
  <c r="D3255" i="106" s="1"/>
  <c r="K76" i="4"/>
  <c r="B3586" i="106" s="1"/>
  <c r="D3586" i="106" s="1"/>
  <c r="F67" i="34"/>
  <c r="C342" i="29"/>
  <c r="B7216" i="106" s="1"/>
  <c r="D7216" i="106" s="1"/>
  <c r="I210" i="29"/>
  <c r="B7071" i="106" s="1"/>
  <c r="D7071" i="106" s="1"/>
  <c r="B4211" i="106"/>
  <c r="D4211" i="106" s="1"/>
  <c r="C352" i="29"/>
  <c r="C367" i="29" s="1"/>
  <c r="B3622" i="106" s="1"/>
  <c r="D3622" i="106" s="1"/>
  <c r="G210" i="29"/>
  <c r="K41" i="3"/>
  <c r="B3568" i="106" s="1"/>
  <c r="D3568" i="106" s="1"/>
  <c r="K184" i="29"/>
  <c r="F13" i="4" s="1"/>
  <c r="B2596" i="106" s="1"/>
  <c r="D2596" i="106" s="1"/>
  <c r="B3647" i="106"/>
  <c r="D3647" i="106" s="1"/>
  <c r="J129" i="29"/>
  <c r="B7038" i="106" s="1"/>
  <c r="D7038" i="106" s="1"/>
  <c r="B1308" i="106"/>
  <c r="D1308" i="106" s="1"/>
  <c r="E174" i="29"/>
  <c r="B1309" i="106" s="1"/>
  <c r="D1309" i="106" s="1"/>
  <c r="H365" i="29"/>
  <c r="B7242" i="106" s="1"/>
  <c r="D7242" i="106" s="1"/>
  <c r="L367" i="29"/>
  <c r="L342" i="29"/>
  <c r="C129" i="29"/>
  <c r="B1225" i="106" s="1"/>
  <c r="D1225" i="106" s="1"/>
  <c r="B281" i="106"/>
  <c r="D281" i="106" s="1"/>
  <c r="J41" i="3"/>
  <c r="D51" i="36" s="1"/>
  <c r="H76" i="4"/>
  <c r="B3298" i="106" s="1"/>
  <c r="D3298" i="106" s="1"/>
  <c r="B3254" i="106"/>
  <c r="D325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1" i="106" l="1"/>
  <c r="D7253" i="106"/>
  <c r="K28" i="118"/>
  <c r="O27" i="118" s="1"/>
  <c r="O29" i="118" s="1"/>
  <c r="D7255" i="106"/>
  <c r="N23" i="3"/>
  <c r="B284" i="106" s="1"/>
  <c r="D284" i="106" s="1"/>
  <c r="L16" i="11"/>
  <c r="B2061" i="106" s="1"/>
  <c r="D2061" i="106" s="1"/>
  <c r="D7256" i="106"/>
  <c r="I26" i="12"/>
  <c r="B7741" i="106" s="1"/>
  <c r="D7741" i="106" s="1"/>
  <c r="B1996" i="106"/>
  <c r="D1996" i="106" s="1"/>
  <c r="D41" i="108"/>
  <c r="E43" i="108" s="1"/>
  <c r="B5527" i="106"/>
  <c r="D5527" i="106" s="1"/>
  <c r="L114" i="29"/>
  <c r="B7215" i="106"/>
  <c r="D7215" i="106" s="1"/>
  <c r="F41" i="108"/>
  <c r="G43" i="108" s="1"/>
  <c r="J151" i="29"/>
  <c r="B7052" i="106" s="1"/>
  <c r="D7052" i="106" s="1"/>
  <c r="I151" i="29"/>
  <c r="F59" i="34" s="1"/>
  <c r="F66" i="34"/>
  <c r="B3621" i="106"/>
  <c r="D3621" i="106" s="1"/>
  <c r="B7235" i="106"/>
  <c r="D7235" i="106" s="1"/>
  <c r="K365" i="29"/>
  <c r="K16" i="4" s="1"/>
  <c r="C151" i="29"/>
  <c r="B1226" i="106" s="1"/>
  <c r="D1226" i="106" s="1"/>
  <c r="C114" i="29"/>
  <c r="B757" i="106" s="1"/>
  <c r="D757" i="106" s="1"/>
  <c r="K342" i="29"/>
  <c r="F13" i="34" s="1"/>
  <c r="B1381" i="106"/>
  <c r="D1381" i="106" s="1"/>
  <c r="K77" i="4"/>
  <c r="B3587" i="106" s="1"/>
  <c r="D3587" i="106" s="1"/>
  <c r="I7" i="4"/>
  <c r="B4444" i="106" s="1"/>
  <c r="D4444" i="106" s="1"/>
  <c r="H77" i="4"/>
  <c r="B3299" i="106" s="1"/>
  <c r="D3299" i="106" s="1"/>
  <c r="B6216" i="106"/>
  <c r="D6216" i="106" s="1"/>
  <c r="B1365" i="106"/>
  <c r="D1365" i="106" s="1"/>
  <c r="F65" i="34"/>
  <c r="B1317" i="106"/>
  <c r="D1317" i="106" s="1"/>
  <c r="D44" i="36"/>
  <c r="D52" i="36"/>
  <c r="G170" i="5"/>
  <c r="B5778" i="106" s="1"/>
  <c r="D5778" i="106" s="1"/>
  <c r="F174" i="34"/>
  <c r="B1328" i="106"/>
  <c r="D1328" i="106" s="1"/>
  <c r="H151" i="29"/>
  <c r="B1273" i="106" s="1"/>
  <c r="D1273"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051" i="106"/>
  <c r="D7051" i="106" s="1"/>
  <c r="B7243" i="106"/>
  <c r="D7243" i="106" s="1"/>
  <c r="K367" i="29"/>
  <c r="B3678" i="106" s="1"/>
  <c r="D3678" i="106" s="1"/>
  <c r="B7224" i="106"/>
  <c r="D7224" i="106" s="1"/>
  <c r="B1145" i="106"/>
  <c r="D1145" i="106" s="1"/>
  <c r="G6" i="4"/>
  <c r="B2604" i="106" s="1"/>
  <c r="D260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K17" i="4"/>
  <c r="B3575" i="106" s="1"/>
  <c r="D3575" i="106" s="1"/>
  <c r="J10" i="4"/>
  <c r="B6225" i="106" s="1"/>
  <c r="D6225" i="106" s="1"/>
  <c r="J19" i="4"/>
  <c r="B6229" i="106" s="1"/>
  <c r="D6229"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20" i="4"/>
  <c r="B3576" i="106" s="1"/>
  <c r="D3576" i="106" s="1"/>
  <c r="K19" i="4"/>
  <c r="B4144" i="106" s="1"/>
  <c r="D4144"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175" i="34" l="1"/>
  <c r="F79" i="34"/>
  <c r="F8" i="146"/>
  <c r="K78" i="4"/>
  <c r="K81" i="4" s="1"/>
  <c r="D78" i="4"/>
  <c r="D81" i="4" s="1"/>
  <c r="D10" i="146"/>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B3588" i="106" l="1"/>
  <c r="D3588" i="106" s="1"/>
  <c r="F177" i="34"/>
  <c r="F179" i="34"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<sst xmlns="http://schemas.openxmlformats.org/spreadsheetml/2006/main" count="5233" uniqueCount="2170">
  <si>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</si>
  <si>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</si>
  <si>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</si>
  <si>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</si>
  <si>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</si>
  <si>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</si>
  <si>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</si>
  <si>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</si>
  <si>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</si>
  <si>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</si>
  <si>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</si>
  <si>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</si>
  <si>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</si>
  <si>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</si>
  <si>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</si>
  <si>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</si>
  <si>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</si>
  <si>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</si>
  <si>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</si>
  <si>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</si>
  <si>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</si>
  <si>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</si>
  <si>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</si>
  <si>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</si>
  <si>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</si>
  <si>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</si>
  <si>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</si>
  <si>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</si>
  <si>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</si>
  <si>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</si>
  <si>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</si>
  <si>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</si>
  <si>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</si>
  <si>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</si>
  <si>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</si>
  <si>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</si>
  <si>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</si>
  <si>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</si>
  <si>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</si>
  <si>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</si>
  <si>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</si>
  <si>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</si>
  <si>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</si>
  <si>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</si>
  <si>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</si>
  <si>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</si>
  <si>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</si>
  <si>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</si>
  <si>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</si>
  <si>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</si>
  <si>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</si>
  <si>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</si>
  <si>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</si>
  <si>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</si>
  <si>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</si>
  <si>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</si>
  <si>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</si>
  <si>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</si>
  <si>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</si>
  <si>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</si>
  <si>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</si>
  <si>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</si>
  <si>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</si>
  <si>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</si>
  <si>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</si>
  <si>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</si>
  <si>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</si>
  <si>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</si>
  <si>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</si>
  <si>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</si>
  <si>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</si>
  <si>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</si>
  <si>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</si>
  <si>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</si>
  <si>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</si>
  <si>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</si>
  <si>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</si>
  <si>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</si>
  <si>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</si>
  <si>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</si>
  <si>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</si>
  <si>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</si>
  <si>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</si>
  <si>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</si>
  <si>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</si>
  <si>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</si>
  <si>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</si>
  <si>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</si>
  <si>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</si>
  <si>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</si>
  <si>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</si>
  <si>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</si>
  <si>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</si>
  <si>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</si>
  <si>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</si>
  <si>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</si>
  <si>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</si>
  <si>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</si>
  <si>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</si>
  <si>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</si>
  <si>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</si>
  <si>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</si>
  <si>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</si>
  <si>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</si>
  <si>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</si>
  <si>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</si>
  <si>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</si>
  <si>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</si>
  <si>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</si>
  <si>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</si>
  <si>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</si>
  <si>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</si>
  <si>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</si>
  <si>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</si>
  <si>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</si>
  <si>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</si>
  <si>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</si>
  <si>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</si>
  <si>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</si>
  <si>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</si>
  <si>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</si>
  <si>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</si>
  <si>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</si>
  <si>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</si>
  <si>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</si>
  <si>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</si>
  <si>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</si>
  <si>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</si>
  <si>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</si>
  <si>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</si>
  <si>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</si>
  <si>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</si>
  <si>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</si>
  <si>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</si>
  <si>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</si>
  <si>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</si>
  <si>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</si>
  <si>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</si>
  <si>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</si>
  <si>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</si>
  <si>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</si>
  <si>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</si>
  <si>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</si>
  <si>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</si>
  <si>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</si>
  <si>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</si>
  <si>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</si>
  <si>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</si>
  <si>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</si>
  <si>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</si>
  <si>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</si>
  <si>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</si>
  <si>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</si>
  <si>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</si>
  <si>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</si>
  <si>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</si>
  <si>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</si>
  <si>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</si>
  <si>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</si>
  <si>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</si>
  <si>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</si>
  <si>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</si>
  <si>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</si>
  <si>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</si>
  <si>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</si>
  <si>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</si>
  <si>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</si>
  <si>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</si>
  <si>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</si>
  <si>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</si>
  <si>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</si>
  <si>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</si>
  <si>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</si>
  <si>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</si>
  <si>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</si>
  <si>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</si>
  <si>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</si>
  <si>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</si>
  <si>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</si>
  <si>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</si>
  <si>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</si>
  <si>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</si>
  <si>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</si>
  <si>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</si>
  <si>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</si>
  <si>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</si>
  <si>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</si>
  <si>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</si>
  <si>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</si>
  <si>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</si>
  <si>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</si>
  <si>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</si>
  <si>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</si>
  <si>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</si>
  <si>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</si>
  <si>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</si>
  <si>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</si>
  <si>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</si>
  <si>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</si>
  <si>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</si>
  <si>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</si>
  <si>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</si>
  <si>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</si>
  <si>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</si>
  <si>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</si>
  <si>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</si>
  <si>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</si>
  <si>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</si>
  <si>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</si>
  <si>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</si>
  <si>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</si>
  <si>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</si>
  <si>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</si>
  <si>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</si>
  <si>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</si>
  <si>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</si>
  <si>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</si>
  <si>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</si>
  <si>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</si>
  <si>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</si>
  <si>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</si>
  <si>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</si>
  <si>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</si>
  <si>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</si>
  <si>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</si>
  <si>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</si>
  <si>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</si>
  <si>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</si>
  <si>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</si>
  <si>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</si>
  <si>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</si>
  <si>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</si>
  <si>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</si>
  <si>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</si>
  <si>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</si>
  <si>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</si>
  <si>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</si>
  <si>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</si>
  <si>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</si>
  <si>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</si>
  <si>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</si>
  <si>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</si>
  <si>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</si>
  <si>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</si>
  <si>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</si>
  <si>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</si>
  <si>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</si>
  <si>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</si>
  <si>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</si>
  <si>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</si>
  <si>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</si>
  <si>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</si>
  <si>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</si>
  <si>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</si>
  <si>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</si>
  <si>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</si>
  <si>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</si>
  <si>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</si>
  <si>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</si>
  <si>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</si>
  <si>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</si>
  <si>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</si>
  <si>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</si>
  <si>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</si>
  <si>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</si>
  <si>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</si>
  <si>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</si>
  <si>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</si>
  <si>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</si>
  <si>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</si>
  <si>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</si>
  <si>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</si>
  <si>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</si>
  <si>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</si>
  <si>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</si>
  <si>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</si>
  <si>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</si>
  <si>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</si>
  <si>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</si>
  <si>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</si>
  <si>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</si>
  <si>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</si>
  <si>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</si>
  <si>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</si>
  <si>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</si>
  <si>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</si>
  <si>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</si>
  <si>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</si>
  <si>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</si>
  <si>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</si>
  <si>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</si>
  <si>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</si>
  <si>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</si>
  <si>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</si>
  <si>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</si>
  <si>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</si>
  <si>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</si>
  <si>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</si>
  <si>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</si>
  <si>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</si>
  <si>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</si>
  <si>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</si>
  <si>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</si>
  <si>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</si>
  <si>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</si>
  <si>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</si>
  <si>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</si>
  <si>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</si>
  <si>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</si>
  <si>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</si>
  <si>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</si>
  <si>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</si>
  <si>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</si>
  <si>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</si>
  <si>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</si>
  <si>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</si>
  <si>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</si>
  <si>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</si>
  <si>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</si>
  <si>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</si>
  <si>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</si>
  <si>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</si>
  <si>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</si>
  <si>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</si>
  <si>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</si>
  <si>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</si>
  <si>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</si>
  <si>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</si>
  <si>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</si>
  <si>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</si>
  <si>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</si>
  <si>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</si>
  <si>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</si>
  <si>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</si>
  <si>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</si>
  <si>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</si>
  <si>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</si>
  <si>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</si>
  <si>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</si>
  <si>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</si>
  <si>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</si>
  <si>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</si>
  <si>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</si>
  <si>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</si>
  <si>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</si>
  <si>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</si>
  <si>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</si>
  <si>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</si>
  <si>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</si>
  <si>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</si>
  <si>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</si>
  <si>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</si>
  <si>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</si>
  <si>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</si>
  <si>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</si>
  <si>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</si>
  <si>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</si>
  <si>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</si>
  <si>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</si>
  <si>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</si>
  <si>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</si>
  <si>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</si>
  <si>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</si>
  <si>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</si>
  <si>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</si>
  <si>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</si>
  <si>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</si>
  <si>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</si>
  <si>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</si>
  <si>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</si>
  <si>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</si>
  <si>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</si>
  <si>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</si>
  <si>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</si>
  <si>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</si>
  <si>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</si>
  <si>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</si>
  <si>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</si>
  <si>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</si>
  <si>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</si>
  <si>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</si>
  <si>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</si>
  <si>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</si>
  <si>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</si>
  <si>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</si>
  <si>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</si>
  <si>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</si>
  <si>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</si>
  <si>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</si>
  <si>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</si>
  <si>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</si>
  <si>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</si>
  <si>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</si>
  <si>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</si>
  <si>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</si>
  <si>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</si>
  <si>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</si>
  <si>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</si>
  <si>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</si>
  <si>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</si>
  <si>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</si>
  <si>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</si>
  <si>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</si>
  <si>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</si>
  <si>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</si>
  <si>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</si>
  <si>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</si>
  <si>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</si>
  <si>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</si>
  <si>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</si>
  <si>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</si>
  <si>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</si>
  <si>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</si>
  <si>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</si>
  <si>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</si>
  <si>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</si>
  <si>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</si>
  <si>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</si>
  <si>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</si>
  <si>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</si>
  <si>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</si>
  <si>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</si>
  <si>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</si>
  <si>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</si>
  <si>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</si>
  <si>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</si>
  <si>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</si>
  <si>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</si>
  <si>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</si>
  <si>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</si>
  <si>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</si>
  <si>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</si>
  <si>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</si>
  <si>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</si>
  <si>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</si>
  <si>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</si>
  <si>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</si>
  <si>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</si>
  <si>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</si>
  <si>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</si>
  <si>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</si>
  <si>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</si>
  <si>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</si>
  <si>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</si>
  <si>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</si>
  <si>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</si>
  <si>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</si>
  <si>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</si>
  <si>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</si>
  <si>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</si>
  <si>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</si>
  <si>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</si>
  <si>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</si>
  <si>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</si>
  <si>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</si>
  <si>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</si>
  <si>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</si>
  <si>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</si>
  <si>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</si>
  <si>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</si>
  <si>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</si>
  <si>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</si>
  <si>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</si>
  <si>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</si>
  <si>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</si>
  <si>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</si>
  <si>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</si>
  <si>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</si>
  <si>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</si>
  <si>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</si>
  <si>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</si>
  <si>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</si>
  <si>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</si>
  <si>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</si>
  <si>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</si>
  <si>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</si>
  <si>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</si>
  <si>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</si>
  <si>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</si>
  <si>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</si>
  <si>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</si>
  <si>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</si>
  <si>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</si>
  <si>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</si>
  <si>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</si>
  <si>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</si>
  <si>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</si>
  <si>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</si>
  <si>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</si>
  <si>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</si>
  <si>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</si>
  <si>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</si>
  <si>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</si>
  <si>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</si>
  <si>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</si>
  <si>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</si>
  <si>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</si>
  <si>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</si>
  <si>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</si>
  <si>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</si>
  <si>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</si>
  <si>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</si>
  <si>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</si>
  <si>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</si>
  <si>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</si>
  <si>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</si>
  <si>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</si>
  <si>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</si>
  <si>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</si>
  <si>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</si>
  <si>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</si>
  <si>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</si>
  <si>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</si>
  <si>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</si>
  <si>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</si>
  <si>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</si>
  <si>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</si>
  <si>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</si>
  <si>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</si>
  <si>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</si>
  <si>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</si>
  <si>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</si>
  <si>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</si>
  <si>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</si>
  <si>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</si>
  <si>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</si>
  <si>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</si>
  <si>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</si>
  <si>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</si>
  <si>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</si>
  <si>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</si>
  <si>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</si>
  <si>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</si>
  <si>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</si>
  <si>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</si>
  <si>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</si>
  <si>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</si>
  <si>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</si>
  <si>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</si>
  <si>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</si>
  <si>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</si>
  <si>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</si>
  <si>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</si>
  <si>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</si>
  <si>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</si>
  <si>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</si>
  <si>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</si>
  <si>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</si>
  <si>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</si>
  <si>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</si>
  <si>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</si>
  <si>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</si>
  <si>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</si>
  <si>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</si>
  <si>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</si>
  <si>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</si>
  <si>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</si>
  <si>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</si>
  <si>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</si>
  <si>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</si>
  <si>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</si>
  <si>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</si>
  <si>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</si>
  <si>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</si>
  <si>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</si>
  <si>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</si>
  <si>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</si>
  <si>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</si>
  <si>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</si>
  <si>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</si>
  <si>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</si>
  <si>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</si>
  <si>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</si>
  <si>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</si>
  <si>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</si>
  <si>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</si>
  <si>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</si>
  <si>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</si>
  <si>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</si>
  <si>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</si>
  <si>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</si>
  <si>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</si>
  <si>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</si>
  <si>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</si>
  <si>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</si>
  <si>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</si>
  <si>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</si>
  <si>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</si>
  <si>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</si>
  <si>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</si>
  <si>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</si>
  <si>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</si>
  <si>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</si>
  <si>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</si>
  <si>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</si>
  <si>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</si>
  <si>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</si>
  <si>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</si>
  <si>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</si>
  <si>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</si>
  <si>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</si>
  <si>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</si>
  <si>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</si>
  <si>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</si>
  <si>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</si>
  <si>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</si>
  <si>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</si>
  <si>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</si>
  <si>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</si>
  <si>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</si>
  <si>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</si>
  <si>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</si>
  <si>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</si>
  <si>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</si>
  <si>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</si>
  <si>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</si>
  <si>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</si>
  <si>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</si>
  <si>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</si>
  <si>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</si>
  <si>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</si>
  <si>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</si>
  <si>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</si>
  <si>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</si>
  <si>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</si>
  <si>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</si>
  <si>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</si>
  <si>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</si>
  <si>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</si>
  <si>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</si>
  <si>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</si>
  <si>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</si>
  <si>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</si>
  <si>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</si>
  <si>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</si>
  <si>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</si>
  <si>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</si>
  <si>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</si>
  <si>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</si>
  <si>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</si>
  <si>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</si>
  <si>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</si>
  <si>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</si>
  <si>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</si>
  <si>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</si>
  <si>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</si>
  <si>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</si>
  <si>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</si>
  <si>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</si>
  <si>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</si>
  <si>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</si>
  <si>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</si>
  <si>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</si>
  <si>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</si>
  <si>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</si>
  <si>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</si>
  <si>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</si>
  <si>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</si>
  <si>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</si>
  <si>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</si>
  <si>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</si>
  <si>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</si>
  <si>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</si>
  <si>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</si>
  <si>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</si>
  <si>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</si>
  <si>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</si>
  <si>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</si>
  <si>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</si>
  <si>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</si>
  <si>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</si>
  <si>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</si>
  <si>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</si>
  <si>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</si>
  <si>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</si>
  <si>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</si>
  <si>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</si>
  <si>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</si>
  <si>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</si>
  <si>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</si>
  <si>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</si>
  <si>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</si>
  <si>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</si>
  <si>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</si>
  <si>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</si>
  <si>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</si>
  <si>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</si>
  <si>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</si>
  <si>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</si>
  <si>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</si>
  <si>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</si>
  <si>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</si>
  <si>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</si>
  <si>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</si>
  <si>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</si>
  <si>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</si>
  <si>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</si>
  <si>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</si>
  <si>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</si>
  <si>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</si>
  <si>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</si>
  <si>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</si>
  <si>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</si>
  <si>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</si>
  <si>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</si>
  <si>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</si>
  <si>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</si>
  <si>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</si>
  <si>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</si>
  <si>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</si>
  <si>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</si>
  <si>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</si>
  <si>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</si>
  <si>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</si>
  <si>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</si>
  <si>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</si>
  <si>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</si>
  <si>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</si>
  <si>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</si>
  <si>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</si>
  <si>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</si>
  <si>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</si>
  <si>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</si>
  <si>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</si>
  <si>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</si>
  <si>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</si>
  <si>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</si>
  <si>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</si>
  <si>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</si>
  <si>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</si>
  <si>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</si>
  <si>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</si>
  <si>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</si>
  <si>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</si>
  <si>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</si>
  <si>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</si>
  <si>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</si>
  <si>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</si>
  <si>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</si>
  <si>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</si>
  <si>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</si>
  <si>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</si>
  <si>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</si>
  <si>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</si>
  <si>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</si>
  <si>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</si>
  <si>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</si>
  <si>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</si>
  <si>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</si>
  <si>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</si>
  <si>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</si>
  <si>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</si>
  <si>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</si>
  <si>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</si>
  <si>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</si>
  <si>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</si>
  <si>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</si>
  <si>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</si>
  <si>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</si>
  <si>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</si>
  <si>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</si>
  <si>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</si>
  <si>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</si>
  <si>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</si>
  <si>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</si>
  <si>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</si>
  <si>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</si>
  <si>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</si>
  <si>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</si>
  <si>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</si>
  <si>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</si>
  <si>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</si>
  <si>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</si>
  <si>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</si>
  <si>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</si>
  <si>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</si>
  <si>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</si>
  <si>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</si>
  <si>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</si>
  <si>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</si>
  <si>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</si>
  <si>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</si>
  <si>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</si>
  <si>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</si>
  <si>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</si>
  <si>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</si>
  <si>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</si>
  <si>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</si>
  <si>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</si>
  <si>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</si>
  <si>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</si>
  <si>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</si>
  <si>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</si>
  <si>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</si>
  <si>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</si>
  <si>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</si>
  <si>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</si>
  <si>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</si>
  <si>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</si>
  <si>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</si>
  <si>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</si>
  <si>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</si>
  <si>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</si>
  <si>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</si>
  <si>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</si>
  <si>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</si>
  <si>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</si>
  <si>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</si>
  <si>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</si>
  <si>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</si>
  <si>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</si>
  <si>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</si>
  <si>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</si>
  <si>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</si>
  <si>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</si>
  <si>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</si>
  <si>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</si>
  <si>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</si>
  <si>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</si>
  <si>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</si>
  <si>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</si>
  <si>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</si>
  <si>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</si>
  <si>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</si>
  <si>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</si>
  <si>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</si>
  <si>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</si>
  <si>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</si>
  <si>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</si>
  <si>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</si>
  <si>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</si>
  <si>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</si>
  <si>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</si>
  <si>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</si>
  <si>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</si>
  <si>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</si>
  <si>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</si>
  <si>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</si>
  <si>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</si>
  <si>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</si>
  <si>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</si>
  <si>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</si>
  <si>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</si>
  <si>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</si>
  <si>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</si>
  <si>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</si>
  <si>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</si>
  <si>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</si>
  <si>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</si>
  <si>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</si>
  <si>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</si>
  <si>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</si>
  <si>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</si>
  <si>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</si>
  <si>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</si>
  <si>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</si>
  <si>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</si>
  <si>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</si>
  <si>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</si>
  <si>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</si>
  <si>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</si>
  <si>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</si>
  <si>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</si>
  <si>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</si>
  <si>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</si>
  <si>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</si>
  <si>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</si>
  <si>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</si>
  <si>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</si>
  <si>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</si>
  <si>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</si>
  <si>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</si>
  <si>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</si>
  <si>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</si>
  <si>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</si>
  <si>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</si>
  <si>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</si>
  <si>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</si>
  <si>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</si>
  <si>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</si>
  <si>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</si>
  <si>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</si>
  <si>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</si>
  <si>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</si>
  <si>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</si>
  <si>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</si>
  <si>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</si>
  <si>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</si>
  <si>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</si>
  <si>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</si>
  <si>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</si>
  <si>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</si>
  <si>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</si>
  <si>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</si>
  <si>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</si>
  <si>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</si>
  <si>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</si>
  <si>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</si>
  <si>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</si>
  <si>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</si>
  <si>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</si>
  <si>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</si>
  <si>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</si>
  <si>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</si>
  <si>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</si>
  <si>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</si>
  <si>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</si>
  <si>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</si>
  <si>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</si>
  <si>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</si>
  <si>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</si>
  <si>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</si>
  <si>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</si>
  <si>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</si>
  <si>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</si>
  <si>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</si>
  <si>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</si>
  <si>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</si>
  <si>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</si>
  <si>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</si>
  <si>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</si>
  <si>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</si>
  <si>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</si>
  <si>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</si>
  <si>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</si>
  <si>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</si>
  <si>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</si>
  <si>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</si>
  <si>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</si>
  <si>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</si>
  <si>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</si>
  <si>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</si>
  <si>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</si>
  <si>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</si>
  <si>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</si>
  <si>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</si>
  <si>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</si>
  <si>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</si>
  <si>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</si>
  <si>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</si>
  <si>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</si>
  <si>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</si>
  <si>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</si>
  <si>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</si>
  <si>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</si>
  <si>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</si>
  <si>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</si>
  <si>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</si>
  <si>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</si>
  <si>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</si>
  <si>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</si>
  <si>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</si>
  <si>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</si>
  <si>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</si>
  <si>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</si>
  <si>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</si>
  <si>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</si>
  <si>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</si>
  <si>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</si>
  <si>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</si>
  <si>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</si>
  <si>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</si>
  <si>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</si>
  <si>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</si>
  <si>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</si>
  <si>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</si>
  <si>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</si>
  <si>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</si>
  <si>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</si>
  <si>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</si>
  <si>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</si>
  <si>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</si>
  <si>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</si>
  <si>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</si>
  <si>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</si>
  <si>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</si>
  <si>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</si>
  <si>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</si>
  <si>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</si>
  <si>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</si>
  <si>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</si>
  <si>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</si>
  <si>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</si>
  <si>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</si>
  <si>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</si>
  <si>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</si>
  <si>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</si>
  <si>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</si>
  <si>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</si>
  <si>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</si>
  <si>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</si>
  <si>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</si>
  <si>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</si>
  <si>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</si>
  <si>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</si>
  <si>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</si>
  <si>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</si>
  <si>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</si>
  <si>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</si>
  <si>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</si>
  <si>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</si>
  <si>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</si>
  <si>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</si>
  <si>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</si>
  <si>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</si>
  <si>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</si>
  <si>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</si>
  <si>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</si>
  <si>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</si>
  <si>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</si>
  <si>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</si>
  <si>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</si>
  <si>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</si>
  <si>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</si>
  <si>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</si>
  <si>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</si>
  <si>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</si>
  <si>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</si>
  <si>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</si>
  <si>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</si>
  <si>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</si>
  <si>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</si>
  <si>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</si>
  <si>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</si>
  <si>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</si>
  <si>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</si>
  <si>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</si>
  <si>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</si>
  <si>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</si>
  <si>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</si>
  <si>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</si>
  <si>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</si>
  <si>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</si>
  <si>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</si>
  <si>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</si>
  <si>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</si>
  <si>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</si>
  <si>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</si>
  <si>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</si>
  <si>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</si>
  <si>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</si>
  <si>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</si>
  <si>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</si>
  <si>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</si>
  <si>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</si>
  <si>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</si>
  <si>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</si>
  <si>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</si>
  <si>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</si>
  <si>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</si>
  <si>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</si>
  <si>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</si>
  <si>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</si>
  <si>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</si>
  <si>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</si>
  <si>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</si>
  <si>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</si>
  <si>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</si>
  <si>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</si>
  <si>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</si>
  <si>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</si>
  <si>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</si>
  <si>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</si>
  <si>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</si>
  <si>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</si>
  <si>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</si>
  <si>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</si>
  <si>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</si>
  <si>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</si>
  <si>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</si>
  <si>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</si>
  <si>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</si>
  <si>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</si>
  <si>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</si>
  <si>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</si>
  <si>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</si>
  <si>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</si>
  <si>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</si>
  <si>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</si>
  <si>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</si>
  <si>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</si>
  <si>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</si>
  <si>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</si>
  <si>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</si>
  <si>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</si>
  <si>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</si>
  <si>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</si>
  <si>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</si>
  <si>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</si>
  <si>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</si>
  <si>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</si>
  <si>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</si>
  <si>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</si>
  <si>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</si>
  <si>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</si>
  <si>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</si>
  <si>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</si>
  <si>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</si>
  <si>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</si>
  <si>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</si>
  <si>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</si>
  <si>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</si>
  <si>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</si>
  <si>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</si>
  <si>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</si>
  <si>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</si>
  <si>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</si>
  <si>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</si>
  <si>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</si>
  <si>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</si>
  <si>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</si>
  <si>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</si>
  <si>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</si>
  <si>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</si>
  <si>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</si>
  <si>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</si>
  <si>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</si>
  <si>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</si>
  <si>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</si>
  <si>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</si>
  <si>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</si>
  <si>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</si>
  <si>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</si>
  <si>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</si>
  <si>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</si>
  <si>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</si>
  <si>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</si>
  <si>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</si>
  <si>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</si>
  <si>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</si>
  <si>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</si>
  <si>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</si>
  <si>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</si>
  <si>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</si>
  <si>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</si>
  <si>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</si>
  <si>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</si>
  <si>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</si>
  <si>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</si>
  <si>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</si>
  <si>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</si>
  <si>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</si>
  <si>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</si>
  <si>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</si>
  <si>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</si>
  <si>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</si>
  <si>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</si>
  <si>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</si>
  <si>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</si>
  <si>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</si>
  <si>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</si>
  <si>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</si>
  <si>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</si>
  <si>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</si>
  <si>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</si>
  <si>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</si>
  <si>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</si>
  <si>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</si>
  <si>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</si>
  <si>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</si>
  <si>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</si>
  <si>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</si>
  <si>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</si>
  <si>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</si>
  <si>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</si>
  <si>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</si>
  <si>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</si>
  <si>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</si>
  <si>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</si>
  <si>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</si>
  <si>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</si>
  <si>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</si>
  <si>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</si>
  <si>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</si>
  <si>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</si>
  <si>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</si>
  <si>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</si>
  <si>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</si>
  <si>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</si>
  <si>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</si>
  <si>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</si>
  <si>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</si>
  <si>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</si>
  <si>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</si>
  <si>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</si>
  <si>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</si>
  <si>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</si>
  <si>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</si>
  <si>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</si>
  <si>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</si>
  <si>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</si>
  <si>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</si>
  <si>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</si>
  <si>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</si>
  <si>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</si>
  <si>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</si>
  <si>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</si>
  <si>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</si>
  <si>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</si>
  <si>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</si>
  <si>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</si>
  <si>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</si>
  <si>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</si>
  <si>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</si>
  <si>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</si>
  <si>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</si>
  <si>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</si>
  <si>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</si>
  <si>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</si>
  <si>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</si>
  <si>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</si>
  <si>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</si>
  <si>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</si>
  <si>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</si>
  <si>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</si>
  <si>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</si>
  <si>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</si>
  <si>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</si>
  <si>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</si>
  <si>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</si>
  <si>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</si>
  <si>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</si>
  <si>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</si>
  <si>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</si>
  <si>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</si>
  <si>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</si>
  <si>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</si>
  <si>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</si>
  <si>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</si>
  <si>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</si>
  <si>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</si>
  <si>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</si>
  <si>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</si>
  <si>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</si>
  <si>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</si>
  <si>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</si>
  <si>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</si>
  <si>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</si>
  <si>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</si>
  <si>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</si>
  <si>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</si>
  <si>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</si>
  <si>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</si>
  <si>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</si>
  <si>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</si>
  <si>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</si>
  <si>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</si>
  <si>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</si>
  <si>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</si>
  <si>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</si>
  <si>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</si>
  <si>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</si>
  <si>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</si>
  <si>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</si>
  <si>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</si>
  <si>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</si>
  <si>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</si>
  <si>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</si>
  <si>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</si>
  <si>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</si>
  <si>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</si>
  <si>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</si>
  <si>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</si>
  <si>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</si>
  <si>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</si>
  <si>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</si>
  <si>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</si>
  <si>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</si>
  <si>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</si>
  <si>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</si>
  <si>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</si>
  <si>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</si>
  <si>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</si>
  <si>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</si>
  <si>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</si>
  <si>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</si>
  <si>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</si>
  <si>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</si>
  <si>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</si>
  <si>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</si>
  <si>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</si>
  <si>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</si>
  <si>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</si>
  <si>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</si>
  <si>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</si>
  <si>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</si>
  <si>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</si>
  <si>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</si>
  <si>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</si>
  <si>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</si>
  <si>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</si>
  <si>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</si>
  <si>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</si>
  <si>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</si>
  <si>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</si>
  <si>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</si>
  <si>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</si>
  <si>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</si>
  <si>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</si>
  <si>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</si>
  <si>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</si>
  <si>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</si>
  <si>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</si>
  <si>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</si>
  <si>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</si>
  <si>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</si>
  <si>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</si>
  <si>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</si>
  <si>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</si>
  <si>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</si>
  <si>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</si>
  <si>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</si>
  <si>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</si>
  <si>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</si>
  <si>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</si>
  <si>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</si>
  <si>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</si>
  <si>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</si>
  <si>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</si>
  <si>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</si>
  <si>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</si>
  <si>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</si>
  <si>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</si>
  <si>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</si>
  <si>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</si>
  <si>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</si>
  <si>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</si>
  <si>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</si>
  <si>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</si>
  <si>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</si>
  <si>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</si>
  <si>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</si>
  <si>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</si>
  <si>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</si>
  <si>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</si>
  <si>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</si>
  <si>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</si>
  <si>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</si>
  <si>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</si>
  <si>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</si>
  <si>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</si>
  <si>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</si>
  <si>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</si>
  <si>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</si>
  <si>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</si>
  <si>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</si>
  <si>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</si>
  <si>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</si>
  <si>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</si>
  <si>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</si>
  <si>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</si>
  <si>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</si>
  <si>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</si>
  <si>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</si>
  <si>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</si>
  <si>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</si>
  <si>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</si>
  <si>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</si>
  <si>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</si>
  <si>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</si>
  <si>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</si>
  <si>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</si>
  <si>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</si>
  <si>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</si>
  <si>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</si>
  <si>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</si>
  <si>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</si>
  <si>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</si>
  <si>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</si>
  <si>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</si>
  <si>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</si>
  <si>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</si>
  <si>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</si>
  <si>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</si>
  <si>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</si>
  <si>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</si>
  <si>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</si>
  <si>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</si>
  <si>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</si>
  <si>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</si>
  <si>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</si>
  <si>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</si>
  <si>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</si>
  <si>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</si>
  <si>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</si>
  <si>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</si>
  <si>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</si>
  <si>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</si>
  <si>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</si>
  <si>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</si>
  <si>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</si>
  <si>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</si>
  <si>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</si>
  <si>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</si>
  <si>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</si>
  <si>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</si>
  <si>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</si>
  <si>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</si>
  <si>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</si>
  <si>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</si>
  <si>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</si>
  <si>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</si>
  <si>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</si>
  <si>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</si>
  <si>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</si>
  <si>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</si>
  <si>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</si>
  <si>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</si>
  <si>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</si>
  <si>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</si>
  <si>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</si>
  <si>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</si>
  <si>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</si>
  <si>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</si>
  <si>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</si>
  <si>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</si>
  <si>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</si>
  <si>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</si>
  <si>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</si>
  <si>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</si>
  <si>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</si>
  <si>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</si>
  <si>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</si>
  <si>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</si>
  <si>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</si>
  <si>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</si>
  <si>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</si>
  <si>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</si>
  <si>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</si>
  <si>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</si>
  <si>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</si>
  <si>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</si>
  <si>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</si>
  <si>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</si>
  <si>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</si>
  <si>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</si>
  <si>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</si>
  <si>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</si>
  <si>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</si>
  <si>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</si>
  <si>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</si>
  <si>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</si>
  <si>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</si>
  <si>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</si>
  <si>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</si>
  <si>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</si>
  <si>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</si>
  <si>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</si>
  <si>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</si>
  <si>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</si>
  <si>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</si>
  <si>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</si>
  <si>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</si>
  <si>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</si>
  <si>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</si>
  <si>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</si>
  <si>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</si>
  <si>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</si>
  <si>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</si>
  <si>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</si>
  <si>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</si>
  <si>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</si>
  <si>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</si>
  <si>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</si>
  <si>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</si>
  <si>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</si>
  <si>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</si>
  <si>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</si>
  <si>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</si>
  <si>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</si>
  <si>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</si>
  <si>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</si>
  <si>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</si>
  <si>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</si>
  <si>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</si>
  <si>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</si>
  <si>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</si>
  <si>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</si>
  <si>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</si>
  <si>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</si>
  <si>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</si>
  <si>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</si>
  <si>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</si>
  <si>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</si>
  <si>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</si>
  <si>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</si>
  <si>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</si>
  <si>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</si>
  <si>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</si>
  <si>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</si>
  <si>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</si>
  <si>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</si>
  <si>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</si>
  <si>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</si>
  <si>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</si>
  <si>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</si>
  <si>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</si>
  <si>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</si>
  <si>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</si>
  <si>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</si>
  <si>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</si>
  <si>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</si>
  <si>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</si>
  <si>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</si>
  <si>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</si>
  <si>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</si>
  <si>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</si>
  <si>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</si>
  <si>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</si>
  <si>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</si>
  <si>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</si>
  <si>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</si>
  <si>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</si>
  <si>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</si>
  <si>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</si>
  <si>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</si>
  <si>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</si>
  <si>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</si>
  <si>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</si>
  <si>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</si>
  <si>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</si>
  <si>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</si>
  <si>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</si>
  <si>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</si>
  <si>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</si>
  <si>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</si>
  <si>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</si>
  <si>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</si>
  <si>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</si>
  <si>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</si>
  <si>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</si>
  <si>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</si>
  <si>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</si>
  <si>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</si>
  <si>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</si>
  <si>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</si>
  <si>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</si>
  <si>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</si>
  <si>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</si>
  <si>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</si>
  <si>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</si>
  <si>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</si>
  <si>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</si>
  <si>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</si>
  <si>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</si>
  <si>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</si>
  <si>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</si>
  <si>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</si>
  <si>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</si>
  <si>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</si>
  <si>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</si>
  <si>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</si>
  <si>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</si>
  <si>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</si>
  <si>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</si>
  <si>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</si>
  <si>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</si>
  <si>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</si>
  <si>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</si>
  <si>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</si>
  <si>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</si>
  <si>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</si>
  <si>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</si>
  <si>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</si>
  <si>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</si>
  <si>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</si>
  <si>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</si>
  <si>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</si>
  <si>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</si>
  <si>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</si>
  <si>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</si>
  <si>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</si>
  <si>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</si>
  <si>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</si>
  <si>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</si>
  <si>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</si>
  <si>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</si>
  <si>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</si>
  <si>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</si>
  <si>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</si>
  <si>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</si>
  <si>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</si>
  <si>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</si>
  <si>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</si>
  <si>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</si>
  <si>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</si>
  <si>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</si>
  <si>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</si>
  <si>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</si>
  <si>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</si>
  <si>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</si>
  <si>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</si>
  <si>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</si>
  <si>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</si>
  <si>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</si>
  <si>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</si>
  <si>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</si>
  <si>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</si>
  <si>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</si>
  <si>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</si>
  <si>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</si>
  <si>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</si>
  <si>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</si>
  <si>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</si>
  <si>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</si>
  <si>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</si>
  <si>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</si>
  <si>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</si>
  <si>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</si>
  <si>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</si>
  <si>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</si>
  <si>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</si>
  <si>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</si>
  <si>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</si>
  <si>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</si>
  <si>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</si>
  <si>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</si>
  <si>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</si>
  <si>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</si>
  <si>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</si>
  <si>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</si>
  <si>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</si>
  <si>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</si>
  <si>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</si>
  <si>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</si>
  <si>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</si>
  <si>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</si>
  <si>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</si>
  <si>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</si>
  <si>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</si>
  <si>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</si>
  <si>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</si>
  <si>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</si>
  <si>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</si>
  <si>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</si>
  <si>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</si>
  <si>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</si>
  <si>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</si>
  <si>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</si>
  <si>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</si>
  <si>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</si>
  <si>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</si>
  <si>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</si>
  <si>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</si>
  <si>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</si>
  <si>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</si>
  <si>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</si>
  <si>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</si>
  <si>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</si>
  <si>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</si>
  <si>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</si>
  <si>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</si>
  <si>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</si>
  <si>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</si>
  <si>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</si>
  <si>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</si>
  <si>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</si>
  <si>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</si>
  <si>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</si>
  <si>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</si>
  <si>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</si>
  <si>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</si>
  <si>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</si>
  <si>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</si>
  <si>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</si>
  <si>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</si>
  <si>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</si>
  <si>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</si>
  <si>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</si>
  <si>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</si>
  <si>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</si>
  <si>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</si>
  <si>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</si>
  <si>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</si>
  <si>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</si>
  <si>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</si>
  <si>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</si>
  <si>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</si>
  <si>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</si>
  <si>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</si>
  <si>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</si>
  <si>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</si>
  <si>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</si>
  <si>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</si>
  <si>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</si>
  <si>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</si>
  <si>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</si>
  <si>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</si>
  <si>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</si>
  <si>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</si>
  <si>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</si>
  <si>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</si>
  <si>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</si>
  <si>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</si>
  <si>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</si>
  <si>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</si>
  <si>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</si>
  <si>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</si>
  <si>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</si>
  <si>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</si>
  <si>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</si>
  <si>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</si>
  <si>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</si>
  <si>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</si>
  <si>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</si>
  <si>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</si>
  <si>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</si>
  <si>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</si>
  <si>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</si>
  <si>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</si>
  <si>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</si>
  <si>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</si>
  <si>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</si>
  <si>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</si>
  <si>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</si>
  <si>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</si>
  <si>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</si>
  <si>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</si>
  <si>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</si>
  <si>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</si>
  <si>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</si>
  <si>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</si>
  <si>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</si>
  <si>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</si>
  <si>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</si>
  <si>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</si>
  <si>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</si>
  <si>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</si>
  <si>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</si>
  <si>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</si>
  <si>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</si>
  <si>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</si>
  <si>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</si>
  <si>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</si>
  <si>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</si>
  <si>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</si>
  <si>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</si>
  <si>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</si>
  <si>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</si>
  <si>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</si>
  <si>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</si>
  <si>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</si>
  <si>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</si>
  <si>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</si>
  <si>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</si>
  <si>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</si>
  <si>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</si>
  <si>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</si>
  <si>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</si>
  <si>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</si>
  <si>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</si>
  <si>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</si>
  <si>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</si>
  <si>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</si>
  <si>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</si>
  <si>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</si>
  <si>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</si>
  <si>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</si>
  <si>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</si>
  <si>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</si>
  <si>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</si>
  <si>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</si>
  <si>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</si>
  <si>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</si>
  <si>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</si>
  <si>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</si>
  <si>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</si>
  <si>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</si>
  <si>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</si>
  <si>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</si>
  <si>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</si>
  <si>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</si>
  <si>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</si>
  <si>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</si>
  <si>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</si>
  <si>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</si>
  <si>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</si>
  <si>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</si>
  <si>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</si>
  <si>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</si>
  <si>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</si>
  <si>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</si>
  <si>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</si>
  <si>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</si>
  <si>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</si>
  <si>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</si>
  <si>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</si>
  <si>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</si>
  <si>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</si>
  <si>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</si>
  <si>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</si>
  <si>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</si>
  <si>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</si>
  <si>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</si>
  <si>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</si>
  <si>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</si>
  <si>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</si>
  <si>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</si>
  <si>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</si>
  <si>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</si>
  <si>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</si>
  <si>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</si>
  <si>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</si>
  <si>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</si>
  <si>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</si>
  <si>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</si>
  <si>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</si>
  <si>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</si>
  <si>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</si>
  <si>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</si>
  <si>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</si>
  <si>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</si>
  <si>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</si>
  <si>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</si>
  <si>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</si>
  <si>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</si>
  <si>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</si>
  <si>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</si>
  <si>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</si>
  <si>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</si>
  <si>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</si>
  <si>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</si>
  <si>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</si>
  <si>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</si>
  <si>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</si>
  <si>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</si>
  <si>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</si>
  <si>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</si>
  <si>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</si>
  <si>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</si>
  <si>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</si>
  <si>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</si>
  <si>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</si>
  <si>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</si>
  <si>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</si>
  <si>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</si>
  <si>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</si>
  <si>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</si>
  <si>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</si>
  <si>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</si>
  <si>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</si>
  <si>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</si>
  <si>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</si>
  <si>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</si>
  <si>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</si>
  <si>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</si>
  <si>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</si>
  <si>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</si>
  <si>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</si>
  <si>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</si>
  <si>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</si>
  <si>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</si>
  <si>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</si>
  <si>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</si>
  <si>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</si>
  <si>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</si>
  <si>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</si>
  <si>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</si>
  <si>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</si>
  <si>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</si>
  <si>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</si>
  <si>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</si>
  <si>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</si>
  <si>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</si>
  <si>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</si>
  <si>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</si>
  <si>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</si>
  <si>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</si>
  <si>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</si>
  <si>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</si>
  <si>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</si>
  <si>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</si>
  <si>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</si>
  <si>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</si>
  <si>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</si>
  <si>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</si>
  <si>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</si>
  <si>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</si>
  <si>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</si>
  <si>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</si>
  <si>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</si>
  <si>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</si>
  <si>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</si>
  <si>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</si>
  <si>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</si>
  <si>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</si>
  <si>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</si>
  <si>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</si>
  <si>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</si>
  <si>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</si>
  <si>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</si>
  <si>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</si>
  <si>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</si>
  <si>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</si>
  <si>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</si>
  <si>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</si>
  <si>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</si>
  <si>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</si>
  <si>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</si>
  <si>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</si>
  <si>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</si>
  <si>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</si>
  <si>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</si>
  <si>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</si>
  <si>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</si>
  <si>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</si>
  <si>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</si>
  <si>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</si>
  <si>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</si>
  <si>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</si>
  <si>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</si>
  <si>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</si>
  <si>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</si>
  <si>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</si>
  <si>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</si>
  <si>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</si>
  <si>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</si>
  <si>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</si>
  <si>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</si>
  <si>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</si>
  <si>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</si>
  <si>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</si>
  <si>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</si>
  <si>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</si>
  <si>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</si>
  <si>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</si>
  <si>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</si>
  <si>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</si>
  <si>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</si>
  <si>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</si>
  <si>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</si>
  <si>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</si>
  <si>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</si>
  <si>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</si>
  <si>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</si>
  <si>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</si>
  <si>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</si>
  <si>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</si>
  <si>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</si>
  <si>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</si>
  <si>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</si>
  <si>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</si>
  <si>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</si>
  <si>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</si>
  <si>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</si>
  <si>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</si>
  <si>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</si>
  <si>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</si>
  <si>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</si>
  <si>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</si>
  <si>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</si>
  <si>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</si>
  <si>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</si>
  <si>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</si>
  <si>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</si>
  <si>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</si>
  <si>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</si>
  <si>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</si>
  <si>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</si>
  <si>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</si>
  <si>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</si>
  <si>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</si>
  <si>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</si>
  <si>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</si>
  <si>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</si>
  <si>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</si>
  <si>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</si>
  <si>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</si>
  <si>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</si>
  <si>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</si>
  <si>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</si>
  <si>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</si>
  <si>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</si>
  <si>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</si>
  <si>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</si>
  <si>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</si>
  <si>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</si>
  <si>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</si>
  <si>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</si>
  <si>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</si>
  <si>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</si>
  <si>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</si>
  <si>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</si>
  <si>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</si>
  <si>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</si>
  <si>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</si>
  <si>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</si>
  <si>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</si>
  <si>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</si>
  <si>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</si>
  <si>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</si>
  <si>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</si>
  <si>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</si>
  <si>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</si>
  <si>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</si>
  <si>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</si>
  <si>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</si>
  <si>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</si>
  <si>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</si>
  <si>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</si>
  <si>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</si>
  <si>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</si>
  <si>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</si>
  <si>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</si>
  <si>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</si>
  <si>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</si>
  <si>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</si>
  <si>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</si>
  <si>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</si>
  <si>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</si>
  <si>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</si>
  <si>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</si>
  <si>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</si>
  <si>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</si>
  <si>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</si>
  <si>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</si>
  <si>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</si>
  <si>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</si>
  <si>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</si>
  <si>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</si>
  <si>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</si>
  <si>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</si>
  <si>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</si>
  <si>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</si>
  <si>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</si>
  <si>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</si>
  <si>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</si>
  <si>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</si>
  <si>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</si>
  <si>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</si>
  <si>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</si>
  <si>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</si>
  <si>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</si>
  <si>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</si>
  <si>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</si>
  <si>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</si>
  <si>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</si>
  <si>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</si>
  <si>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</si>
  <si>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</si>
  <si>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</si>
  <si>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</si>
  <si>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</si>
  <si>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</si>
  <si>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</si>
  <si>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</si>
  <si>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</si>
  <si>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</si>
  <si>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</si>
  <si>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</si>
  <si>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</si>
  <si>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</si>
  <si>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</si>
  <si>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</si>
  <si>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</si>
  <si>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</si>
  <si>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</si>
  <si>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</si>
  <si>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</si>
  <si>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</si>
  <si>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</si>
  <si>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</si>
  <si>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</si>
  <si>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</si>
  <si>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Perry/Randolph/Jackson</t>
  </si>
  <si>
    <t>Campbell Hill</t>
  </si>
  <si>
    <t xml:space="preserve">larrylovel@trico176.org </t>
  </si>
  <si>
    <t>X</t>
  </si>
  <si>
    <t>Larry Lovel</t>
  </si>
  <si>
    <t>618-426-1111</t>
  </si>
  <si>
    <t>Kemper CPA Group, LLP</t>
  </si>
  <si>
    <t>Kimberly Walker, CPA</t>
  </si>
  <si>
    <t>3401 Professional Park Drive, PO BOX 129</t>
  </si>
  <si>
    <t>Marion</t>
  </si>
  <si>
    <t>IL</t>
  </si>
  <si>
    <t>618-997-3055</t>
  </si>
  <si>
    <t>618-997-5121</t>
  </si>
  <si>
    <t>066-003998</t>
  </si>
  <si>
    <t xml:space="preserve">kwalker@kcpag.com </t>
  </si>
  <si>
    <t>Series 2017A Taxable General Obligation School Bonds</t>
  </si>
  <si>
    <t>Series 2017B General Obligation Refunding School Bonds</t>
  </si>
  <si>
    <t>Series 2019 Taxable General Obligation School Bonds</t>
  </si>
  <si>
    <t>MILLER, TRACY, BRAUN, FUNK &amp; MILLER LDT</t>
  </si>
  <si>
    <t>TRI-COUNTY SPECIAL EDUCATION</t>
  </si>
  <si>
    <t>JACKSON/PERRY REGIONAL DELIVERY SYSTEM -See Below</t>
  </si>
  <si>
    <t>Jackson/Perry Regional Delivery System - Trico CUSD #176, Pinkneyville CUSD #50, DuQuoin CUSD #300, Elverado CUSD #196, Murphysboro CUSD #186, Carbondale ESD #95</t>
  </si>
  <si>
    <t>PRAIRIE STATE INSURANCE COOPERATIVE</t>
  </si>
  <si>
    <t>Page 23, Line 18 - Other - Prior Year Adjustment</t>
  </si>
  <si>
    <t>Page 10, Line 81 - Other District/School Activity Revenue - Resale ($39,213)</t>
  </si>
  <si>
    <t>Page 15, Line 41 - Other Support Services - Pupils - [100] Salaries - School Aides ($1,222), [200] Employee Benefits - School Aides ($5,748)</t>
  </si>
  <si>
    <t>School Aides Medicare ($2)</t>
  </si>
  <si>
    <t>Page 19, Line 237 - Other Support Services - Pupils - School Aides Salaries ($1,847), School Aides FICA ($1,514),</t>
  </si>
  <si>
    <t>Page 11, Line 107 - Other Local Revenues -Other Miscellaneous Local Revenues ($25,265)</t>
  </si>
  <si>
    <t xml:space="preserve">Page 22, Line 309 - Other Payments to In State Govt. units - Bank Fees ($300) </t>
  </si>
  <si>
    <t>COPE, WARD</t>
  </si>
  <si>
    <t>ED-Instruction-Regular Programs</t>
  </si>
  <si>
    <t>Kickboard</t>
  </si>
  <si>
    <t>Lenovo Financial Services</t>
  </si>
  <si>
    <t>De Lage Landen Financial Services</t>
  </si>
  <si>
    <t>GreatAmerican Financial Services</t>
  </si>
  <si>
    <t>Modern Office</t>
  </si>
  <si>
    <t>Stiles</t>
  </si>
  <si>
    <t>ED-Instruction-Remedial and Supplental Programs</t>
  </si>
  <si>
    <t>MobyMax LLC</t>
  </si>
  <si>
    <t>ED-Support Services-Improvement of Instructional Ser.</t>
  </si>
  <si>
    <t>Common Goal Systems Inc.</t>
  </si>
  <si>
    <t>Illini Cloud</t>
  </si>
  <si>
    <t>Journeyed.com Inc.</t>
  </si>
  <si>
    <t>Neverware</t>
  </si>
  <si>
    <t>Renaissance Learning Inc.</t>
  </si>
  <si>
    <t>Clearwave Communications</t>
  </si>
  <si>
    <t>ED-Support Services-Board of Education Services</t>
  </si>
  <si>
    <t>TALX Corp.</t>
  </si>
  <si>
    <t>Kemper CPA Group</t>
  </si>
  <si>
    <t>Miller Tracy Braun Funk &amp; Miller Ltd.</t>
  </si>
  <si>
    <t>ED-Support Services-Executive Administration Services</t>
  </si>
  <si>
    <t>Verizon Wireless</t>
  </si>
  <si>
    <t xml:space="preserve">Modern Office </t>
  </si>
  <si>
    <t>ED-Support Services-Fiscal Services</t>
  </si>
  <si>
    <t>10-2520-300</t>
  </si>
  <si>
    <t>Specialized Data Sytems</t>
  </si>
  <si>
    <t>O&amp;M-Support Services-Operation &amp; Maintenance</t>
  </si>
  <si>
    <t>CWI of Illinois</t>
  </si>
  <si>
    <t>J.T. Blankinship Inc.</t>
  </si>
  <si>
    <t>Security Alarm Corp.</t>
  </si>
  <si>
    <t>Terminix Commercial</t>
  </si>
  <si>
    <t>TR-Support Services-Pupil Transportation Services</t>
  </si>
  <si>
    <t>Transfinder</t>
  </si>
  <si>
    <t>Tyler Technologies</t>
  </si>
  <si>
    <t>TF-Support Services-Insurance Payments</t>
  </si>
  <si>
    <t>Blackboard Connect Inc.</t>
  </si>
  <si>
    <t>Maxitrol Security Systems</t>
  </si>
  <si>
    <t>Sonitrol Security Systems</t>
  </si>
  <si>
    <t>Works International Inc.</t>
  </si>
  <si>
    <t>Arthur J. Gallagher RMS</t>
  </si>
  <si>
    <t>Liberty Mutual Insurance Co.</t>
  </si>
  <si>
    <t>M&amp;M Insurance Agency Inc.</t>
  </si>
  <si>
    <t>PSIC</t>
  </si>
  <si>
    <t>FP&amp;S-Support Services-Operation &amp; Maintance of Plant Services</t>
  </si>
  <si>
    <t>Baysinger Architects</t>
  </si>
  <si>
    <t>16411 Highway 4, P.O. BOX 220</t>
  </si>
  <si>
    <t>#23 - The District prepared these financial statements using accounting prescribed or permitted by the Illinois State Board of Education, which practices differ from accounting principles generally accepted in the United States of America.  Also, the District prepares its financial statements on the modified cash basis of accounting, which is a comprehensive basis of accounting other than accounting principles generally accepted in the United States of America.  
The report was also qualified due to the omission of the OPEB disclosure.</t>
  </si>
  <si>
    <t>KEMPER CPA GROUP LLP</t>
  </si>
  <si>
    <t>Page 9, Line 17 - Other Payments in Lieu of Taxes - TIF monies ($6,249)</t>
  </si>
  <si>
    <t>Page 11, Line 107 - Other Local Revenues - Other Miscellaneous Local Revenues ($210)</t>
  </si>
  <si>
    <t>Page 12, Line 168 - Other Restricted Revenue from State Sources - Library Per Capita Grant ($750) and Other State Programs ($1,853)</t>
  </si>
  <si>
    <t>Page 13, Line 203 - Title I-Other - Title I School Improvement &amp; Accountability ($27,723)</t>
  </si>
  <si>
    <t>Page 14, Line 265 - Other Restricted Revenue from Federal Sources - Supporting Effective Educator Development (SEED) grant ($13,932)</t>
  </si>
  <si>
    <t>Page 21, Line 309 - Other payments to In-State Govt. Units - Bond Fees ($300)</t>
  </si>
  <si>
    <t>Page 16, Line 73 - Other Support Services - [400] Supplies &amp; Materials - Title IV Supplies ($3,670)</t>
  </si>
  <si>
    <t>10-1000-300</t>
  </si>
  <si>
    <t>10-2200-300</t>
  </si>
  <si>
    <t>10-2300-300</t>
  </si>
  <si>
    <t>20-2540-300</t>
  </si>
  <si>
    <t>40-2550-300</t>
  </si>
  <si>
    <t>90-2540-300</t>
  </si>
  <si>
    <t>80-2300-300</t>
  </si>
  <si>
    <t>EGYPTIAN AREA SCHOOL EMPLOYEE BENEFIT TRUST</t>
  </si>
  <si>
    <t>The accompanying notes are an integral part of these financial statements.</t>
  </si>
  <si>
    <t>Of the Long-Term Debt Outstanding in D.(c.) above, $2,500,000 in bonds outstanding should be excluded from the legal debt margin calculation in accordance with State Statutes.  This leaves a remaining balance of $2,475,000 to be included in the calculation that results in a legal debt margin of $8,240,178.</t>
  </si>
  <si>
    <t>NONE</t>
  </si>
  <si>
    <t>SCHEDULE OF FINDINGS AND RESPONSES</t>
  </si>
  <si>
    <t>The Public Funds Deposit Act (30 ILCS 225/1) gives the authorization for deposits in excess of the federally insured limit to be covered by pledged collateral held by the financial institutions’ trust departments in the District’s name. In addition, prudent business practice requires that all cash and investments held by financial institutions for the District be adequately covered by depository insurance or collateral.</t>
  </si>
  <si>
    <t>As of June 30, 2019, cash account balances with one financial institution exceeded the Federal Deposit Insurance Corporation (FDIC) coverage and pledged collateral coverage by $2,138,497. The FDIC covers deposit balances up to a maximum of $250,000 at each financial institution. Pledged securities were not sufficient for the balances exceeding the FDIC coverage.</t>
  </si>
  <si>
    <t>Failure to secure full collateral on cash balances may result in monetary losses to the District.</t>
  </si>
  <si>
    <t xml:space="preserve">As of June 30, 2019, cash account balances with one financial institution exceeded the Federal Deposit Insurance Corporation (FDIC) coverage and pledged collateral coverage by $2,138,497. </t>
  </si>
  <si>
    <t>Oversight.</t>
  </si>
  <si>
    <t xml:space="preserve">District management should monitor bank balances on all accounts and work with the financial institution to provide collateral or enter into an agreement with the financial institution to have cash balances monitored for adequate collateral and periodically adjusted as necessary.
</t>
  </si>
  <si>
    <t xml:space="preserve">The District will implement procedures to make sure its cash deposits are fully collateralized at all times throughout the year.  </t>
  </si>
  <si>
    <t>Trico CUSD 176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</si>
</sst>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4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0" fontId="2" fillId="0" borderId="157" xfId="22" applyFont="1" applyBorder="1" applyAlignment="1" applyProtection="1">
      <alignment horizontal="left" vertical="top" wrapText="1"/>
      <protection locked="0"/>
    </xf>
    <xf numFmtId="0" fontId="2" fillId="0" borderId="157" xfId="22" applyFont="1" applyBorder="1" applyAlignment="1" applyProtection="1">
      <alignment vertical="top"/>
      <protection locked="0"/>
    </xf>
    <xf numFmtId="49" fontId="2" fillId="0" borderId="157" xfId="22" applyNumberFormat="1" applyFont="1" applyBorder="1" applyAlignment="1" applyProtection="1">
      <alignment horizontal="center" vertical="center"/>
      <protection locked="0"/>
    </xf>
    <xf numFmtId="38" fontId="2" fillId="0" borderId="157" xfId="22" applyNumberFormat="1" applyBorder="1" applyAlignment="1" applyProtection="1">
      <alignment horizontal="right" vertical="top"/>
      <protection locked="0"/>
    </xf>
    <xf numFmtId="38" fontId="2" fillId="0" borderId="157" xfId="22" applyNumberFormat="1" applyFont="1" applyBorder="1" applyAlignment="1" applyProtection="1">
      <alignment horizontal="right" vertical="top"/>
      <protection locked="0"/>
    </xf>
    <xf numFmtId="0" fontId="54" fillId="0" borderId="0" xfId="3" applyFont="1" applyAlignment="1" applyProtection="1">
      <alignment horizontal="center" vertical="center"/>
    </xf>
    <xf numFmtId="49" fontId="1" fillId="0" borderId="157" xfId="22" applyNumberFormat="1" applyFont="1" applyBorder="1" applyAlignment="1" applyProtection="1">
      <alignment horizontal="center" vertical="top"/>
      <protection locked="0"/>
    </xf>
    <xf numFmtId="49" fontId="1" fillId="0" borderId="157" xfId="22" applyNumberFormat="1" applyFont="1" applyBorder="1" applyAlignment="1" applyProtection="1">
      <alignment horizontal="center"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65" fillId="0" borderId="78" xfId="0" applyFont="1" applyBorder="1" applyAlignment="1">
      <alignment horizontal="center"/>
    </xf>
    <xf numFmtId="164" fontId="65" fillId="0" borderId="78" xfId="0" applyNumberFormat="1" applyFont="1" applyBorder="1" applyAlignment="1">
      <alignment horizont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Alignment="1" applyProtection="1">
      <alignment horizontal="justify" vertical="top" wrapText="1"/>
      <protection locked="0"/>
    </xf>
    <xf numFmtId="0" fontId="57" fillId="0" borderId="0" xfId="3" applyFont="1" applyBorder="1" applyAlignment="1" applyProtection="1">
      <alignment horizontal="justify" vertical="top" wrapText="1"/>
      <protection locked="0"/>
    </xf>
    <xf numFmtId="0" fontId="57" fillId="0" borderId="0" xfId="3" applyFont="1" applyFill="1" applyBorder="1" applyAlignment="1" applyProtection="1">
      <alignment horizontal="justify" vertical="top" wrapText="1"/>
      <protection locked="0"/>
    </xf>
    <xf numFmtId="0" fontId="57" fillId="0" borderId="0" xfId="3" applyFont="1" applyFill="1" applyAlignment="1" applyProtection="1">
      <alignment horizontal="justify"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justify" vertical="top" wrapText="1"/>
      <protection locked="0"/>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69273</xdr:colOff>
          <xdr:row>1</xdr:row>
          <xdr:rowOff>17318</xdr:rowOff>
        </xdr:from>
        <xdr:to>
          <xdr:col>1</xdr:col>
          <xdr:colOff>980209</xdr:colOff>
          <xdr:row>5</xdr:row>
          <xdr:rowOff>55418</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1125682</xdr:colOff>
          <xdr:row>1</xdr:row>
          <xdr:rowOff>25977</xdr:rowOff>
        </xdr:from>
        <xdr:to>
          <xdr:col>1</xdr:col>
          <xdr:colOff>2036618</xdr:colOff>
          <xdr:row>5</xdr:row>
          <xdr:rowOff>64077</xdr:rowOff>
        </xdr:to>
        <xdr:sp macro="" textlink="">
          <xdr:nvSpPr>
            <xdr:cNvPr id="35848" name="Object 8" hidden="1">
              <a:extLst>
                <a:ext uri="{63B3BB69-23CF-44E3-9099-C40C66FF867C}">
                  <a14:compatExt spid="_x0000_s35848"/>
                </a:ext>
                <a:ext uri="{FF2B5EF4-FFF2-40B4-BE49-F238E27FC236}">
                  <a16:creationId xmlns:a16="http://schemas.microsoft.com/office/drawing/2014/main" id="{00000000-0008-0000-1400-000008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0025"/>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552700" y="19431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657600" y="19431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odb1\Workpapers\%7b668C76D0-448F-41A0-8E18-3A75BE1CD7DE%7d\%7b7D911171-8CF3-4BFD-8C9F-FD681AA24C15%7d\%7b22CC93DF-2180-4E88-9D31-F7A24918F8A4%7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 1"/>
      <sheetName val=" SEFA - 2"/>
      <sheetName val=" SEFA - 3"/>
      <sheetName val=" SEFA - 4"/>
      <sheetName val="SEFA NOTES"/>
      <sheetName val="SF&amp;QC Sec-1"/>
      <sheetName val="SF&amp;QC Sec-3 "/>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A4" t="str">
            <v>Year Ending June 30, 2019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8" t="s">
        <v>405</v>
      </c>
      <c r="J1" s="2019"/>
      <c r="K1" s="2019"/>
      <c r="L1" s="2019"/>
      <c r="M1" s="2019"/>
      <c r="N1" s="2019"/>
      <c r="O1" s="2019"/>
      <c r="P1" s="2019"/>
      <c r="Q1" s="2019"/>
      <c r="R1" s="2019"/>
      <c r="S1" s="2019"/>
    </row>
    <row r="2" spans="1:28" ht="12" customHeight="1" x14ac:dyDescent="0.2">
      <c r="A2" s="47" t="s">
        <v>1993</v>
      </c>
      <c r="D2" s="48"/>
      <c r="I2" s="2020" t="s">
        <v>979</v>
      </c>
      <c r="J2" s="2019"/>
      <c r="K2" s="2019"/>
      <c r="L2" s="2019"/>
      <c r="M2" s="2019"/>
      <c r="N2" s="2019"/>
      <c r="O2" s="2019"/>
      <c r="P2" s="2019"/>
      <c r="Q2" s="2019"/>
      <c r="R2" s="2019"/>
      <c r="S2" s="2019"/>
    </row>
    <row r="3" spans="1:28" ht="12" customHeight="1" x14ac:dyDescent="0.2">
      <c r="A3" s="155" t="s">
        <v>1945</v>
      </c>
      <c r="B3" s="156"/>
      <c r="C3" s="156"/>
      <c r="D3" s="157"/>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4" t="s">
        <v>2067</v>
      </c>
      <c r="C5" s="26" t="s">
        <v>910</v>
      </c>
      <c r="D5" s="84"/>
      <c r="E5" s="84"/>
      <c r="H5" s="38"/>
      <c r="I5" s="2027" t="s">
        <v>680</v>
      </c>
      <c r="J5" s="1972"/>
      <c r="K5" s="1972"/>
      <c r="L5" s="1972"/>
      <c r="M5" s="1972"/>
      <c r="N5" s="1972"/>
      <c r="O5" s="1972"/>
      <c r="P5" s="1972"/>
      <c r="Q5" s="1972"/>
      <c r="R5" s="1972"/>
      <c r="S5" s="1972"/>
    </row>
    <row r="6" spans="1:28" ht="14.1" customHeight="1" x14ac:dyDescent="0.2">
      <c r="B6" s="104"/>
      <c r="C6" s="26" t="s">
        <v>911</v>
      </c>
      <c r="D6" s="84"/>
      <c r="E6" s="84"/>
      <c r="I6" s="2026" t="s">
        <v>883</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t="s">
        <v>2067</v>
      </c>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8">
        <v>30039176026</v>
      </c>
      <c r="B13" s="1989"/>
      <c r="C13" s="1989"/>
      <c r="D13" s="1989"/>
      <c r="E13" s="1989"/>
      <c r="F13" s="1989"/>
      <c r="G13" s="1989"/>
      <c r="H13" s="1990"/>
      <c r="I13" s="31"/>
      <c r="J13" s="30"/>
      <c r="K13" s="28"/>
      <c r="L13" s="30"/>
      <c r="M13" s="30"/>
      <c r="N13" s="30"/>
      <c r="O13" s="30"/>
      <c r="P13" s="30"/>
      <c r="Q13" s="30"/>
      <c r="R13" s="30"/>
      <c r="S13" s="30"/>
      <c r="T13" s="1993" t="s">
        <v>2070</v>
      </c>
      <c r="U13" s="1994"/>
      <c r="V13" s="1994"/>
      <c r="W13" s="1994"/>
      <c r="X13" s="1994"/>
      <c r="Y13" s="1995"/>
      <c r="Z13" s="1995"/>
      <c r="AA13" s="19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6" t="s">
        <v>2064</v>
      </c>
      <c r="B15" s="1991"/>
      <c r="C15" s="1991"/>
      <c r="D15" s="1991"/>
      <c r="E15" s="1991"/>
      <c r="F15" s="1991"/>
      <c r="G15" s="1991"/>
      <c r="H15" s="1992"/>
      <c r="T15" s="1954" t="s">
        <v>2071</v>
      </c>
      <c r="U15" s="1955"/>
      <c r="V15" s="1955"/>
      <c r="W15" s="1955"/>
      <c r="X15" s="1955"/>
      <c r="Y15" s="1997"/>
      <c r="Z15" s="1997"/>
      <c r="AA15" s="19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2169</v>
      </c>
      <c r="B17" s="2016"/>
      <c r="C17" s="2016"/>
      <c r="D17" s="2016"/>
      <c r="E17" s="2016"/>
      <c r="F17" s="2016"/>
      <c r="G17" s="2016"/>
      <c r="H17" s="2017"/>
      <c r="T17" s="2003" t="s">
        <v>2072</v>
      </c>
      <c r="U17" s="2004"/>
      <c r="V17" s="2004"/>
      <c r="W17" s="2004"/>
      <c r="X17" s="2004"/>
      <c r="Y17" s="2004"/>
      <c r="Z17" s="2004"/>
      <c r="AA17" s="2005"/>
    </row>
    <row r="18" spans="1:27" ht="13.5" customHeight="1" x14ac:dyDescent="0.2">
      <c r="A18" s="85" t="s">
        <v>530</v>
      </c>
      <c r="B18" s="76"/>
      <c r="C18" s="72"/>
      <c r="D18" s="76"/>
      <c r="E18" s="76"/>
      <c r="F18" s="76"/>
      <c r="G18" s="76"/>
      <c r="H18" s="56"/>
      <c r="I18" s="2013" t="s">
        <v>676</v>
      </c>
      <c r="J18" s="2014"/>
      <c r="K18" s="2014"/>
      <c r="L18" s="2014"/>
      <c r="M18" s="2014"/>
      <c r="N18" s="2014"/>
      <c r="O18" s="2014"/>
      <c r="P18" s="2014"/>
      <c r="Q18" s="2014"/>
      <c r="R18" s="2014"/>
      <c r="S18" s="2015"/>
      <c r="T18" s="85" t="s">
        <v>711</v>
      </c>
      <c r="U18" s="51"/>
      <c r="V18" s="72"/>
      <c r="W18" s="50"/>
      <c r="X18" s="85" t="s">
        <v>266</v>
      </c>
      <c r="Y18" s="81"/>
      <c r="Z18" s="159" t="s">
        <v>677</v>
      </c>
      <c r="AA18" s="46"/>
    </row>
    <row r="19" spans="1:27" ht="13.5" customHeight="1" x14ac:dyDescent="0.2">
      <c r="A19" s="1986" t="s">
        <v>2140</v>
      </c>
      <c r="B19" s="1987"/>
      <c r="C19" s="1987"/>
      <c r="D19" s="1987"/>
      <c r="E19" s="1987"/>
      <c r="F19" s="1987"/>
      <c r="G19" s="1987"/>
      <c r="H19" s="1985"/>
      <c r="I19" s="30"/>
      <c r="J19" s="99"/>
      <c r="K19" s="40"/>
      <c r="L19" s="38"/>
      <c r="M19" s="112" t="s">
        <v>315</v>
      </c>
      <c r="P19" s="27"/>
      <c r="Q19" s="27"/>
      <c r="R19" s="27"/>
      <c r="S19" s="31"/>
      <c r="T19" s="1986" t="s">
        <v>2073</v>
      </c>
      <c r="U19" s="1984"/>
      <c r="V19" s="1984"/>
      <c r="W19" s="1985"/>
      <c r="X19" s="2001" t="s">
        <v>2074</v>
      </c>
      <c r="Y19" s="2002"/>
      <c r="Z19" s="1999">
        <v>62959</v>
      </c>
      <c r="AA19" s="20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3" t="s">
        <v>2065</v>
      </c>
      <c r="B21" s="1984"/>
      <c r="C21" s="1984"/>
      <c r="D21" s="1984"/>
      <c r="E21" s="1984"/>
      <c r="F21" s="1984"/>
      <c r="G21" s="1984"/>
      <c r="H21" s="1985"/>
      <c r="I21" s="2009" t="s">
        <v>678</v>
      </c>
      <c r="J21" s="1972"/>
      <c r="K21" s="1972"/>
      <c r="L21" s="1972"/>
      <c r="M21" s="1972"/>
      <c r="N21" s="1972"/>
      <c r="O21" s="1972"/>
      <c r="P21" s="1972"/>
      <c r="Q21" s="1972"/>
      <c r="R21" s="1972"/>
      <c r="S21" s="1973"/>
      <c r="T21" s="1951" t="s">
        <v>2075</v>
      </c>
      <c r="U21" s="1952"/>
      <c r="V21" s="1952"/>
      <c r="W21" s="1952"/>
      <c r="X21" s="1965" t="s">
        <v>2076</v>
      </c>
      <c r="Y21" s="1966"/>
      <c r="Z21" s="1966"/>
      <c r="AA21" s="1967"/>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6" t="s">
        <v>2066</v>
      </c>
      <c r="B23" s="2007"/>
      <c r="C23" s="2007"/>
      <c r="D23" s="2007"/>
      <c r="E23" s="2007"/>
      <c r="F23" s="2007"/>
      <c r="G23" s="2007"/>
      <c r="H23" s="2008"/>
      <c r="T23" s="1946" t="s">
        <v>2077</v>
      </c>
      <c r="U23" s="1947"/>
      <c r="V23" s="1947"/>
      <c r="W23" s="1947"/>
      <c r="X23" s="1962">
        <v>44530</v>
      </c>
      <c r="Y23" s="1963"/>
      <c r="Z23" s="1963"/>
      <c r="AA23" s="1964"/>
    </row>
    <row r="24" spans="1:27" ht="14.1" customHeight="1" x14ac:dyDescent="0.2">
      <c r="A24" s="88" t="s">
        <v>677</v>
      </c>
      <c r="B24" s="49"/>
      <c r="C24" s="49"/>
      <c r="D24" s="49"/>
      <c r="E24" s="49"/>
      <c r="F24" s="49"/>
      <c r="G24" s="49"/>
      <c r="H24" s="61"/>
      <c r="J24" s="2048">
        <f>IF(B5="x",IF(AUDITCHECK!D29="AFR form Incomplete.","",IF(AUDITCHECK!D29="Deficit reduction plan is required.","School District must complete a deficit reduction plan in the 2019-2020 Budget",)),"")</f>
        <v>0</v>
      </c>
      <c r="K24" s="2048"/>
      <c r="L24" s="2048"/>
      <c r="M24" s="2048"/>
      <c r="N24" s="2048"/>
      <c r="O24" s="2048"/>
      <c r="P24" s="2048"/>
      <c r="Q24" s="2048"/>
      <c r="R24" s="2048"/>
      <c r="S24" s="2049"/>
      <c r="T24" s="105" t="s">
        <v>531</v>
      </c>
      <c r="U24" s="106"/>
      <c r="V24" s="106"/>
      <c r="W24" s="106"/>
      <c r="X24" s="107"/>
      <c r="Y24" s="107"/>
      <c r="Z24" s="107"/>
      <c r="AA24" s="108"/>
    </row>
    <row r="25" spans="1:27" ht="14.1" customHeight="1" x14ac:dyDescent="0.2">
      <c r="A25" s="1983">
        <v>62916</v>
      </c>
      <c r="B25" s="1984"/>
      <c r="C25" s="1984"/>
      <c r="D25" s="1984"/>
      <c r="E25" s="1984"/>
      <c r="F25" s="1984"/>
      <c r="G25" s="1984"/>
      <c r="H25" s="1985"/>
      <c r="I25" s="113"/>
      <c r="J25" s="2050"/>
      <c r="K25" s="2050"/>
      <c r="L25" s="2050"/>
      <c r="M25" s="2050"/>
      <c r="N25" s="2050"/>
      <c r="O25" s="2050"/>
      <c r="P25" s="2050"/>
      <c r="Q25" s="2050"/>
      <c r="R25" s="2050"/>
      <c r="S25" s="2051"/>
      <c r="T25" s="1943" t="s">
        <v>2078</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2067</v>
      </c>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02"/>
      <c r="K30" s="28" t="s">
        <v>576</v>
      </c>
      <c r="L30" s="148" t="s">
        <v>2067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2067</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2067</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6" t="s">
        <v>2068</v>
      </c>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t="s">
        <v>2066</v>
      </c>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t="s">
        <v>2069</v>
      </c>
      <c r="B42" s="2033"/>
      <c r="C42" s="2034"/>
      <c r="D42" s="2047">
        <v>6184263625</v>
      </c>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26" sqref="A2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1951</v>
      </c>
      <c r="C2" s="714" t="s">
        <v>1952</v>
      </c>
      <c r="D2" s="714" t="s">
        <v>1953</v>
      </c>
      <c r="E2" s="714" t="s">
        <v>1954</v>
      </c>
      <c r="F2" s="714" t="s">
        <v>1955</v>
      </c>
    </row>
    <row r="3" spans="1:6" ht="12" customHeight="1" x14ac:dyDescent="0.2">
      <c r="A3" s="2186"/>
      <c r="B3" s="1525"/>
      <c r="C3" s="1526"/>
      <c r="D3" s="1527" t="s">
        <v>256</v>
      </c>
      <c r="E3" s="1526"/>
      <c r="F3" s="1527" t="s">
        <v>257</v>
      </c>
    </row>
    <row r="4" spans="1:6" ht="13.7" customHeight="1" x14ac:dyDescent="0.2">
      <c r="A4" s="715" t="s">
        <v>1155</v>
      </c>
      <c r="B4" s="1749">
        <f>'Revenues 9-14'!C5</f>
        <v>1279636</v>
      </c>
      <c r="C4" s="1524"/>
      <c r="D4" s="1752">
        <f>B4-C4</f>
        <v>1279636</v>
      </c>
      <c r="E4" s="1524">
        <v>1428690</v>
      </c>
      <c r="F4" s="1752">
        <f>E4-C4</f>
        <v>1428690</v>
      </c>
    </row>
    <row r="5" spans="1:6" ht="13.7" customHeight="1" x14ac:dyDescent="0.2">
      <c r="A5" s="715" t="s">
        <v>870</v>
      </c>
      <c r="B5" s="1750">
        <f>'Revenues 9-14'!D5</f>
        <v>268298</v>
      </c>
      <c r="C5" s="585"/>
      <c r="D5" s="1753">
        <f t="shared" ref="D5:D18" si="0">B5-C5</f>
        <v>268298</v>
      </c>
      <c r="E5" s="585">
        <v>291173</v>
      </c>
      <c r="F5" s="1753">
        <f>E5-C5</f>
        <v>291173</v>
      </c>
    </row>
    <row r="6" spans="1:6" ht="13.7" customHeight="1" x14ac:dyDescent="0.2">
      <c r="A6" s="715" t="s">
        <v>411</v>
      </c>
      <c r="B6" s="1750">
        <f>'Revenues 9-14'!E5</f>
        <v>555649</v>
      </c>
      <c r="C6" s="585"/>
      <c r="D6" s="1753">
        <f t="shared" si="0"/>
        <v>555649</v>
      </c>
      <c r="E6" s="585">
        <v>573037</v>
      </c>
      <c r="F6" s="1753">
        <f t="shared" ref="F6:F18" si="1">E6-C6</f>
        <v>573037</v>
      </c>
    </row>
    <row r="7" spans="1:6" ht="13.7" customHeight="1" x14ac:dyDescent="0.2">
      <c r="A7" s="715" t="s">
        <v>155</v>
      </c>
      <c r="B7" s="1750">
        <f>'Revenues 9-14'!F5</f>
        <v>143094</v>
      </c>
      <c r="C7" s="585"/>
      <c r="D7" s="1753">
        <f t="shared" si="0"/>
        <v>143094</v>
      </c>
      <c r="E7" s="585">
        <v>155292</v>
      </c>
      <c r="F7" s="1753">
        <f t="shared" si="1"/>
        <v>155292</v>
      </c>
    </row>
    <row r="8" spans="1:6" ht="13.7" customHeight="1" x14ac:dyDescent="0.2">
      <c r="A8" s="715" t="s">
        <v>1179</v>
      </c>
      <c r="B8" s="1750">
        <f>'Revenues 9-14'!G5</f>
        <v>96724</v>
      </c>
      <c r="C8" s="585"/>
      <c r="D8" s="1753">
        <f t="shared" si="0"/>
        <v>96724</v>
      </c>
      <c r="E8" s="585">
        <v>200001</v>
      </c>
      <c r="F8" s="1753">
        <f t="shared" si="1"/>
        <v>200001</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35775</v>
      </c>
      <c r="C10" s="585"/>
      <c r="D10" s="1753">
        <f t="shared" si="0"/>
        <v>35775</v>
      </c>
      <c r="E10" s="585">
        <v>38823</v>
      </c>
      <c r="F10" s="1753">
        <f t="shared" si="1"/>
        <v>38823</v>
      </c>
    </row>
    <row r="11" spans="1:6" x14ac:dyDescent="0.2">
      <c r="A11" s="715" t="s">
        <v>409</v>
      </c>
      <c r="B11" s="1750">
        <f>'Revenues 9-14'!J5</f>
        <v>483589</v>
      </c>
      <c r="C11" s="585"/>
      <c r="D11" s="1753">
        <f t="shared" si="0"/>
        <v>483589</v>
      </c>
      <c r="E11" s="585">
        <v>500003</v>
      </c>
      <c r="F11" s="1753">
        <f t="shared" si="1"/>
        <v>500003</v>
      </c>
    </row>
    <row r="12" spans="1:6" ht="13.7" customHeight="1" x14ac:dyDescent="0.2">
      <c r="A12" s="715" t="s">
        <v>157</v>
      </c>
      <c r="B12" s="1750">
        <f>'Revenues 9-14'!K5</f>
        <v>35775</v>
      </c>
      <c r="C12" s="585"/>
      <c r="D12" s="1753">
        <f t="shared" si="0"/>
        <v>35775</v>
      </c>
      <c r="E12" s="585">
        <v>38823</v>
      </c>
      <c r="F12" s="1753">
        <f t="shared" si="1"/>
        <v>38823</v>
      </c>
    </row>
    <row r="13" spans="1:6" ht="13.7" customHeight="1" x14ac:dyDescent="0.2">
      <c r="A13" s="715" t="s">
        <v>936</v>
      </c>
      <c r="B13" s="1750">
        <f>SUM('Revenues 9-14'!C6:D6)</f>
        <v>36829</v>
      </c>
      <c r="C13" s="585"/>
      <c r="D13" s="1753">
        <f t="shared" si="0"/>
        <v>36829</v>
      </c>
      <c r="E13" s="585">
        <v>38823</v>
      </c>
      <c r="F13" s="1753">
        <f t="shared" si="1"/>
        <v>38823</v>
      </c>
    </row>
    <row r="14" spans="1:6" ht="13.7" customHeight="1" x14ac:dyDescent="0.2">
      <c r="A14" s="715" t="s">
        <v>410</v>
      </c>
      <c r="B14" s="1750">
        <f>SUM('Revenues 9-14'!C7:D7,'Revenues 9-14'!F7:H7)</f>
        <v>28619</v>
      </c>
      <c r="C14" s="585"/>
      <c r="D14" s="1753">
        <f t="shared" si="0"/>
        <v>28619</v>
      </c>
      <c r="E14" s="585">
        <v>31058</v>
      </c>
      <c r="F14" s="1753">
        <f t="shared" si="1"/>
        <v>31058</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96724</v>
      </c>
      <c r="C16" s="585"/>
      <c r="D16" s="1753">
        <f t="shared" si="0"/>
        <v>96724</v>
      </c>
      <c r="E16" s="585">
        <v>160006</v>
      </c>
      <c r="F16" s="1753">
        <f t="shared" si="1"/>
        <v>160006</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266132.40999999997</v>
      </c>
      <c r="F18" s="1753">
        <f t="shared" si="1"/>
        <v>266132.40999999997</v>
      </c>
    </row>
    <row r="19" spans="1:6" ht="13.7" customHeight="1" thickBot="1" x14ac:dyDescent="0.25">
      <c r="A19" s="1754" t="s">
        <v>1161</v>
      </c>
      <c r="B19" s="1751">
        <f>SUM(B4:B18)</f>
        <v>3060712</v>
      </c>
      <c r="C19" s="1751">
        <f>SUM(C4:C18)</f>
        <v>0</v>
      </c>
      <c r="D19" s="1751">
        <f>SUM(D4:D18)</f>
        <v>3060712</v>
      </c>
      <c r="E19" s="1751">
        <f>SUM(E4:E18)</f>
        <v>3721861.41</v>
      </c>
      <c r="F19" s="1751">
        <f>SUM(F4:F18)</f>
        <v>3721861.41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D34" sqref="D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92"/>
      <c r="C1" s="721"/>
    </row>
    <row r="2" spans="1:7" ht="33.75" x14ac:dyDescent="0.2">
      <c r="A2" s="2200" t="s">
        <v>1802</v>
      </c>
      <c r="B2" s="2201"/>
      <c r="C2" s="1884" t="s">
        <v>1956</v>
      </c>
      <c r="D2" s="723" t="s">
        <v>1957</v>
      </c>
      <c r="E2" s="723" t="s">
        <v>1958</v>
      </c>
      <c r="F2" s="1884" t="s">
        <v>1959</v>
      </c>
    </row>
    <row r="3" spans="1:7" ht="15.75" customHeight="1" x14ac:dyDescent="0.2">
      <c r="A3" s="2204" t="s">
        <v>1114</v>
      </c>
      <c r="B3" s="2205"/>
      <c r="C3" s="2193"/>
      <c r="D3" s="2194"/>
      <c r="E3" s="2194"/>
      <c r="F3" s="2195"/>
    </row>
    <row r="4" spans="1:7" ht="12.75" customHeight="1" thickBot="1" x14ac:dyDescent="0.25">
      <c r="A4" s="2202" t="s">
        <v>630</v>
      </c>
      <c r="B4" s="2203"/>
      <c r="C4" s="581"/>
      <c r="D4" s="581"/>
      <c r="E4" s="581"/>
      <c r="F4" s="1755">
        <f>SUM(C4+D4)-E4</f>
        <v>0</v>
      </c>
    </row>
    <row r="5" spans="1:7" ht="15.75" customHeight="1" thickTop="1" x14ac:dyDescent="0.2">
      <c r="A5" s="2187" t="s">
        <v>1110</v>
      </c>
      <c r="B5" s="2188"/>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9" t="s">
        <v>631</v>
      </c>
      <c r="B15" s="2190"/>
      <c r="C15" s="1755">
        <f>SUM(C6:C14)</f>
        <v>0</v>
      </c>
      <c r="D15" s="1755">
        <f>SUM(D6:D14)</f>
        <v>0</v>
      </c>
      <c r="E15" s="1755">
        <f>SUM(E6:E14)</f>
        <v>0</v>
      </c>
      <c r="F15" s="1755">
        <f>SUM(F6:F14)</f>
        <v>0</v>
      </c>
      <c r="G15" s="552"/>
    </row>
    <row r="16" spans="1:7" s="202" customFormat="1" ht="15.75" customHeight="1" thickTop="1" x14ac:dyDescent="0.2">
      <c r="A16" s="2199" t="s">
        <v>1111</v>
      </c>
      <c r="B16" s="2188"/>
      <c r="C16" s="2196"/>
      <c r="D16" s="2197"/>
      <c r="E16" s="2197"/>
      <c r="F16" s="2198"/>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388</v>
      </c>
      <c r="B19" s="2213"/>
      <c r="C19" s="726"/>
      <c r="D19" s="585"/>
      <c r="E19" s="726"/>
      <c r="F19" s="1755">
        <f>SUM(C19+D19)-E19</f>
        <v>0</v>
      </c>
    </row>
    <row r="20" spans="1:11" ht="12.75" customHeight="1" thickTop="1" thickBot="1" x14ac:dyDescent="0.25">
      <c r="A20" s="2212" t="s">
        <v>448</v>
      </c>
      <c r="B20" s="2213"/>
      <c r="C20" s="726"/>
      <c r="D20" s="585"/>
      <c r="E20" s="726"/>
      <c r="F20" s="1755">
        <f>SUM(C20+D20)-E20</f>
        <v>0</v>
      </c>
    </row>
    <row r="21" spans="1:11" ht="14.25" thickTop="1" thickBot="1" x14ac:dyDescent="0.25">
      <c r="A21" s="2189" t="s">
        <v>632</v>
      </c>
      <c r="B21" s="2190"/>
      <c r="C21" s="1755">
        <f>SUM(C17:C20)</f>
        <v>0</v>
      </c>
      <c r="D21" s="1755">
        <f>SUM(D17:D20)</f>
        <v>0</v>
      </c>
      <c r="E21" s="1755">
        <f>SUM(E17:E20)</f>
        <v>0</v>
      </c>
      <c r="F21" s="1755">
        <f>SUM(F17:F20)</f>
        <v>0</v>
      </c>
      <c r="G21" s="552"/>
    </row>
    <row r="22" spans="1:11" ht="15.75" customHeight="1" thickTop="1" x14ac:dyDescent="0.2">
      <c r="A22" s="2214" t="s">
        <v>1112</v>
      </c>
      <c r="B22" s="2188"/>
      <c r="C22" s="2196"/>
      <c r="D22" s="2197"/>
      <c r="E22" s="2197"/>
      <c r="F22" s="2198"/>
    </row>
    <row r="23" spans="1:11" ht="13.5" thickBot="1" x14ac:dyDescent="0.25">
      <c r="A23" s="2202" t="s">
        <v>633</v>
      </c>
      <c r="B23" s="2203"/>
      <c r="C23" s="581"/>
      <c r="D23" s="581"/>
      <c r="E23" s="581"/>
      <c r="F23" s="1755">
        <f>SUM(C23+D23)-E23</f>
        <v>0</v>
      </c>
      <c r="G23" s="552"/>
    </row>
    <row r="24" spans="1:11" ht="15.75" customHeight="1" thickTop="1" x14ac:dyDescent="0.2">
      <c r="A24" s="2214" t="s">
        <v>1113</v>
      </c>
      <c r="B24" s="2188"/>
      <c r="C24" s="2196"/>
      <c r="D24" s="2197"/>
      <c r="E24" s="2197"/>
      <c r="F24" s="2198"/>
    </row>
    <row r="25" spans="1:11" ht="13.5" thickBot="1" x14ac:dyDescent="0.25">
      <c r="A25" s="2202" t="s">
        <v>634</v>
      </c>
      <c r="B25" s="2203"/>
      <c r="C25" s="581"/>
      <c r="D25" s="581"/>
      <c r="E25" s="581"/>
      <c r="F25" s="1755">
        <f>SUM(C25+D25)-E25</f>
        <v>0</v>
      </c>
      <c r="G25" s="552"/>
    </row>
    <row r="26" spans="1:11" ht="15.75" customHeight="1" thickTop="1" x14ac:dyDescent="0.2">
      <c r="A26" s="2187" t="s">
        <v>657</v>
      </c>
      <c r="B26" s="2188"/>
      <c r="C26" s="727"/>
      <c r="D26" s="727"/>
      <c r="E26" s="727"/>
      <c r="F26" s="728"/>
    </row>
    <row r="27" spans="1:11" ht="13.5" thickBot="1" x14ac:dyDescent="0.25">
      <c r="A27" s="2189" t="s">
        <v>1070</v>
      </c>
      <c r="B27" s="2190"/>
      <c r="C27" s="585"/>
      <c r="D27" s="585"/>
      <c r="E27" s="585"/>
      <c r="F27" s="1755">
        <f>SUM(C27+D27)-E27</f>
        <v>0</v>
      </c>
      <c r="G27" s="552"/>
    </row>
    <row r="28" spans="1:11" ht="7.5" customHeight="1" thickTop="1" x14ac:dyDescent="0.2">
      <c r="A28" s="593"/>
    </row>
    <row r="29" spans="1:11" ht="23.25" customHeight="1" x14ac:dyDescent="0.2">
      <c r="A29" s="2215" t="s">
        <v>582</v>
      </c>
      <c r="B29" s="2192"/>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2079</v>
      </c>
      <c r="B31" s="733">
        <v>42990</v>
      </c>
      <c r="C31" s="734">
        <v>1730000</v>
      </c>
      <c r="D31" s="735">
        <v>1</v>
      </c>
      <c r="E31" s="734">
        <v>1730000</v>
      </c>
      <c r="F31" s="734"/>
      <c r="G31" s="734"/>
      <c r="H31" s="734">
        <v>270000</v>
      </c>
      <c r="I31" s="1756">
        <f>((E31+F31)-H31)+G31</f>
        <v>1460000</v>
      </c>
      <c r="J31" s="734">
        <v>1280147</v>
      </c>
      <c r="K31" s="736"/>
    </row>
    <row r="32" spans="1:11" ht="12" customHeight="1" x14ac:dyDescent="0.2">
      <c r="A32" s="732" t="s">
        <v>2080</v>
      </c>
      <c r="B32" s="733">
        <v>42990</v>
      </c>
      <c r="C32" s="734">
        <v>1160000</v>
      </c>
      <c r="D32" s="735">
        <v>3</v>
      </c>
      <c r="E32" s="734">
        <v>1160000</v>
      </c>
      <c r="F32" s="734"/>
      <c r="G32" s="734"/>
      <c r="H32" s="734">
        <v>145000</v>
      </c>
      <c r="I32" s="1756">
        <f>((E32+F32)-H32)+G32</f>
        <v>1015000</v>
      </c>
      <c r="J32" s="734">
        <v>1015000</v>
      </c>
      <c r="K32" s="736"/>
    </row>
    <row r="33" spans="1:11" ht="12" customHeight="1" x14ac:dyDescent="0.2">
      <c r="A33" s="732" t="s">
        <v>2081</v>
      </c>
      <c r="B33" s="733">
        <v>43542</v>
      </c>
      <c r="C33" s="734">
        <v>2500000</v>
      </c>
      <c r="D33" s="735">
        <v>2</v>
      </c>
      <c r="E33" s="734"/>
      <c r="F33" s="734">
        <v>2500000</v>
      </c>
      <c r="G33" s="734"/>
      <c r="H33" s="734"/>
      <c r="I33" s="1756">
        <f t="shared" ref="I33:I48" si="1">((E33+F33)-H33)+G33</f>
        <v>2500000</v>
      </c>
      <c r="J33" s="734">
        <v>2500000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5390000</v>
      </c>
      <c r="D49" s="745"/>
      <c r="E49" s="1756">
        <f t="shared" ref="E49:J49" si="2">SUM(E31:E48)</f>
        <v>2890000</v>
      </c>
      <c r="F49" s="1756">
        <f t="shared" si="2"/>
        <v>2500000</v>
      </c>
      <c r="G49" s="1756">
        <f t="shared" si="2"/>
        <v>0</v>
      </c>
      <c r="H49" s="1756">
        <f t="shared" si="2"/>
        <v>415000</v>
      </c>
      <c r="I49" s="1756">
        <f t="shared" si="2"/>
        <v>4975000</v>
      </c>
      <c r="J49" s="1756">
        <f t="shared" si="2"/>
        <v>4795147</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856</v>
      </c>
      <c r="B1" s="2241"/>
      <c r="C1" s="2241"/>
      <c r="D1" s="2241"/>
      <c r="E1" s="2241"/>
      <c r="F1" s="2241"/>
      <c r="G1" s="2242"/>
      <c r="H1" s="1530"/>
      <c r="I1" s="760"/>
      <c r="J1" s="433"/>
    </row>
    <row r="2" spans="1:11" ht="26.25" x14ac:dyDescent="0.2">
      <c r="A2" s="2219" t="s">
        <v>1677</v>
      </c>
      <c r="B2" s="2220"/>
      <c r="C2" s="2220"/>
      <c r="D2" s="2220"/>
      <c r="E2" s="2221"/>
      <c r="F2" s="761" t="s">
        <v>904</v>
      </c>
      <c r="G2" s="762" t="s">
        <v>1674</v>
      </c>
      <c r="H2" s="762" t="s">
        <v>410</v>
      </c>
      <c r="I2" s="762" t="s">
        <v>1158</v>
      </c>
      <c r="J2" s="762" t="s">
        <v>1812</v>
      </c>
      <c r="K2" s="762" t="s">
        <v>138</v>
      </c>
    </row>
    <row r="3" spans="1:11" x14ac:dyDescent="0.2">
      <c r="A3" s="2222" t="s">
        <v>1964</v>
      </c>
      <c r="B3" s="2223"/>
      <c r="C3" s="2223"/>
      <c r="D3" s="2223"/>
      <c r="E3" s="2224"/>
      <c r="F3" s="763"/>
      <c r="G3" s="764"/>
      <c r="H3" s="764"/>
      <c r="I3" s="764"/>
      <c r="J3" s="765">
        <v>701779</v>
      </c>
      <c r="K3" s="765"/>
    </row>
    <row r="4" spans="1:11" x14ac:dyDescent="0.2">
      <c r="A4" s="2225" t="s">
        <v>369</v>
      </c>
      <c r="B4" s="2226"/>
      <c r="C4" s="2226"/>
      <c r="D4" s="2226"/>
      <c r="E4" s="2207"/>
      <c r="F4" s="766"/>
      <c r="G4" s="767"/>
      <c r="H4" s="768"/>
      <c r="I4" s="767"/>
      <c r="J4" s="769"/>
      <c r="K4" s="769"/>
    </row>
    <row r="5" spans="1:11" x14ac:dyDescent="0.2">
      <c r="A5" s="2243" t="s">
        <v>1069</v>
      </c>
      <c r="B5" s="2216"/>
      <c r="C5" s="2216"/>
      <c r="D5" s="2216"/>
      <c r="E5" s="2244"/>
      <c r="F5" s="770" t="s">
        <v>848</v>
      </c>
      <c r="G5" s="771"/>
      <c r="H5" s="764">
        <v>28619</v>
      </c>
      <c r="I5" s="772"/>
      <c r="J5" s="773"/>
      <c r="K5" s="773"/>
    </row>
    <row r="6" spans="1:11" x14ac:dyDescent="0.2">
      <c r="A6" s="774" t="s">
        <v>720</v>
      </c>
      <c r="B6" s="775"/>
      <c r="C6" s="775"/>
      <c r="D6" s="775"/>
      <c r="E6" s="776"/>
      <c r="F6" s="777" t="s">
        <v>849</v>
      </c>
      <c r="G6" s="764"/>
      <c r="H6" s="764"/>
      <c r="I6" s="764"/>
      <c r="J6" s="765">
        <v>855</v>
      </c>
      <c r="K6" s="765"/>
    </row>
    <row r="7" spans="1:11" x14ac:dyDescent="0.2">
      <c r="A7" s="778" t="s">
        <v>246</v>
      </c>
      <c r="B7" s="779"/>
      <c r="C7" s="779"/>
      <c r="D7" s="779"/>
      <c r="E7" s="780"/>
      <c r="F7" s="770" t="s">
        <v>850</v>
      </c>
      <c r="G7" s="767"/>
      <c r="H7" s="767"/>
      <c r="I7" s="767"/>
      <c r="J7" s="781"/>
      <c r="K7" s="765">
        <v>3275</v>
      </c>
    </row>
    <row r="8" spans="1:11" x14ac:dyDescent="0.2">
      <c r="A8" s="778" t="s">
        <v>345</v>
      </c>
      <c r="B8" s="779"/>
      <c r="C8" s="779"/>
      <c r="D8" s="779"/>
      <c r="E8" s="780"/>
      <c r="F8" s="770" t="s">
        <v>851</v>
      </c>
      <c r="G8" s="782"/>
      <c r="H8" s="782"/>
      <c r="I8" s="782"/>
      <c r="J8" s="765">
        <v>658008</v>
      </c>
      <c r="K8" s="769"/>
    </row>
    <row r="9" spans="1:11" x14ac:dyDescent="0.2">
      <c r="A9" s="778" t="s">
        <v>138</v>
      </c>
      <c r="B9" s="779"/>
      <c r="C9" s="779"/>
      <c r="D9" s="779"/>
      <c r="E9" s="780"/>
      <c r="F9" s="777" t="s">
        <v>853</v>
      </c>
      <c r="G9" s="782"/>
      <c r="H9" s="771"/>
      <c r="I9" s="771"/>
      <c r="J9" s="781"/>
      <c r="K9" s="765">
        <v>12299</v>
      </c>
    </row>
    <row r="10" spans="1:11" x14ac:dyDescent="0.2">
      <c r="A10" s="2243" t="s">
        <v>1813</v>
      </c>
      <c r="B10" s="2216"/>
      <c r="C10" s="2216"/>
      <c r="D10" s="2216"/>
      <c r="E10" s="2245"/>
      <c r="F10" s="783" t="s">
        <v>862</v>
      </c>
      <c r="G10" s="782"/>
      <c r="H10" s="784"/>
      <c r="I10" s="764"/>
      <c r="J10" s="765"/>
      <c r="K10" s="765"/>
    </row>
    <row r="11" spans="1:11" x14ac:dyDescent="0.2">
      <c r="A11" s="2243" t="s">
        <v>160</v>
      </c>
      <c r="B11" s="2216"/>
      <c r="C11" s="2216"/>
      <c r="D11" s="2216"/>
      <c r="E11" s="2244"/>
      <c r="F11" s="770" t="s">
        <v>852</v>
      </c>
      <c r="G11" s="771"/>
      <c r="H11" s="764"/>
      <c r="I11" s="764"/>
      <c r="J11" s="765"/>
      <c r="K11" s="773"/>
    </row>
    <row r="12" spans="1:11" ht="13.5" thickBot="1" x14ac:dyDescent="0.25">
      <c r="A12" s="2233" t="s">
        <v>905</v>
      </c>
      <c r="B12" s="2234"/>
      <c r="C12" s="2234"/>
      <c r="D12" s="2234"/>
      <c r="E12" s="2235"/>
      <c r="F12" s="1757"/>
      <c r="G12" s="1758">
        <f>SUM(G5:G11)</f>
        <v>0</v>
      </c>
      <c r="H12" s="1758">
        <f>SUM(H5:H11)</f>
        <v>28619</v>
      </c>
      <c r="I12" s="1758">
        <f>SUM(I5:I11)</f>
        <v>0</v>
      </c>
      <c r="J12" s="1758">
        <f>SUM(J5:J11)</f>
        <v>658863</v>
      </c>
      <c r="K12" s="1758">
        <f>SUM(K5:K11)</f>
        <v>15574</v>
      </c>
    </row>
    <row r="13" spans="1:11" ht="13.5" thickTop="1" x14ac:dyDescent="0.2">
      <c r="A13" s="2227" t="s">
        <v>370</v>
      </c>
      <c r="B13" s="2228"/>
      <c r="C13" s="2228"/>
      <c r="D13" s="2228"/>
      <c r="E13" s="2229"/>
      <c r="F13" s="785"/>
      <c r="G13" s="786"/>
      <c r="H13" s="787"/>
      <c r="I13" s="788"/>
      <c r="J13" s="788"/>
      <c r="K13" s="788"/>
    </row>
    <row r="14" spans="1:11" x14ac:dyDescent="0.2">
      <c r="A14" s="2249" t="s">
        <v>456</v>
      </c>
      <c r="B14" s="2249"/>
      <c r="C14" s="2249"/>
      <c r="D14" s="2249"/>
      <c r="E14" s="2250"/>
      <c r="F14" s="789" t="s">
        <v>854</v>
      </c>
      <c r="G14" s="782"/>
      <c r="H14" s="764">
        <v>28619</v>
      </c>
      <c r="I14" s="771"/>
      <c r="J14" s="773"/>
      <c r="K14" s="765">
        <v>15574</v>
      </c>
    </row>
    <row r="15" spans="1:11" x14ac:dyDescent="0.2">
      <c r="A15" s="2216" t="s">
        <v>4</v>
      </c>
      <c r="B15" s="2216"/>
      <c r="C15" s="2216"/>
      <c r="D15" s="2216"/>
      <c r="E15" s="2244"/>
      <c r="F15" s="789" t="s">
        <v>855</v>
      </c>
      <c r="G15" s="771"/>
      <c r="H15" s="764"/>
      <c r="I15" s="764"/>
      <c r="J15" s="765">
        <v>535036</v>
      </c>
      <c r="K15" s="765"/>
    </row>
    <row r="16" spans="1:11" x14ac:dyDescent="0.2">
      <c r="A16" s="2216" t="s">
        <v>298</v>
      </c>
      <c r="B16" s="2216"/>
      <c r="C16" s="2216"/>
      <c r="D16" s="2216"/>
      <c r="E16" s="2244"/>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51" t="s">
        <v>1809</v>
      </c>
      <c r="B19" s="2251"/>
      <c r="C19" s="2251"/>
      <c r="D19" s="2251"/>
      <c r="E19" s="2252"/>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36" t="s">
        <v>638</v>
      </c>
      <c r="B21" s="2236"/>
      <c r="C21" s="2236"/>
      <c r="D21" s="2236"/>
      <c r="E21" s="2236"/>
      <c r="F21" s="1759"/>
      <c r="G21" s="792"/>
      <c r="H21" s="796"/>
      <c r="I21" s="796"/>
      <c r="J21" s="1760">
        <f>SUM(J18:J20)</f>
        <v>0</v>
      </c>
      <c r="K21" s="793"/>
    </row>
    <row r="22" spans="1:11" ht="13.5" thickTop="1" x14ac:dyDescent="0.2">
      <c r="A22" s="2216" t="s">
        <v>1815</v>
      </c>
      <c r="B22" s="2216"/>
      <c r="C22" s="2216"/>
      <c r="D22" s="2216"/>
      <c r="E22" s="2244"/>
      <c r="F22" s="789" t="s">
        <v>862</v>
      </c>
      <c r="G22" s="782"/>
      <c r="H22" s="764"/>
      <c r="I22" s="764"/>
      <c r="J22" s="797"/>
      <c r="K22" s="765"/>
    </row>
    <row r="23" spans="1:11" ht="13.5" thickBot="1" x14ac:dyDescent="0.25">
      <c r="A23" s="2237" t="s">
        <v>906</v>
      </c>
      <c r="B23" s="2236"/>
      <c r="C23" s="2236"/>
      <c r="D23" s="2236"/>
      <c r="E23" s="2236"/>
      <c r="F23" s="1761"/>
      <c r="G23" s="1758">
        <f>SUM(G14:G16,G21,G22)</f>
        <v>0</v>
      </c>
      <c r="H23" s="1758">
        <f>SUM(H14:H16,H21,H22)</f>
        <v>28619</v>
      </c>
      <c r="I23" s="1758">
        <f>SUM(I14:I16,I21,I22)</f>
        <v>0</v>
      </c>
      <c r="J23" s="1758">
        <f>SUM(J14:J16,J21,J22)</f>
        <v>535036</v>
      </c>
      <c r="K23" s="1758">
        <f>SUM(K14:K16,K21,K22)</f>
        <v>15574</v>
      </c>
    </row>
    <row r="24" spans="1:11" ht="14.25" thickTop="1" thickBot="1" x14ac:dyDescent="0.25">
      <c r="A24" s="2237" t="s">
        <v>1965</v>
      </c>
      <c r="B24" s="2236"/>
      <c r="C24" s="2236"/>
      <c r="D24" s="2236"/>
      <c r="E24" s="2236"/>
      <c r="F24" s="1762"/>
      <c r="G24" s="1763">
        <f>SUM(G3,G12)-G23</f>
        <v>0</v>
      </c>
      <c r="H24" s="1763">
        <f>SUM(H3,H12)-H23</f>
        <v>0</v>
      </c>
      <c r="I24" s="1763">
        <f>SUM(I3,I12)-I23</f>
        <v>0</v>
      </c>
      <c r="J24" s="1763">
        <f>SUM(J3,J12)-J23</f>
        <v>825606</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825606</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17"/>
      <c r="C41" s="2217"/>
      <c r="D41" s="2217"/>
      <c r="E41" s="2217"/>
      <c r="F41" s="221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1909</v>
      </c>
      <c r="B1" s="2256"/>
      <c r="C1" s="2257"/>
      <c r="D1" s="826"/>
      <c r="E1" s="827"/>
      <c r="F1" s="827"/>
      <c r="G1" s="828"/>
      <c r="H1" s="829"/>
      <c r="I1" s="830"/>
      <c r="J1" s="2253"/>
      <c r="K1" s="2254"/>
      <c r="L1" s="2254"/>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43000</v>
      </c>
      <c r="D5" s="841"/>
      <c r="E5" s="841"/>
      <c r="F5" s="1760">
        <f>(C5+D5)-E5</f>
        <v>43000</v>
      </c>
      <c r="G5" s="837"/>
      <c r="H5" s="842"/>
      <c r="I5" s="842"/>
      <c r="J5" s="842"/>
      <c r="K5" s="793"/>
      <c r="L5" s="1769">
        <f>F5-K5</f>
        <v>43000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8391499</v>
      </c>
      <c r="D8" s="844">
        <v>336686</v>
      </c>
      <c r="E8" s="844"/>
      <c r="F8" s="1760">
        <f>(C8+D8)-E8</f>
        <v>8728185</v>
      </c>
      <c r="G8" s="843">
        <v>50</v>
      </c>
      <c r="H8" s="765">
        <v>4348281</v>
      </c>
      <c r="I8" s="765">
        <v>145772</v>
      </c>
      <c r="J8" s="765"/>
      <c r="K8" s="1769">
        <f>(H8+I8)-J8</f>
        <v>4494053</v>
      </c>
      <c r="L8" s="1769">
        <f>F8-K8</f>
        <v>4234132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627983</v>
      </c>
      <c r="D10" s="846"/>
      <c r="E10" s="846"/>
      <c r="F10" s="1764">
        <f>(C10+D10)-E10</f>
        <v>627983</v>
      </c>
      <c r="G10" s="843">
        <v>20</v>
      </c>
      <c r="H10" s="847">
        <v>311503</v>
      </c>
      <c r="I10" s="847">
        <v>29027</v>
      </c>
      <c r="J10" s="847"/>
      <c r="K10" s="1769">
        <f>(H10+I10)-J10</f>
        <v>340530</v>
      </c>
      <c r="L10" s="1769">
        <f>F10-K10</f>
        <v>287453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948005</v>
      </c>
      <c r="D12" s="844">
        <v>96318</v>
      </c>
      <c r="E12" s="844">
        <v>205463</v>
      </c>
      <c r="F12" s="1760">
        <f>(C12+D12)-E12</f>
        <v>838860</v>
      </c>
      <c r="G12" s="843">
        <v>10</v>
      </c>
      <c r="H12" s="765">
        <v>590916</v>
      </c>
      <c r="I12" s="765">
        <v>100937</v>
      </c>
      <c r="J12" s="765">
        <v>205463</v>
      </c>
      <c r="K12" s="1769">
        <f>(H12+I12)-J12</f>
        <v>486390</v>
      </c>
      <c r="L12" s="1769">
        <f>F12-K12</f>
        <v>352470</v>
      </c>
    </row>
    <row r="13" spans="1:14" ht="14.25" thickTop="1" thickBot="1" x14ac:dyDescent="0.25">
      <c r="A13" s="848" t="s">
        <v>1122</v>
      </c>
      <c r="B13" s="840">
        <v>252</v>
      </c>
      <c r="C13" s="844">
        <v>1394549</v>
      </c>
      <c r="D13" s="844">
        <v>170826</v>
      </c>
      <c r="E13" s="844"/>
      <c r="F13" s="1760">
        <f>(C13+D13)-E13</f>
        <v>1565375</v>
      </c>
      <c r="G13" s="843">
        <v>5</v>
      </c>
      <c r="H13" s="765">
        <v>1304140</v>
      </c>
      <c r="I13" s="765">
        <v>71963</v>
      </c>
      <c r="J13" s="765"/>
      <c r="K13" s="1769">
        <f>(H13+I13)-J13</f>
        <v>1376103</v>
      </c>
      <c r="L13" s="1769">
        <f>F13-K13</f>
        <v>189272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23205</v>
      </c>
      <c r="E15" s="844"/>
      <c r="F15" s="1760">
        <f>(C15+D15)-E15</f>
        <v>23205</v>
      </c>
      <c r="G15" s="849" t="s">
        <v>862</v>
      </c>
      <c r="H15" s="781"/>
      <c r="I15" s="781"/>
      <c r="J15" s="781"/>
      <c r="K15" s="781"/>
      <c r="L15" s="1769">
        <f>F15-K15</f>
        <v>23205</v>
      </c>
    </row>
    <row r="16" spans="1:14" ht="15" customHeight="1" thickTop="1" thickBot="1" x14ac:dyDescent="0.25">
      <c r="A16" s="1765" t="s">
        <v>643</v>
      </c>
      <c r="B16" s="1766">
        <v>200</v>
      </c>
      <c r="C16" s="1760">
        <f>SUM(C3,C5:C6,C8:C10,C12:C15)</f>
        <v>11405036</v>
      </c>
      <c r="D16" s="1760">
        <f>SUM(D3,D5:D6,D8:D10,D12:D15)</f>
        <v>627035</v>
      </c>
      <c r="E16" s="1760">
        <f>SUM(E3,E5:E6,E8:E10,E12:E15)</f>
        <v>205463</v>
      </c>
      <c r="F16" s="1760">
        <f>SUM(F3,F5:F6,F8:F10,F12:F15)</f>
        <v>11826608</v>
      </c>
      <c r="G16" s="843"/>
      <c r="H16" s="1760">
        <f>SUM(H3,H6,H8:H10,H12:H14,)</f>
        <v>6554840</v>
      </c>
      <c r="I16" s="1760">
        <f>SUM(I3,I6,I8:I10,I12:I14,)</f>
        <v>347699</v>
      </c>
      <c r="J16" s="1760">
        <f>SUM(J3,J6,J8:J10,J12:J14,)</f>
        <v>205463</v>
      </c>
      <c r="K16" s="1760">
        <f>(H16+I16)-J16</f>
        <v>6697076</v>
      </c>
      <c r="L16" s="1760">
        <f>F16-K16</f>
        <v>5129532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347699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1975</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6588048</v>
      </c>
      <c r="G8" s="865"/>
    </row>
    <row r="9" spans="1:7" x14ac:dyDescent="0.2">
      <c r="A9" s="869" t="s">
        <v>460</v>
      </c>
      <c r="B9" s="870" t="s">
        <v>1877</v>
      </c>
      <c r="C9" s="871"/>
      <c r="D9" s="869" t="s">
        <v>501</v>
      </c>
      <c r="E9" s="868"/>
      <c r="F9" s="1909">
        <f>'Expenditures 15-22'!K151</f>
        <v>377206</v>
      </c>
      <c r="G9" s="872"/>
    </row>
    <row r="10" spans="1:7" x14ac:dyDescent="0.2">
      <c r="A10" s="869" t="s">
        <v>499</v>
      </c>
      <c r="B10" s="870" t="s">
        <v>1878</v>
      </c>
      <c r="C10" s="871"/>
      <c r="D10" s="869" t="s">
        <v>501</v>
      </c>
      <c r="E10" s="868"/>
      <c r="F10" s="1909">
        <f>'Expenditures 15-22'!K174</f>
        <v>593347</v>
      </c>
      <c r="G10" s="872"/>
    </row>
    <row r="11" spans="1:7" x14ac:dyDescent="0.2">
      <c r="A11" s="869" t="s">
        <v>461</v>
      </c>
      <c r="B11" s="870" t="s">
        <v>1879</v>
      </c>
      <c r="C11" s="871"/>
      <c r="D11" s="869" t="s">
        <v>501</v>
      </c>
      <c r="E11" s="868"/>
      <c r="F11" s="1909">
        <f>'Expenditures 15-22'!K210</f>
        <v>891283</v>
      </c>
      <c r="G11" s="872"/>
    </row>
    <row r="12" spans="1:7" x14ac:dyDescent="0.2">
      <c r="A12" s="869" t="s">
        <v>462</v>
      </c>
      <c r="B12" s="870" t="s">
        <v>1880</v>
      </c>
      <c r="C12" s="871"/>
      <c r="D12" s="869" t="s">
        <v>501</v>
      </c>
      <c r="E12" s="868"/>
      <c r="F12" s="1909">
        <f>'Expenditures 15-22'!K295</f>
        <v>314448</v>
      </c>
      <c r="G12" s="872"/>
    </row>
    <row r="13" spans="1:7" x14ac:dyDescent="0.2">
      <c r="A13" s="869" t="s">
        <v>106</v>
      </c>
      <c r="B13" s="870" t="s">
        <v>1881</v>
      </c>
      <c r="C13" s="871"/>
      <c r="D13" s="869" t="s">
        <v>501</v>
      </c>
      <c r="E13" s="868"/>
      <c r="F13" s="1909">
        <f>'Expenditures 15-22'!K342</f>
        <v>495878</v>
      </c>
      <c r="G13" s="873"/>
    </row>
    <row r="14" spans="1:7" ht="12" customHeight="1" thickBot="1" x14ac:dyDescent="0.25">
      <c r="A14" s="1770"/>
      <c r="B14" s="1771"/>
      <c r="C14" s="1772"/>
      <c r="D14" s="1773" t="s">
        <v>501</v>
      </c>
      <c r="E14" s="1774" t="s">
        <v>958</v>
      </c>
      <c r="F14" s="1775">
        <f>SUM(F8:F13)</f>
        <v>9260210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4179</v>
      </c>
      <c r="G52" s="865"/>
    </row>
    <row r="53" spans="1:7" x14ac:dyDescent="0.2">
      <c r="A53" s="869" t="s">
        <v>459</v>
      </c>
      <c r="B53" s="869" t="s">
        <v>1475</v>
      </c>
      <c r="C53" s="889">
        <f>'Expenditures 15-22'!B102</f>
        <v>4000</v>
      </c>
      <c r="D53" s="888" t="str">
        <f>'Expenditures 15-22'!A102</f>
        <v>Total Payments to Other Govt Units</v>
      </c>
      <c r="E53" s="868"/>
      <c r="F53" s="1913">
        <f>'Expenditures 15-22'!K102</f>
        <v>359429</v>
      </c>
      <c r="G53" s="865"/>
    </row>
    <row r="54" spans="1:7" x14ac:dyDescent="0.2">
      <c r="A54" s="869" t="s">
        <v>459</v>
      </c>
      <c r="B54" s="869" t="s">
        <v>1476</v>
      </c>
      <c r="C54" s="889" t="s">
        <v>982</v>
      </c>
      <c r="D54" s="885" t="s">
        <v>1095</v>
      </c>
      <c r="E54" s="868"/>
      <c r="F54" s="1913">
        <f>'Expenditures 15-22'!G114</f>
        <v>49296</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29936</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415000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170826</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320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1028986</v>
      </c>
      <c r="G76" s="865"/>
    </row>
    <row r="77" spans="1:8" s="893" customFormat="1" ht="12" customHeight="1" thickTop="1" thickBot="1" x14ac:dyDescent="0.25">
      <c r="A77" s="1779"/>
      <c r="B77" s="1776"/>
      <c r="C77" s="1772"/>
      <c r="D77" s="1777" t="s">
        <v>1900</v>
      </c>
      <c r="E77" s="1774"/>
      <c r="F77" s="1780">
        <f>(F14-F76)</f>
        <v>8231224</v>
      </c>
      <c r="G77" s="869"/>
    </row>
    <row r="78" spans="1:8" s="893" customFormat="1" ht="12" customHeight="1" thickTop="1" x14ac:dyDescent="0.2">
      <c r="A78" s="1781"/>
      <c r="B78" s="1776"/>
      <c r="C78" s="1772"/>
      <c r="D78" s="1777" t="s">
        <v>2062</v>
      </c>
      <c r="E78" s="1774"/>
      <c r="F78" s="898">
        <v>839.4</v>
      </c>
      <c r="G78" s="899"/>
      <c r="H78" s="869"/>
    </row>
    <row r="79" spans="1:8" s="893" customFormat="1" ht="12" customHeight="1" thickBot="1" x14ac:dyDescent="0.25">
      <c r="A79" s="1782"/>
      <c r="B79" s="1776"/>
      <c r="C79" s="1772"/>
      <c r="D79" s="1777" t="s">
        <v>1901</v>
      </c>
      <c r="E79" s="1774" t="s">
        <v>958</v>
      </c>
      <c r="F79" s="1783">
        <f>IF(F78&gt;0,F77/F78," Complete Line 78")</f>
        <v>9806.0805337145575</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13869</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9702</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78538</v>
      </c>
      <c r="G94" s="912"/>
    </row>
    <row r="95" spans="1:7" x14ac:dyDescent="0.2">
      <c r="A95" s="908" t="s">
        <v>140</v>
      </c>
      <c r="B95" s="908" t="s">
        <v>175</v>
      </c>
      <c r="C95" s="910">
        <v>1700</v>
      </c>
      <c r="D95" s="918" t="str">
        <f>'Revenues 9-14'!A82</f>
        <v>Total District/School Activity Income</v>
      </c>
      <c r="E95" s="906"/>
      <c r="F95" s="1789">
        <f>SUM('Revenues 9-14'!C82,'Revenues 9-14'!D82)</f>
        <v>96074</v>
      </c>
      <c r="G95" s="912"/>
    </row>
    <row r="96" spans="1:7" x14ac:dyDescent="0.2">
      <c r="A96" s="908" t="s">
        <v>459</v>
      </c>
      <c r="B96" s="908" t="s">
        <v>176</v>
      </c>
      <c r="C96" s="910">
        <f>'Revenues 9-14'!B84</f>
        <v>1811</v>
      </c>
      <c r="D96" s="911" t="str">
        <f>'Revenues 9-14'!A84</f>
        <v>Rentals - Regular Textbooks</v>
      </c>
      <c r="E96" s="906"/>
      <c r="F96" s="1789">
        <f>'Revenues 9-14'!C84</f>
        <v>27105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299</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7795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16949</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4827</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4319</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12299</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555049</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2603</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16774</v>
      </c>
      <c r="G124" s="930"/>
    </row>
    <row r="125" spans="1:7" x14ac:dyDescent="0.2">
      <c r="A125" s="927" t="s">
        <v>664</v>
      </c>
      <c r="B125" s="927" t="s">
        <v>2023</v>
      </c>
      <c r="C125" s="932">
        <v>4200</v>
      </c>
      <c r="D125" s="929" t="str">
        <f>'Revenues 9-14'!A198</f>
        <v>Total Food Service</v>
      </c>
      <c r="E125" s="906"/>
      <c r="F125" s="1789">
        <f>SUM('Revenues 9-14'!C198,'Revenues 9-14'!G198)</f>
        <v>243545</v>
      </c>
      <c r="G125" s="930"/>
    </row>
    <row r="126" spans="1:7" x14ac:dyDescent="0.2">
      <c r="A126" s="927" t="s">
        <v>668</v>
      </c>
      <c r="B126" s="927" t="s">
        <v>2024</v>
      </c>
      <c r="C126" s="932">
        <v>4300</v>
      </c>
      <c r="D126" s="933" t="str">
        <f>'Revenues 9-14'!A204</f>
        <v>Total Title I</v>
      </c>
      <c r="E126" s="906"/>
      <c r="F126" s="1789">
        <f>SUM('Revenues 9-14'!C204,'Revenues 9-14'!D204,'Revenues 9-14'!F204,'Revenues 9-14'!G204)</f>
        <v>327479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17644</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9212</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54147</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10994</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55701</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13932</v>
      </c>
      <c r="G170" s="927"/>
    </row>
    <row r="171" spans="1:7" x14ac:dyDescent="0.2">
      <c r="A171" s="1918" t="s">
        <v>5</v>
      </c>
      <c r="B171" s="1919" t="s">
        <v>1920</v>
      </c>
      <c r="C171" s="1920">
        <v>3100</v>
      </c>
      <c r="D171" s="1921" t="s">
        <v>1922</v>
      </c>
      <c r="E171" s="906"/>
      <c r="F171" s="1906">
        <v>319391</v>
      </c>
      <c r="G171" s="927"/>
    </row>
    <row r="172" spans="1:7" x14ac:dyDescent="0.2">
      <c r="A172" s="1918" t="s">
        <v>664</v>
      </c>
      <c r="B172" s="1919" t="s">
        <v>1920</v>
      </c>
      <c r="C172" s="1920">
        <v>3300</v>
      </c>
      <c r="D172" s="1921" t="s">
        <v>1923</v>
      </c>
      <c r="E172" s="906"/>
      <c r="F172" s="1906">
        <v>5163</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1903410</v>
      </c>
    </row>
    <row r="175" spans="1:7" ht="12" customHeight="1" x14ac:dyDescent="0.2">
      <c r="A175" s="1770"/>
      <c r="B175" s="1784"/>
      <c r="C175" s="1785"/>
      <c r="D175" s="1786" t="s">
        <v>2057</v>
      </c>
      <c r="E175" s="1787"/>
      <c r="F175" s="1789">
        <f>'PCTC-OEPP 27-28'!F77-F174</f>
        <v>6327814</v>
      </c>
    </row>
    <row r="176" spans="1:7" ht="12" customHeight="1" x14ac:dyDescent="0.2">
      <c r="A176" s="1770"/>
      <c r="B176" s="1784"/>
      <c r="C176" s="1785"/>
      <c r="D176" s="1786" t="s">
        <v>1817</v>
      </c>
      <c r="E176" s="1787"/>
      <c r="F176" s="1789">
        <f>'Cap Outlay Deprec 26'!I18</f>
        <v>347699</v>
      </c>
    </row>
    <row r="177" spans="1:7" ht="12" customHeight="1" x14ac:dyDescent="0.2">
      <c r="A177" s="1770"/>
      <c r="B177" s="1784"/>
      <c r="C177" s="1785"/>
      <c r="D177" s="1786" t="s">
        <v>2058</v>
      </c>
      <c r="E177" s="1787"/>
      <c r="F177" s="1789">
        <f>F175+F176</f>
        <v>6675513</v>
      </c>
    </row>
    <row r="178" spans="1:7" ht="12" customHeight="1" x14ac:dyDescent="0.2">
      <c r="A178" s="1770"/>
      <c r="B178" s="1790"/>
      <c r="C178" s="1785"/>
      <c r="D178" s="1786" t="str">
        <f>D78</f>
        <v>9 Month ADA from District Average Daily Attendance/Prior General State Aid Inquiry 2018-2019</v>
      </c>
      <c r="E178" s="1787"/>
      <c r="F178" s="1791">
        <f>'PCTC-OEPP 27-28'!F78</f>
        <v>839.4</v>
      </c>
      <c r="G178" s="930"/>
    </row>
    <row r="179" spans="1:7" ht="12" customHeight="1" thickBot="1" x14ac:dyDescent="0.25">
      <c r="A179" s="1770"/>
      <c r="B179" s="1790"/>
      <c r="C179" s="1785"/>
      <c r="D179" s="1786" t="s">
        <v>2059</v>
      </c>
      <c r="E179" s="1787" t="s">
        <v>1545</v>
      </c>
      <c r="F179" s="1792">
        <f>F177/F178</f>
        <v>7952.7197998570409</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31" zoomScaleNormal="100" workbookViewId="0">
      <selection activeCell="B60" sqref="B6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534" t="s">
        <v>1819</v>
      </c>
      <c r="B6" s="1535"/>
      <c r="C6" s="1535"/>
      <c r="D6" s="1535"/>
      <c r="E6" s="1535"/>
      <c r="F6" s="1535"/>
      <c r="G6" s="1536"/>
    </row>
    <row r="7" spans="1:7" ht="30.75" customHeight="1" x14ac:dyDescent="0.25">
      <c r="A7" s="2278" t="s">
        <v>1932</v>
      </c>
      <c r="B7" s="2279"/>
      <c r="C7" s="2279"/>
      <c r="D7" s="2279"/>
      <c r="E7" s="2279"/>
      <c r="F7" s="2279"/>
      <c r="G7" s="2280"/>
    </row>
    <row r="8" spans="1:7" ht="15.75" customHeight="1" x14ac:dyDescent="0.25">
      <c r="A8" s="2281" t="s">
        <v>1907</v>
      </c>
      <c r="B8" s="2282"/>
      <c r="C8" s="2282"/>
      <c r="D8" s="2282"/>
      <c r="E8" s="2282"/>
      <c r="F8" s="2282"/>
      <c r="G8" s="2283"/>
    </row>
    <row r="9" spans="1:7" ht="35.25" customHeight="1" x14ac:dyDescent="0.25">
      <c r="A9" s="2278" t="s">
        <v>1935</v>
      </c>
      <c r="B9" s="2279"/>
      <c r="C9" s="2279"/>
      <c r="D9" s="2279"/>
      <c r="E9" s="2279"/>
      <c r="F9" s="2279"/>
      <c r="G9" s="2280"/>
    </row>
    <row r="10" spans="1:7" ht="15" customHeight="1" x14ac:dyDescent="0.25">
      <c r="A10" s="1537" t="s">
        <v>1820</v>
      </c>
      <c r="B10" s="1538"/>
      <c r="C10" s="1538"/>
      <c r="D10" s="1538"/>
      <c r="E10" s="1538"/>
      <c r="F10" s="1538"/>
      <c r="G10" s="1539"/>
    </row>
    <row r="11" spans="1:7" ht="17.25" customHeight="1" x14ac:dyDescent="0.25">
      <c r="A11" s="2278" t="s">
        <v>1934</v>
      </c>
      <c r="B11" s="2279"/>
      <c r="C11" s="2279"/>
      <c r="D11" s="2279"/>
      <c r="E11" s="2279"/>
      <c r="F11" s="2279"/>
      <c r="G11" s="2280"/>
    </row>
    <row r="12" spans="1:7" ht="15" customHeight="1" x14ac:dyDescent="0.25">
      <c r="A12" s="1537" t="s">
        <v>1825</v>
      </c>
      <c r="B12" s="1538"/>
      <c r="C12" s="1538"/>
      <c r="D12" s="1538"/>
      <c r="E12" s="1538"/>
      <c r="F12" s="1538"/>
      <c r="G12" s="1539"/>
    </row>
    <row r="13" spans="1:7" ht="32.25" customHeight="1" x14ac:dyDescent="0.25">
      <c r="A13" s="2269" t="s">
        <v>1976</v>
      </c>
      <c r="B13" s="2270"/>
      <c r="C13" s="2270"/>
      <c r="D13" s="2270"/>
      <c r="E13" s="2270"/>
      <c r="F13" s="2270"/>
      <c r="G13" s="2271"/>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5" t="s">
        <v>2095</v>
      </c>
      <c r="B17" s="1941" t="s">
        <v>2150</v>
      </c>
      <c r="C17" s="1936" t="s">
        <v>2096</v>
      </c>
      <c r="D17" s="1938">
        <v>3614.75</v>
      </c>
      <c r="E17" s="1540">
        <f t="shared" ref="E17:E141" si="0">IF(D17&lt;=25000,D17,IF(D17&gt;25000,25000,0))</f>
        <v>3614.75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3614.75</v>
      </c>
      <c r="G17" s="1793">
        <f>IF(F17=0,0,D17-F17)</f>
        <v>0</v>
      </c>
      <c r="H17" s="1647"/>
    </row>
    <row r="18" spans="1:8" x14ac:dyDescent="0.25">
      <c r="A18" s="1935" t="s">
        <v>2095</v>
      </c>
      <c r="B18" s="1941" t="s">
        <v>2150</v>
      </c>
      <c r="C18" s="1936" t="s">
        <v>2097</v>
      </c>
      <c r="D18" s="1938">
        <v>10818.63</v>
      </c>
      <c r="E18" s="1540">
        <f t="shared" ref="E18:E140" si="2">IF(D18&lt;=25000,D18,IF(D18&gt;25000,25000,0))</f>
        <v>10818.63</v>
      </c>
      <c r="F18" s="1932">
        <f t="shared" si="1"/>
        <v>10818.63</v>
      </c>
      <c r="G18" s="1793">
        <f t="shared" ref="G18:G140" si="3">IF(F18=0,0,D18-F18)</f>
        <v>0</v>
      </c>
    </row>
    <row r="19" spans="1:8" x14ac:dyDescent="0.25">
      <c r="A19" s="1935" t="s">
        <v>2095</v>
      </c>
      <c r="B19" s="1941" t="s">
        <v>2150</v>
      </c>
      <c r="C19" s="1936" t="s">
        <v>2098</v>
      </c>
      <c r="D19" s="1938">
        <v>1297</v>
      </c>
      <c r="E19" s="1540">
        <f t="shared" si="2"/>
        <v>1297</v>
      </c>
      <c r="F19" s="1932">
        <f t="shared" si="1"/>
        <v>1297</v>
      </c>
      <c r="G19" s="1793">
        <f t="shared" si="3"/>
        <v>0</v>
      </c>
    </row>
    <row r="20" spans="1:8" x14ac:dyDescent="0.25">
      <c r="A20" s="1935" t="s">
        <v>2095</v>
      </c>
      <c r="B20" s="1941" t="s">
        <v>2150</v>
      </c>
      <c r="C20" s="1936" t="s">
        <v>2099</v>
      </c>
      <c r="D20" s="1938">
        <v>2468</v>
      </c>
      <c r="E20" s="1540">
        <f t="shared" si="2"/>
        <v>2468</v>
      </c>
      <c r="F20" s="1932">
        <f t="shared" si="1"/>
        <v>2468</v>
      </c>
      <c r="G20" s="1793">
        <f t="shared" si="3"/>
        <v>0</v>
      </c>
    </row>
    <row r="21" spans="1:8" x14ac:dyDescent="0.25">
      <c r="A21" s="1935" t="s">
        <v>2095</v>
      </c>
      <c r="B21" s="1941" t="s">
        <v>2150</v>
      </c>
      <c r="C21" s="1936" t="s">
        <v>2100</v>
      </c>
      <c r="D21" s="1938">
        <v>6494</v>
      </c>
      <c r="E21" s="1540">
        <f t="shared" si="2"/>
        <v>6494</v>
      </c>
      <c r="F21" s="1932">
        <f t="shared" si="1"/>
        <v>6494</v>
      </c>
      <c r="G21" s="1793">
        <f t="shared" si="3"/>
        <v>0</v>
      </c>
    </row>
    <row r="22" spans="1:8" x14ac:dyDescent="0.25">
      <c r="A22" s="1935" t="s">
        <v>2095</v>
      </c>
      <c r="B22" s="1941" t="s">
        <v>2150</v>
      </c>
      <c r="C22" s="1936" t="s">
        <v>2101</v>
      </c>
      <c r="D22" s="1938">
        <v>1177</v>
      </c>
      <c r="E22" s="1540">
        <f t="shared" si="2"/>
        <v>1177</v>
      </c>
      <c r="F22" s="1932">
        <f t="shared" si="1"/>
        <v>1177</v>
      </c>
      <c r="G22" s="1793">
        <f t="shared" si="3"/>
        <v>0</v>
      </c>
    </row>
    <row r="23" spans="1:8" x14ac:dyDescent="0.25">
      <c r="A23" s="1935" t="s">
        <v>2095</v>
      </c>
      <c r="B23" s="1941" t="s">
        <v>2150</v>
      </c>
      <c r="C23" s="1936" t="s">
        <v>2096</v>
      </c>
      <c r="D23" s="1938">
        <v>3615</v>
      </c>
      <c r="E23" s="1540">
        <f t="shared" si="2"/>
        <v>3615</v>
      </c>
      <c r="F23" s="1932">
        <f t="shared" si="1"/>
        <v>3615</v>
      </c>
      <c r="G23" s="1793">
        <f t="shared" si="3"/>
        <v>0</v>
      </c>
    </row>
    <row r="24" spans="1:8" x14ac:dyDescent="0.25">
      <c r="A24" s="1935" t="s">
        <v>2095</v>
      </c>
      <c r="B24" s="1941" t="s">
        <v>2150</v>
      </c>
      <c r="C24" s="1936" t="s">
        <v>2098</v>
      </c>
      <c r="D24" s="1938">
        <v>1713</v>
      </c>
      <c r="E24" s="1540">
        <f t="shared" si="2"/>
        <v>1713</v>
      </c>
      <c r="F24" s="1932">
        <f t="shared" si="1"/>
        <v>1713</v>
      </c>
      <c r="G24" s="1793">
        <f t="shared" si="3"/>
        <v>0</v>
      </c>
    </row>
    <row r="25" spans="1:8" x14ac:dyDescent="0.25">
      <c r="A25" s="1935" t="s">
        <v>2095</v>
      </c>
      <c r="B25" s="1941" t="s">
        <v>2150</v>
      </c>
      <c r="C25" s="1936" t="s">
        <v>2100</v>
      </c>
      <c r="D25" s="1938">
        <v>1766</v>
      </c>
      <c r="E25" s="1540">
        <f t="shared" si="2"/>
        <v>1766</v>
      </c>
      <c r="F25" s="1932">
        <f t="shared" si="1"/>
        <v>1766</v>
      </c>
      <c r="G25" s="1793">
        <f t="shared" si="3"/>
        <v>0</v>
      </c>
    </row>
    <row r="26" spans="1:8" x14ac:dyDescent="0.25">
      <c r="A26" s="1935" t="s">
        <v>2095</v>
      </c>
      <c r="B26" s="1941" t="s">
        <v>2150</v>
      </c>
      <c r="C26" s="1936" t="s">
        <v>2101</v>
      </c>
      <c r="D26" s="1938">
        <v>2582</v>
      </c>
      <c r="E26" s="1540">
        <f t="shared" si="2"/>
        <v>2582</v>
      </c>
      <c r="F26" s="1932">
        <f t="shared" si="1"/>
        <v>2582</v>
      </c>
      <c r="G26" s="1793">
        <f t="shared" si="3"/>
        <v>0</v>
      </c>
    </row>
    <row r="27" spans="1:8" x14ac:dyDescent="0.25">
      <c r="A27" s="1935" t="s">
        <v>2095</v>
      </c>
      <c r="B27" s="1941" t="s">
        <v>2150</v>
      </c>
      <c r="C27" s="1936" t="s">
        <v>2096</v>
      </c>
      <c r="D27" s="1938">
        <v>3615</v>
      </c>
      <c r="E27" s="1540">
        <f t="shared" si="2"/>
        <v>3615</v>
      </c>
      <c r="F27" s="1932">
        <f t="shared" si="1"/>
        <v>3615</v>
      </c>
      <c r="G27" s="1793">
        <f t="shared" si="3"/>
        <v>0</v>
      </c>
    </row>
    <row r="28" spans="1:8" x14ac:dyDescent="0.25">
      <c r="A28" s="1935" t="s">
        <v>2095</v>
      </c>
      <c r="B28" s="1941" t="s">
        <v>2150</v>
      </c>
      <c r="C28" s="1936" t="s">
        <v>2098</v>
      </c>
      <c r="D28" s="1938">
        <v>2785</v>
      </c>
      <c r="E28" s="1540">
        <f t="shared" si="2"/>
        <v>2785</v>
      </c>
      <c r="F28" s="1932">
        <f t="shared" si="1"/>
        <v>2785</v>
      </c>
      <c r="G28" s="1793">
        <f t="shared" si="3"/>
        <v>0</v>
      </c>
    </row>
    <row r="29" spans="1:8" x14ac:dyDescent="0.25">
      <c r="A29" s="1935" t="s">
        <v>2095</v>
      </c>
      <c r="B29" s="1941" t="s">
        <v>2150</v>
      </c>
      <c r="C29" s="1936" t="s">
        <v>2100</v>
      </c>
      <c r="D29" s="1938">
        <v>1269</v>
      </c>
      <c r="E29" s="1540">
        <f t="shared" si="2"/>
        <v>1269</v>
      </c>
      <c r="F29" s="1932">
        <f t="shared" si="1"/>
        <v>1269</v>
      </c>
      <c r="G29" s="1793">
        <f t="shared" si="3"/>
        <v>0</v>
      </c>
    </row>
    <row r="30" spans="1:8" x14ac:dyDescent="0.25">
      <c r="A30" s="1935" t="s">
        <v>2095</v>
      </c>
      <c r="B30" s="1941" t="s">
        <v>2150</v>
      </c>
      <c r="C30" s="1936" t="s">
        <v>2101</v>
      </c>
      <c r="D30" s="1938">
        <v>5328</v>
      </c>
      <c r="E30" s="1540">
        <f t="shared" si="2"/>
        <v>5328</v>
      </c>
      <c r="F30" s="1932">
        <f t="shared" si="1"/>
        <v>5328</v>
      </c>
      <c r="G30" s="1793">
        <f t="shared" si="3"/>
        <v>0</v>
      </c>
    </row>
    <row r="31" spans="1:8" x14ac:dyDescent="0.25">
      <c r="A31" s="1935" t="s">
        <v>2102</v>
      </c>
      <c r="B31" s="1941" t="s">
        <v>2150</v>
      </c>
      <c r="C31" s="1936" t="s">
        <v>2103</v>
      </c>
      <c r="D31" s="1938">
        <v>2995</v>
      </c>
      <c r="E31" s="1540">
        <f t="shared" si="2"/>
        <v>2995</v>
      </c>
      <c r="F31" s="1932">
        <f t="shared" si="1"/>
        <v>2995</v>
      </c>
      <c r="G31" s="1793">
        <f t="shared" si="3"/>
        <v>0</v>
      </c>
    </row>
    <row r="32" spans="1:8" x14ac:dyDescent="0.25">
      <c r="A32" s="1935" t="s">
        <v>2104</v>
      </c>
      <c r="B32" s="1941" t="s">
        <v>2151</v>
      </c>
      <c r="C32" s="1936" t="s">
        <v>2105</v>
      </c>
      <c r="D32" s="1938">
        <v>8910</v>
      </c>
      <c r="E32" s="1540">
        <f t="shared" si="2"/>
        <v>8910</v>
      </c>
      <c r="F32" s="1932">
        <f t="shared" si="1"/>
        <v>8910</v>
      </c>
      <c r="G32" s="1793">
        <f t="shared" si="3"/>
        <v>0</v>
      </c>
    </row>
    <row r="33" spans="1:7" x14ac:dyDescent="0.25">
      <c r="A33" s="1935" t="s">
        <v>2104</v>
      </c>
      <c r="B33" s="1941" t="s">
        <v>2151</v>
      </c>
      <c r="C33" s="1936" t="s">
        <v>2106</v>
      </c>
      <c r="D33" s="1938">
        <v>3000</v>
      </c>
      <c r="E33" s="1540">
        <f t="shared" si="2"/>
        <v>3000</v>
      </c>
      <c r="F33" s="1932">
        <f t="shared" si="1"/>
        <v>3000</v>
      </c>
      <c r="G33" s="1793">
        <f t="shared" si="3"/>
        <v>0</v>
      </c>
    </row>
    <row r="34" spans="1:7" x14ac:dyDescent="0.25">
      <c r="A34" s="1935" t="s">
        <v>2104</v>
      </c>
      <c r="B34" s="1941" t="s">
        <v>2151</v>
      </c>
      <c r="C34" s="1936" t="s">
        <v>2107</v>
      </c>
      <c r="D34" s="1938">
        <v>5987</v>
      </c>
      <c r="E34" s="1540">
        <f t="shared" si="2"/>
        <v>5987</v>
      </c>
      <c r="F34" s="1932">
        <f t="shared" si="1"/>
        <v>5987</v>
      </c>
      <c r="G34" s="1793">
        <f t="shared" si="3"/>
        <v>0</v>
      </c>
    </row>
    <row r="35" spans="1:7" x14ac:dyDescent="0.25">
      <c r="A35" s="1935" t="s">
        <v>2104</v>
      </c>
      <c r="B35" s="1941" t="s">
        <v>2151</v>
      </c>
      <c r="C35" s="1936" t="s">
        <v>2108</v>
      </c>
      <c r="D35" s="1938">
        <v>5490</v>
      </c>
      <c r="E35" s="1540">
        <f t="shared" si="2"/>
        <v>5490</v>
      </c>
      <c r="F35" s="1932">
        <f t="shared" si="1"/>
        <v>5490</v>
      </c>
      <c r="G35" s="1793">
        <f t="shared" si="3"/>
        <v>0</v>
      </c>
    </row>
    <row r="36" spans="1:7" x14ac:dyDescent="0.25">
      <c r="A36" s="1935" t="s">
        <v>2104</v>
      </c>
      <c r="B36" s="1941" t="s">
        <v>2151</v>
      </c>
      <c r="C36" s="1936" t="s">
        <v>2109</v>
      </c>
      <c r="D36" s="1938">
        <v>16653</v>
      </c>
      <c r="E36" s="1540">
        <f t="shared" si="2"/>
        <v>16653</v>
      </c>
      <c r="F36" s="1932">
        <f t="shared" si="1"/>
        <v>16653</v>
      </c>
      <c r="G36" s="1793">
        <f t="shared" si="3"/>
        <v>0</v>
      </c>
    </row>
    <row r="37" spans="1:7" x14ac:dyDescent="0.25">
      <c r="A37" s="1935" t="s">
        <v>2104</v>
      </c>
      <c r="B37" s="1941" t="s">
        <v>2151</v>
      </c>
      <c r="C37" s="1936" t="s">
        <v>2110</v>
      </c>
      <c r="D37" s="1938">
        <v>3360</v>
      </c>
      <c r="E37" s="1540">
        <f t="shared" si="2"/>
        <v>3360</v>
      </c>
      <c r="F37" s="1932">
        <f t="shared" si="1"/>
        <v>3360</v>
      </c>
      <c r="G37" s="1793">
        <f t="shared" si="3"/>
        <v>0</v>
      </c>
    </row>
    <row r="38" spans="1:7" x14ac:dyDescent="0.25">
      <c r="A38" s="1935" t="s">
        <v>2111</v>
      </c>
      <c r="B38" s="1942" t="s">
        <v>2152</v>
      </c>
      <c r="C38" s="1936" t="s">
        <v>2112</v>
      </c>
      <c r="D38" s="1938">
        <v>1447</v>
      </c>
      <c r="E38" s="1540">
        <f t="shared" si="2"/>
        <v>1447</v>
      </c>
      <c r="F38" s="1932">
        <f t="shared" si="1"/>
        <v>1447</v>
      </c>
      <c r="G38" s="1793">
        <f t="shared" si="3"/>
        <v>0</v>
      </c>
    </row>
    <row r="39" spans="1:7" x14ac:dyDescent="0.25">
      <c r="A39" s="1935" t="s">
        <v>2111</v>
      </c>
      <c r="B39" s="1942" t="s">
        <v>2152</v>
      </c>
      <c r="C39" s="1936" t="s">
        <v>2113</v>
      </c>
      <c r="D39" s="1938">
        <v>11965</v>
      </c>
      <c r="E39" s="1540">
        <f t="shared" si="2"/>
        <v>11965</v>
      </c>
      <c r="F39" s="1932">
        <f t="shared" si="1"/>
        <v>11965</v>
      </c>
      <c r="G39" s="1793">
        <f t="shared" si="3"/>
        <v>0</v>
      </c>
    </row>
    <row r="40" spans="1:7" x14ac:dyDescent="0.25">
      <c r="A40" s="1935" t="s">
        <v>2111</v>
      </c>
      <c r="B40" s="1942" t="s">
        <v>2152</v>
      </c>
      <c r="C40" s="1936" t="s">
        <v>2114</v>
      </c>
      <c r="D40" s="1938">
        <v>4751</v>
      </c>
      <c r="E40" s="1540">
        <f t="shared" si="2"/>
        <v>4751</v>
      </c>
      <c r="F40" s="1932">
        <f t="shared" si="1"/>
        <v>4751</v>
      </c>
      <c r="G40" s="1793">
        <f t="shared" si="3"/>
        <v>0</v>
      </c>
    </row>
    <row r="41" spans="1:7" x14ac:dyDescent="0.25">
      <c r="A41" s="1935" t="s">
        <v>2115</v>
      </c>
      <c r="B41" s="1942" t="s">
        <v>2152</v>
      </c>
      <c r="C41" s="1936" t="s">
        <v>2116</v>
      </c>
      <c r="D41" s="1938">
        <v>457</v>
      </c>
      <c r="E41" s="1540">
        <f t="shared" si="2"/>
        <v>457</v>
      </c>
      <c r="F41" s="1932">
        <f t="shared" si="1"/>
        <v>457</v>
      </c>
      <c r="G41" s="1793">
        <f t="shared" si="3"/>
        <v>0</v>
      </c>
    </row>
    <row r="42" spans="1:7" x14ac:dyDescent="0.25">
      <c r="A42" s="1935" t="s">
        <v>2115</v>
      </c>
      <c r="B42" s="1942" t="s">
        <v>2152</v>
      </c>
      <c r="C42" s="1936" t="s">
        <v>2117</v>
      </c>
      <c r="D42" s="1938">
        <v>419</v>
      </c>
      <c r="E42" s="1540">
        <f t="shared" si="2"/>
        <v>419</v>
      </c>
      <c r="F42" s="1932">
        <f t="shared" si="1"/>
        <v>419</v>
      </c>
      <c r="G42" s="1793">
        <f t="shared" si="3"/>
        <v>0</v>
      </c>
    </row>
    <row r="43" spans="1:7" x14ac:dyDescent="0.25">
      <c r="A43" s="1935" t="s">
        <v>2118</v>
      </c>
      <c r="B43" s="1937" t="s">
        <v>2119</v>
      </c>
      <c r="C43" s="1936" t="s">
        <v>2120</v>
      </c>
      <c r="D43" s="1938">
        <v>3556</v>
      </c>
      <c r="E43" s="1540">
        <f t="shared" si="2"/>
        <v>3556</v>
      </c>
      <c r="F43" s="1932">
        <f t="shared" si="1"/>
        <v>3556</v>
      </c>
      <c r="G43" s="1793">
        <f t="shared" si="3"/>
        <v>0</v>
      </c>
    </row>
    <row r="44" spans="1:7" x14ac:dyDescent="0.25">
      <c r="A44" s="1935" t="s">
        <v>2121</v>
      </c>
      <c r="B44" s="1942" t="s">
        <v>2153</v>
      </c>
      <c r="C44" s="1936" t="s">
        <v>2122</v>
      </c>
      <c r="D44" s="1938">
        <v>8799</v>
      </c>
      <c r="E44" s="1540">
        <f t="shared" si="2"/>
        <v>8799</v>
      </c>
      <c r="F44" s="1932">
        <f t="shared" si="1"/>
        <v>8799</v>
      </c>
      <c r="G44" s="1793">
        <f t="shared" si="3"/>
        <v>0</v>
      </c>
    </row>
    <row r="45" spans="1:7" x14ac:dyDescent="0.25">
      <c r="A45" s="1935" t="s">
        <v>2121</v>
      </c>
      <c r="B45" s="1942" t="s">
        <v>2153</v>
      </c>
      <c r="C45" s="1936" t="s">
        <v>2123</v>
      </c>
      <c r="D45" s="1938">
        <v>4343</v>
      </c>
      <c r="E45" s="1540">
        <f t="shared" si="2"/>
        <v>4343</v>
      </c>
      <c r="F45" s="1932">
        <f t="shared" si="1"/>
        <v>4343</v>
      </c>
      <c r="G45" s="1793">
        <f t="shared" si="3"/>
        <v>0</v>
      </c>
    </row>
    <row r="46" spans="1:7" x14ac:dyDescent="0.25">
      <c r="A46" s="1935" t="s">
        <v>2121</v>
      </c>
      <c r="B46" s="1942" t="s">
        <v>2153</v>
      </c>
      <c r="C46" s="1936" t="s">
        <v>2124</v>
      </c>
      <c r="D46" s="1938">
        <v>3081</v>
      </c>
      <c r="E46" s="1540">
        <f t="shared" si="2"/>
        <v>3081</v>
      </c>
      <c r="F46" s="1932">
        <f t="shared" si="1"/>
        <v>3081</v>
      </c>
      <c r="G46" s="1793">
        <f t="shared" si="3"/>
        <v>0</v>
      </c>
    </row>
    <row r="47" spans="1:7" x14ac:dyDescent="0.25">
      <c r="A47" s="1935" t="s">
        <v>2121</v>
      </c>
      <c r="B47" s="1942" t="s">
        <v>2153</v>
      </c>
      <c r="C47" s="1936" t="s">
        <v>2125</v>
      </c>
      <c r="D47" s="1938">
        <v>2736</v>
      </c>
      <c r="E47" s="1540">
        <f t="shared" si="2"/>
        <v>2736</v>
      </c>
      <c r="F47" s="1932">
        <f t="shared" si="1"/>
        <v>2736</v>
      </c>
      <c r="G47" s="1793">
        <f t="shared" si="3"/>
        <v>0</v>
      </c>
    </row>
    <row r="48" spans="1:7" x14ac:dyDescent="0.25">
      <c r="A48" s="1935" t="s">
        <v>2121</v>
      </c>
      <c r="B48" s="1942" t="s">
        <v>2153</v>
      </c>
      <c r="C48" s="1936" t="s">
        <v>2110</v>
      </c>
      <c r="D48" s="1938">
        <v>6835</v>
      </c>
      <c r="E48" s="1540">
        <f t="shared" si="2"/>
        <v>6835</v>
      </c>
      <c r="F48" s="1932">
        <f t="shared" si="1"/>
        <v>6835</v>
      </c>
      <c r="G48" s="1793">
        <f t="shared" si="3"/>
        <v>0</v>
      </c>
    </row>
    <row r="49" spans="1:7" x14ac:dyDescent="0.25">
      <c r="A49" s="1935" t="s">
        <v>2121</v>
      </c>
      <c r="B49" s="1942" t="s">
        <v>2153</v>
      </c>
      <c r="C49" s="1936" t="s">
        <v>2116</v>
      </c>
      <c r="D49" s="1938">
        <v>612</v>
      </c>
      <c r="E49" s="1540">
        <f t="shared" si="2"/>
        <v>612</v>
      </c>
      <c r="F49" s="1932">
        <f t="shared" si="1"/>
        <v>612</v>
      </c>
      <c r="G49" s="1793">
        <f t="shared" si="3"/>
        <v>0</v>
      </c>
    </row>
    <row r="50" spans="1:7" x14ac:dyDescent="0.25">
      <c r="A50" s="1935" t="s">
        <v>2126</v>
      </c>
      <c r="B50" s="1942" t="s">
        <v>2154</v>
      </c>
      <c r="C50" s="1936" t="s">
        <v>2127</v>
      </c>
      <c r="D50" s="1938">
        <v>11295</v>
      </c>
      <c r="E50" s="1540">
        <f t="shared" si="2"/>
        <v>11295</v>
      </c>
      <c r="F50" s="1932">
        <f t="shared" si="1"/>
        <v>11295</v>
      </c>
      <c r="G50" s="1793">
        <f t="shared" si="3"/>
        <v>0</v>
      </c>
    </row>
    <row r="51" spans="1:7" x14ac:dyDescent="0.25">
      <c r="A51" s="1935" t="s">
        <v>2126</v>
      </c>
      <c r="B51" s="1942" t="s">
        <v>2154</v>
      </c>
      <c r="C51" s="1936" t="s">
        <v>2128</v>
      </c>
      <c r="D51" s="1938">
        <v>3908</v>
      </c>
      <c r="E51" s="1540">
        <f t="shared" si="2"/>
        <v>3908</v>
      </c>
      <c r="F51" s="1932">
        <f t="shared" si="1"/>
        <v>3908</v>
      </c>
      <c r="G51" s="1793">
        <f t="shared" si="3"/>
        <v>0</v>
      </c>
    </row>
    <row r="52" spans="1:7" x14ac:dyDescent="0.25">
      <c r="A52" s="1935" t="s">
        <v>2129</v>
      </c>
      <c r="B52" s="1942" t="s">
        <v>2156</v>
      </c>
      <c r="C52" s="1936" t="s">
        <v>2130</v>
      </c>
      <c r="D52" s="1938">
        <v>2300</v>
      </c>
      <c r="E52" s="1540">
        <f t="shared" si="2"/>
        <v>2300</v>
      </c>
      <c r="F52" s="1932">
        <f t="shared" si="1"/>
        <v>2300</v>
      </c>
      <c r="G52" s="1793">
        <f t="shared" si="3"/>
        <v>0</v>
      </c>
    </row>
    <row r="53" spans="1:7" x14ac:dyDescent="0.25">
      <c r="A53" s="1935" t="s">
        <v>2129</v>
      </c>
      <c r="B53" s="1942" t="s">
        <v>2156</v>
      </c>
      <c r="C53" s="1936" t="s">
        <v>2131</v>
      </c>
      <c r="D53" s="1938">
        <v>7278</v>
      </c>
      <c r="E53" s="1540">
        <f t="shared" si="2"/>
        <v>7278</v>
      </c>
      <c r="F53" s="1932">
        <f t="shared" si="1"/>
        <v>7278</v>
      </c>
      <c r="G53" s="1793">
        <f t="shared" si="3"/>
        <v>0</v>
      </c>
    </row>
    <row r="54" spans="1:7" x14ac:dyDescent="0.25">
      <c r="A54" s="1935" t="s">
        <v>2129</v>
      </c>
      <c r="B54" s="1942" t="s">
        <v>2156</v>
      </c>
      <c r="C54" s="1936" t="s">
        <v>2132</v>
      </c>
      <c r="D54" s="1938">
        <v>1390</v>
      </c>
      <c r="E54" s="1540">
        <f t="shared" si="2"/>
        <v>1390</v>
      </c>
      <c r="F54" s="1932">
        <f t="shared" si="1"/>
        <v>1390</v>
      </c>
      <c r="G54" s="1793">
        <f t="shared" si="3"/>
        <v>0</v>
      </c>
    </row>
    <row r="55" spans="1:7" x14ac:dyDescent="0.25">
      <c r="A55" s="1935" t="s">
        <v>2129</v>
      </c>
      <c r="B55" s="1942" t="s">
        <v>2156</v>
      </c>
      <c r="C55" s="1936" t="s">
        <v>2133</v>
      </c>
      <c r="D55" s="1939">
        <v>426</v>
      </c>
      <c r="E55" s="1540">
        <f t="shared" si="2"/>
        <v>426</v>
      </c>
      <c r="F55" s="1932">
        <f t="shared" si="1"/>
        <v>426</v>
      </c>
      <c r="G55" s="1793">
        <f t="shared" si="3"/>
        <v>0</v>
      </c>
    </row>
    <row r="56" spans="1:7" x14ac:dyDescent="0.25">
      <c r="A56" s="1935" t="s">
        <v>2129</v>
      </c>
      <c r="B56" s="1942" t="s">
        <v>2156</v>
      </c>
      <c r="C56" s="1936" t="s">
        <v>2134</v>
      </c>
      <c r="D56" s="1938">
        <v>4800</v>
      </c>
      <c r="E56" s="1540">
        <f t="shared" si="2"/>
        <v>4800</v>
      </c>
      <c r="F56" s="1932">
        <f t="shared" si="1"/>
        <v>4800</v>
      </c>
      <c r="G56" s="1793">
        <f t="shared" si="3"/>
        <v>0</v>
      </c>
    </row>
    <row r="57" spans="1:7" x14ac:dyDescent="0.25">
      <c r="A57" s="1935" t="s">
        <v>2129</v>
      </c>
      <c r="B57" s="1942" t="s">
        <v>2156</v>
      </c>
      <c r="C57" s="1936" t="s">
        <v>2135</v>
      </c>
      <c r="D57" s="1938">
        <v>1120</v>
      </c>
      <c r="E57" s="1540">
        <f t="shared" si="2"/>
        <v>1120</v>
      </c>
      <c r="F57" s="1932">
        <f t="shared" si="1"/>
        <v>1120</v>
      </c>
      <c r="G57" s="1793">
        <f t="shared" si="3"/>
        <v>0</v>
      </c>
    </row>
    <row r="58" spans="1:7" x14ac:dyDescent="0.25">
      <c r="A58" s="1935" t="s">
        <v>2129</v>
      </c>
      <c r="B58" s="1942" t="s">
        <v>2156</v>
      </c>
      <c r="C58" s="1936" t="s">
        <v>2136</v>
      </c>
      <c r="D58" s="1938">
        <v>2953</v>
      </c>
      <c r="E58" s="1540">
        <f t="shared" si="2"/>
        <v>2953</v>
      </c>
      <c r="F58" s="1932">
        <f t="shared" si="1"/>
        <v>2953</v>
      </c>
      <c r="G58" s="1793">
        <f t="shared" si="3"/>
        <v>0</v>
      </c>
    </row>
    <row r="59" spans="1:7" x14ac:dyDescent="0.25">
      <c r="A59" s="1935" t="s">
        <v>2129</v>
      </c>
      <c r="B59" s="1942" t="s">
        <v>2156</v>
      </c>
      <c r="C59" s="1936" t="s">
        <v>2137</v>
      </c>
      <c r="D59" s="1938">
        <v>96101</v>
      </c>
      <c r="E59" s="1540">
        <f t="shared" si="2"/>
        <v>25000</v>
      </c>
      <c r="F59" s="1932">
        <f t="shared" si="1"/>
        <v>25000</v>
      </c>
      <c r="G59" s="1793">
        <f t="shared" si="3"/>
        <v>71101</v>
      </c>
    </row>
    <row r="60" spans="1:7" ht="30" x14ac:dyDescent="0.25">
      <c r="A60" s="1935" t="s">
        <v>2138</v>
      </c>
      <c r="B60" s="1942" t="s">
        <v>2155</v>
      </c>
      <c r="C60" s="1936" t="s">
        <v>2139</v>
      </c>
      <c r="D60" s="1938">
        <v>9000</v>
      </c>
      <c r="E60" s="1540">
        <f t="shared" si="2"/>
        <v>9000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284509.38</v>
      </c>
      <c r="E141" s="1541">
        <f t="shared" si="0"/>
        <v>25000</v>
      </c>
      <c r="F141" s="1933">
        <f>SUM(F17:F140)</f>
        <v>204408.38</v>
      </c>
      <c r="G141" s="1795">
        <f>SUM(G17:G140)</f>
        <v>71101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131996</v>
      </c>
      <c r="F10" s="974"/>
      <c r="G10" s="975"/>
      <c r="H10" s="162"/>
      <c r="I10" s="162"/>
    </row>
    <row r="11" spans="1:9" s="668" customFormat="1" ht="22.5" customHeight="1" x14ac:dyDescent="0.2">
      <c r="A11" s="2289" t="s">
        <v>1977</v>
      </c>
      <c r="B11" s="2290"/>
      <c r="C11" s="2290"/>
      <c r="D11" s="2291"/>
      <c r="E11" s="977">
        <v>28429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4425859</v>
      </c>
      <c r="F19" s="1799"/>
      <c r="G19" s="1801">
        <f>'Expenditures 15-22'!K33-SUM('Expenditures 15-22'!G33,'Expenditures 15-22'!I33)+'Expenditures 15-22'!D229</f>
        <v>4425859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224066</v>
      </c>
      <c r="F21" s="1802"/>
      <c r="G21" s="1805">
        <f>'Expenditures 15-22'!K42-SUM('Expenditures 15-22'!G42,'Expenditures 15-22'!I42)+'Expenditures 15-22'!K120-SUM('Expenditures 15-22'!G120,'Expenditures 15-22'!I120)+'Expenditures 15-22'!K180-SUM('Expenditures 15-22'!G180,'Expenditures 15-22'!I180)+'Expenditures 15-22'!D238</f>
        <v>224066</v>
      </c>
      <c r="H21" s="987"/>
      <c r="I21" s="162"/>
    </row>
    <row r="22" spans="1:9" s="668" customFormat="1" ht="12" customHeight="1" x14ac:dyDescent="0.2">
      <c r="A22" s="994" t="s">
        <v>564</v>
      </c>
      <c r="B22" s="995"/>
      <c r="C22" s="993">
        <v>2200</v>
      </c>
      <c r="D22" s="1802"/>
      <c r="E22" s="1804">
        <f>'Expenditures 15-22'!K47-SUM('Expenditures 15-22'!G47,'Expenditures 15-22'!I47)+'Expenditures 15-22'!D243</f>
        <v>330558</v>
      </c>
      <c r="F22" s="1802"/>
      <c r="G22" s="1805">
        <f>'Expenditures 15-22'!K47-SUM('Expenditures 15-22'!G47,'Expenditures 15-22'!I47)+'Expenditures 15-22'!D243</f>
        <v>330558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672685</v>
      </c>
      <c r="F23" s="1802"/>
      <c r="G23" s="1804">
        <f>'Expenditures 15-22'!K53-SUM('Expenditures 15-22'!G53,'Expenditures 15-22'!I53)+'Expenditures 15-22'!D257+'Expenditures 15-22'!K330-SUM('Expenditures 15-22'!G330,'Expenditures 15-22'!I330)</f>
        <v>672685</v>
      </c>
      <c r="H23" s="987"/>
      <c r="I23" s="162"/>
    </row>
    <row r="24" spans="1:9" s="668" customFormat="1" ht="12" customHeight="1" x14ac:dyDescent="0.2">
      <c r="A24" s="994" t="s">
        <v>566</v>
      </c>
      <c r="B24" s="995"/>
      <c r="C24" s="993">
        <v>2400</v>
      </c>
      <c r="D24" s="1802"/>
      <c r="E24" s="1804">
        <f>'Expenditures 15-22'!K57-SUM('Expenditures 15-22'!G57,'Expenditures 15-22'!I57)+'Expenditures 15-22'!D261</f>
        <v>546118</v>
      </c>
      <c r="F24" s="1802"/>
      <c r="G24" s="1805">
        <f>'Expenditures 15-22'!K57-SUM('Expenditures 15-22'!G57,'Expenditures 15-22'!I57)+'Expenditures 15-22'!D261</f>
        <v>546118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132416</v>
      </c>
      <c r="E27" s="1804">
        <f>E8</f>
        <v>0</v>
      </c>
      <c r="F27" s="1804">
        <f>'Expenditures 15-22'!K60-SUM('Expenditures 15-22'!G60,'Expenditures 15-22'!I60)+'Expenditures 15-22'!D264-E8</f>
        <v>132416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605793</v>
      </c>
      <c r="F28" s="1806">
        <f>'Expenditures 15-22'!K61-SUM('Expenditures 15-22'!G61,'Expenditures 15-22'!I61)+'Expenditures 15-22'!K124-SUM('Expenditures 15-22'!G124,'Expenditures 15-22'!I124)+'Expenditures 15-22'!D266-E9</f>
        <v>605793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787476</v>
      </c>
      <c r="F29" s="1802"/>
      <c r="G29" s="1805">
        <f>'Expenditures 15-22'!K62-SUM('Expenditures 15-22'!G62,'Expenditures 15-22'!I62)+'Expenditures 15-22'!K125-SUM('Expenditures 15-22'!G125,'Expenditures 15-22'!I125)+'Expenditures 15-22'!K182-SUM('Expenditures 15-22'!G182,'Expenditures 15-22'!I182)+'Expenditures 15-22'!D267</f>
        <v>787476</v>
      </c>
      <c r="H29" s="985"/>
    </row>
    <row r="30" spans="1:9" ht="12" customHeight="1" x14ac:dyDescent="0.2">
      <c r="A30" s="994" t="s">
        <v>100</v>
      </c>
      <c r="B30" s="997"/>
      <c r="C30" s="993">
        <v>2560</v>
      </c>
      <c r="D30" s="1802"/>
      <c r="E30" s="1804">
        <f>'Expenditures 15-22'!K63-SUM('Expenditures 15-22'!G63,'Expenditures 15-22'!I63)+'Expenditures 15-22'!D268-E10</f>
        <v>175154</v>
      </c>
      <c r="F30" s="1802"/>
      <c r="G30" s="1804">
        <f>'Expenditures 15-22'!K63-SUM('Expenditures 15-22'!G63,'Expenditures 15-22'!I63)+'Expenditures 15-22'!D268-E10</f>
        <v>175154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3670</v>
      </c>
      <c r="F38" s="1802"/>
      <c r="G38" s="1804">
        <f>'Expenditures 15-22'!K73-SUM('Expenditures 15-22'!G73,'Expenditures 15-22'!I73)+'Expenditures 15-22'!K128-SUM('Expenditures 15-22'!G128,'Expenditures 15-22'!I128)+'Expenditures 15-22'!K183-SUM('Expenditures 15-22'!G183,'Expenditures 15-22'!I183)+'Expenditures 15-22'!D278</f>
        <v>3670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4499</v>
      </c>
      <c r="F39" s="1802"/>
      <c r="G39" s="1804">
        <f>'Expenditures 15-22'!K75-SUM('Expenditures 15-22'!G75,'Expenditures 15-22'!I75)+'Expenditures 15-22'!K130-SUM('Expenditures 15-22'!G130,'Expenditures 15-22'!I130)+'Expenditures 15-22'!K185-SUM('Expenditures 15-22'!G185,'Expenditures 15-22'!I185)+'Expenditures 15-22'!D280</f>
        <v>4499</v>
      </c>
    </row>
    <row r="40" spans="1:7" ht="12" customHeight="1" x14ac:dyDescent="0.2">
      <c r="A40" s="990" t="s">
        <v>1823</v>
      </c>
      <c r="B40" s="991"/>
      <c r="C40" s="993"/>
      <c r="D40" s="1802"/>
      <c r="E40" s="1806">
        <f>-'Contracts Paid in CY 29'!G141</f>
        <v>-71101</v>
      </c>
      <c r="F40" s="1802"/>
      <c r="G40" s="1806">
        <f>-'Contracts Paid in CY 29'!G141</f>
        <v>-71101</v>
      </c>
    </row>
    <row r="41" spans="1:7" ht="12" customHeight="1" x14ac:dyDescent="0.2">
      <c r="A41" s="998" t="s">
        <v>156</v>
      </c>
      <c r="B41" s="999"/>
      <c r="C41" s="1000"/>
      <c r="D41" s="1806">
        <f>SUM(D19:D39)</f>
        <v>132416</v>
      </c>
      <c r="E41" s="1806">
        <f>SUM(E19:E40)</f>
        <v>7704777</v>
      </c>
      <c r="F41" s="1806">
        <f>SUM(F19:F39)</f>
        <v>738209</v>
      </c>
      <c r="G41" s="1806">
        <f>SUM(G19:G40)</f>
        <v>7098984</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132416</v>
      </c>
      <c r="F43" s="1807" t="s">
        <v>473</v>
      </c>
      <c r="G43" s="1808">
        <f>F41</f>
        <v>738209</v>
      </c>
    </row>
    <row r="44" spans="1:7" ht="12" customHeight="1" x14ac:dyDescent="0.2">
      <c r="A44" s="987"/>
      <c r="B44" s="162"/>
      <c r="C44" s="1001"/>
      <c r="D44" s="1807" t="s">
        <v>474</v>
      </c>
      <c r="E44" s="1808">
        <f>E41</f>
        <v>7704777</v>
      </c>
      <c r="F44" s="1807" t="s">
        <v>474</v>
      </c>
      <c r="G44" s="1808">
        <f>G41</f>
        <v>7098984</v>
      </c>
    </row>
    <row r="45" spans="1:7" ht="12" customHeight="1" x14ac:dyDescent="0.2">
      <c r="A45" s="987"/>
      <c r="B45" s="162"/>
      <c r="C45" s="162"/>
      <c r="D45" s="1809" t="s">
        <v>1006</v>
      </c>
      <c r="E45" s="1810">
        <f>(E43/E44)</f>
        <v>1.718622096395522E-2</v>
      </c>
      <c r="F45" s="1809" t="s">
        <v>1006</v>
      </c>
      <c r="G45" s="1810">
        <f>(G43/G44)</f>
        <v>0.10398797912490013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15" sqref="F1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5" t="s">
        <v>1379</v>
      </c>
      <c r="B1" s="2295"/>
      <c r="C1" s="2295"/>
      <c r="D1" s="2295"/>
      <c r="E1" s="2295"/>
      <c r="F1" s="2295"/>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6" t="s">
        <v>1546</v>
      </c>
      <c r="B5" s="2297"/>
      <c r="C5" s="2298"/>
      <c r="D5" s="2298"/>
      <c r="E5" s="2298"/>
      <c r="F5" s="2298"/>
    </row>
    <row r="6" spans="1:10" ht="12" customHeight="1" x14ac:dyDescent="0.25">
      <c r="A6" s="1850"/>
      <c r="B6" s="1851"/>
      <c r="C6" s="2299" t="str">
        <f>COVER!A17</f>
        <v>Trico CUSD 176</v>
      </c>
      <c r="D6" s="2299"/>
      <c r="E6" s="2299"/>
      <c r="F6" s="1852"/>
    </row>
    <row r="7" spans="1:10" ht="11.25" customHeight="1" thickBot="1" x14ac:dyDescent="0.3">
      <c r="A7" s="1850"/>
      <c r="B7" s="1851"/>
      <c r="C7" s="2300">
        <f>COVER!A13</f>
        <v>30039176026</v>
      </c>
      <c r="D7" s="2300"/>
      <c r="E7" s="2300"/>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2067</v>
      </c>
      <c r="D14" s="1865"/>
      <c r="E14" s="1868"/>
      <c r="F14" s="1867" t="s">
        <v>2157</v>
      </c>
      <c r="H14" s="1878">
        <f t="shared" si="0"/>
        <v>5</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2067</v>
      </c>
      <c r="D19" s="1865" t="s">
        <v>2067</v>
      </c>
      <c r="E19" s="1868"/>
      <c r="F19" s="1867" t="s">
        <v>2086</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2067</v>
      </c>
      <c r="D21" s="1865" t="s">
        <v>2067</v>
      </c>
      <c r="E21" s="1868"/>
      <c r="F21" s="1867" t="s">
        <v>2082</v>
      </c>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2067</v>
      </c>
      <c r="D26" s="1865" t="s">
        <v>2067</v>
      </c>
      <c r="E26" s="1868"/>
      <c r="F26" s="1867" t="s">
        <v>2083</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2067</v>
      </c>
      <c r="D31" s="1865" t="s">
        <v>2067</v>
      </c>
      <c r="E31" s="1868"/>
      <c r="F31" s="1867" t="s">
        <v>2084</v>
      </c>
      <c r="H31" s="1878">
        <f t="shared" si="0"/>
        <v>5</v>
      </c>
      <c r="I31" s="1878">
        <f t="shared" si="1"/>
        <v>5</v>
      </c>
      <c r="J31" s="1878">
        <f t="shared" si="2"/>
        <v>0</v>
      </c>
      <c r="L31" s="1869"/>
    </row>
    <row r="32" spans="1:12" ht="12" customHeight="1" x14ac:dyDescent="0.2">
      <c r="A32" s="1863" t="s">
        <v>1540</v>
      </c>
      <c r="B32" s="1864"/>
      <c r="C32" s="1865" t="s">
        <v>2067</v>
      </c>
      <c r="D32" s="1865" t="s">
        <v>2067</v>
      </c>
      <c r="E32" s="1868"/>
      <c r="F32" s="1867" t="s">
        <v>2094</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25</v>
      </c>
      <c r="J34" s="1878">
        <f>SUM(J11:J32)</f>
        <v>0</v>
      </c>
      <c r="K34" s="1878">
        <f>SUM(H34:J34)</f>
        <v>55</v>
      </c>
    </row>
    <row r="35" spans="1:11" ht="12" customHeight="1" x14ac:dyDescent="0.2">
      <c r="A35" s="1871" t="s">
        <v>1392</v>
      </c>
      <c r="B35" s="1872"/>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3"/>
      <c r="B39" s="1873"/>
      <c r="C39" s="1873"/>
      <c r="D39" s="1873"/>
      <c r="E39" s="1873"/>
      <c r="F39" s="1873"/>
    </row>
    <row r="40" spans="1:11" s="1870" customFormat="1" ht="12" customHeight="1" x14ac:dyDescent="0.25">
      <c r="A40" s="1874" t="s">
        <v>1391</v>
      </c>
      <c r="B40" s="1875"/>
      <c r="C40" s="2309"/>
      <c r="D40" s="2309"/>
      <c r="E40" s="2309"/>
      <c r="F40" s="2310"/>
      <c r="H40" s="1879"/>
      <c r="I40" s="1879"/>
      <c r="J40" s="1879"/>
      <c r="K40" s="1879"/>
    </row>
    <row r="41" spans="1:11" s="1870" customFormat="1" ht="12" customHeight="1" x14ac:dyDescent="0.25">
      <c r="A41" s="2311" t="s">
        <v>2085</v>
      </c>
      <c r="B41" s="2312"/>
      <c r="C41" s="2312"/>
      <c r="D41" s="2312"/>
      <c r="E41" s="2312"/>
      <c r="F41" s="2313"/>
      <c r="H41" s="1879"/>
      <c r="I41" s="1879"/>
      <c r="J41" s="1879"/>
      <c r="K41" s="1879"/>
    </row>
    <row r="42" spans="1:11" s="1870" customFormat="1" ht="12" customHeight="1" x14ac:dyDescent="0.25">
      <c r="A42" s="2311"/>
      <c r="B42" s="2312"/>
      <c r="C42" s="2312"/>
      <c r="D42" s="2312"/>
      <c r="E42" s="2312"/>
      <c r="F42" s="2313"/>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E13" sqref="E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Trico CUSD 176</v>
      </c>
      <c r="J6" s="2320"/>
      <c r="Q6" s="1664"/>
    </row>
    <row r="7" spans="1:17" x14ac:dyDescent="0.2">
      <c r="A7" s="2321" t="s">
        <v>869</v>
      </c>
      <c r="B7" s="2322"/>
      <c r="C7" s="2322"/>
      <c r="D7" s="2322"/>
      <c r="E7" s="2323"/>
      <c r="F7" s="1017"/>
      <c r="G7" s="1009"/>
      <c r="H7" s="1016" t="s">
        <v>372</v>
      </c>
      <c r="I7" s="2324">
        <f>COVER!A13</f>
        <v>30039176026</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139803</v>
      </c>
      <c r="F12" s="1039"/>
      <c r="G12" s="1811">
        <f t="shared" ref="G12:G18" si="0">SUM(E12:F12)</f>
        <v>139803</v>
      </c>
      <c r="H12" s="1040">
        <v>146850</v>
      </c>
      <c r="I12" s="1039"/>
      <c r="J12" s="1811">
        <f t="shared" ref="J12:J18" si="1">SUM(H12:I12)</f>
        <v>146850</v>
      </c>
    </row>
    <row r="13" spans="1:17" ht="15" customHeight="1" x14ac:dyDescent="0.2">
      <c r="A13" s="1035">
        <v>2</v>
      </c>
      <c r="B13" s="1036" t="s">
        <v>42</v>
      </c>
      <c r="C13" s="1037"/>
      <c r="D13" s="1038">
        <v>2330</v>
      </c>
      <c r="E13" s="1811">
        <f>'Expenditures 15-22'!K51</f>
        <v>7441</v>
      </c>
      <c r="F13" s="1039"/>
      <c r="G13" s="1811">
        <f t="shared" si="0"/>
        <v>7441</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147244</v>
      </c>
      <c r="F19" s="1813">
        <f t="shared" si="2"/>
        <v>0</v>
      </c>
      <c r="G19" s="1813">
        <f t="shared" si="2"/>
        <v>147244</v>
      </c>
      <c r="H19" s="1813">
        <f t="shared" si="2"/>
        <v>146850</v>
      </c>
      <c r="I19" s="1813">
        <f t="shared" si="2"/>
        <v>0</v>
      </c>
      <c r="J19" s="1813">
        <f t="shared" si="2"/>
        <v>146850</v>
      </c>
    </row>
    <row r="20" spans="1:10" ht="13.5" thickTop="1" x14ac:dyDescent="0.2">
      <c r="A20" s="1035">
        <v>9</v>
      </c>
      <c r="B20" s="2331" t="s">
        <v>1981</v>
      </c>
      <c r="C20" s="2331"/>
      <c r="D20" s="2332"/>
      <c r="E20" s="1046"/>
      <c r="F20" s="1046"/>
      <c r="G20" s="1046"/>
      <c r="H20" s="1046"/>
      <c r="I20" s="1046"/>
      <c r="J20" s="1814">
        <f>IF(AND(G19&gt;0,J19&gt;0),(((J19-G19)/G19)),"Enter Budget Data")</f>
        <v>-2.6758305941158894E-3</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1983</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2338" t="s">
        <v>1155</v>
      </c>
      <c r="B5" s="2338"/>
    </row>
    <row r="6" spans="1:2" x14ac:dyDescent="0.2">
      <c r="A6" s="1068">
        <v>1</v>
      </c>
      <c r="B6" s="329" t="s">
        <v>2143</v>
      </c>
    </row>
    <row r="7" spans="1:2" x14ac:dyDescent="0.2">
      <c r="A7" s="1068">
        <v>2</v>
      </c>
      <c r="B7" s="329" t="s">
        <v>2088</v>
      </c>
    </row>
    <row r="8" spans="1:2" x14ac:dyDescent="0.2">
      <c r="A8" s="1068">
        <v>3</v>
      </c>
      <c r="B8" s="329" t="s">
        <v>2092</v>
      </c>
    </row>
    <row r="9" spans="1:2" x14ac:dyDescent="0.2">
      <c r="A9" s="1068">
        <v>4</v>
      </c>
      <c r="B9" s="329" t="s">
        <v>2145</v>
      </c>
    </row>
    <row r="10" spans="1:2" x14ac:dyDescent="0.2">
      <c r="A10" s="1068">
        <v>5</v>
      </c>
      <c r="B10" s="329" t="s">
        <v>2146</v>
      </c>
    </row>
    <row r="11" spans="1:2" x14ac:dyDescent="0.2">
      <c r="A11" s="1068">
        <v>6</v>
      </c>
      <c r="B11" s="329" t="s">
        <v>2147</v>
      </c>
    </row>
    <row r="12" spans="1:2" x14ac:dyDescent="0.2">
      <c r="A12" s="1068">
        <v>7</v>
      </c>
      <c r="B12" s="329" t="s">
        <v>2089</v>
      </c>
    </row>
    <row r="13" spans="1:2" x14ac:dyDescent="0.2">
      <c r="A13" s="1068">
        <v>8</v>
      </c>
      <c r="B13" s="329" t="s">
        <v>2149</v>
      </c>
    </row>
    <row r="14" spans="1:2" x14ac:dyDescent="0.2">
      <c r="A14" s="1069"/>
    </row>
    <row r="15" spans="1:2" x14ac:dyDescent="0.2">
      <c r="A15" s="2338" t="s">
        <v>870</v>
      </c>
      <c r="B15" s="2338"/>
    </row>
    <row r="16" spans="1:2" x14ac:dyDescent="0.2">
      <c r="A16" s="1069">
        <v>1</v>
      </c>
      <c r="B16" s="329" t="s">
        <v>2144</v>
      </c>
    </row>
    <row r="17" spans="1:2" x14ac:dyDescent="0.2">
      <c r="A17" s="1069">
        <v>2</v>
      </c>
      <c r="B17" s="329" t="s">
        <v>2093</v>
      </c>
    </row>
    <row r="18" spans="1:2" x14ac:dyDescent="0.2">
      <c r="A18" s="1069"/>
    </row>
    <row r="19" spans="1:2" x14ac:dyDescent="0.2">
      <c r="A19" s="2338" t="s">
        <v>950</v>
      </c>
      <c r="B19" s="2338"/>
    </row>
    <row r="20" spans="1:2" x14ac:dyDescent="0.2">
      <c r="A20" s="1069">
        <v>1</v>
      </c>
      <c r="B20" s="329" t="s">
        <v>2091</v>
      </c>
    </row>
    <row r="21" spans="1:2" x14ac:dyDescent="0.2">
      <c r="A21" s="1069"/>
      <c r="B21" s="329" t="s">
        <v>2090</v>
      </c>
    </row>
    <row r="22" spans="1:2" x14ac:dyDescent="0.2">
      <c r="A22" s="1069"/>
    </row>
    <row r="23" spans="1:2" x14ac:dyDescent="0.2">
      <c r="A23" s="2339" t="s">
        <v>437</v>
      </c>
      <c r="B23" s="2339"/>
    </row>
    <row r="24" spans="1:2" x14ac:dyDescent="0.2">
      <c r="A24" s="1069">
        <v>1</v>
      </c>
      <c r="B24" s="329" t="s">
        <v>2148</v>
      </c>
    </row>
    <row r="25" spans="1:2" x14ac:dyDescent="0.2">
      <c r="A25" s="1069"/>
    </row>
    <row r="26" spans="1:2" x14ac:dyDescent="0.2">
      <c r="A26" s="2338" t="s">
        <v>1063</v>
      </c>
      <c r="B26" s="2338"/>
    </row>
    <row r="27" spans="1:2" x14ac:dyDescent="0.2">
      <c r="A27" s="1069">
        <v>1</v>
      </c>
      <c r="B27" s="329" t="s">
        <v>2087</v>
      </c>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329" t="s">
        <v>2158</v>
      </c>
    </row>
    <row r="64" spans="1:2" x14ac:dyDescent="0.2">
      <c r="A64" s="1069"/>
    </row>
    <row r="65" spans="1:2" x14ac:dyDescent="0.2">
      <c r="A65" s="1069"/>
      <c r="B65" s="258" t="str">
        <f>COVER!A17</f>
        <v>Trico CUSD 176</v>
      </c>
    </row>
    <row r="66" spans="1:2" x14ac:dyDescent="0.2">
      <c r="B66" s="1070">
        <f>COVER!A13</f>
        <v>30039176026</v>
      </c>
    </row>
  </sheetData>
  <mergeCells count="5">
    <mergeCell ref="A5:B5"/>
    <mergeCell ref="A15:B15"/>
    <mergeCell ref="A19:B19"/>
    <mergeCell ref="A26:B26"/>
    <mergeCell ref="A23:B23"/>
  </mergeCells>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4" sqref="C1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5" sqref="E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5" r:id="rId4">
          <objectPr defaultSize="0" r:id="rId5">
            <anchor moveWithCells="1">
              <from>
                <xdr:col>1</xdr:col>
                <xdr:colOff>66675</xdr:colOff>
                <xdr:row>1</xdr:row>
                <xdr:rowOff>19050</xdr:rowOff>
              </from>
              <to>
                <xdr:col>1</xdr:col>
                <xdr:colOff>981075</xdr:colOff>
                <xdr:row>5</xdr:row>
                <xdr:rowOff>57150</xdr:rowOff>
              </to>
            </anchor>
          </objectPr>
        </oleObject>
      </mc:Choice>
      <mc:Fallback>
        <oleObject progId="Acrobat Document" dvAspect="DVASPECT_ICON" shapeId="35845" r:id="rId4"/>
      </mc:Fallback>
    </mc:AlternateContent>
    <mc:AlternateContent xmlns:mc="http://schemas.openxmlformats.org/markup-compatibility/2006">
      <mc:Choice Requires="x14">
        <oleObject progId="Acrobat Document" dvAspect="DVASPECT_ICON" shapeId="35848" r:id="rId6">
          <objectPr defaultSize="0" r:id="rId7">
            <anchor moveWithCells="1">
              <from>
                <xdr:col>1</xdr:col>
                <xdr:colOff>1123950</xdr:colOff>
                <xdr:row>1</xdr:row>
                <xdr:rowOff>28575</xdr:rowOff>
              </from>
              <to>
                <xdr:col>1</xdr:col>
                <xdr:colOff>2038350</xdr:colOff>
                <xdr:row>5</xdr:row>
                <xdr:rowOff>66675</xdr:rowOff>
              </to>
            </anchor>
          </objectPr>
        </oleObject>
      </mc:Choice>
      <mc:Fallback>
        <oleObject progId="Acrobat Document" dvAspect="DVASPECT_ICON" shapeId="3584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1987</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1988</v>
      </c>
      <c r="B4" s="2361"/>
      <c r="C4" s="2361"/>
      <c r="D4" s="2361"/>
      <c r="E4" s="2361"/>
      <c r="F4" s="2362"/>
      <c r="G4" s="1074"/>
      <c r="H4" s="1074"/>
    </row>
    <row r="5" spans="1:8" ht="14.25" customHeight="1" x14ac:dyDescent="0.2">
      <c r="A5" s="2363" t="s">
        <v>1984</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6663838</v>
      </c>
      <c r="C8" s="1815">
        <f>'Acct Summary 7-8'!D8</f>
        <v>343813</v>
      </c>
      <c r="D8" s="1815">
        <f>'Acct Summary 7-8'!F8</f>
        <v>1324202</v>
      </c>
      <c r="E8" s="1815">
        <f>'Acct Summary 7-8'!I8</f>
        <v>40304</v>
      </c>
      <c r="F8" s="1815">
        <f>SUM(B8:E8)</f>
        <v>8372157</v>
      </c>
    </row>
    <row r="9" spans="1:8" s="1079" customFormat="1" ht="14.25" customHeight="1" thickBot="1" x14ac:dyDescent="0.25">
      <c r="A9" s="1078" t="s">
        <v>1369</v>
      </c>
      <c r="B9" s="1816">
        <f>'Acct Summary 7-8'!C17</f>
        <v>6588048</v>
      </c>
      <c r="C9" s="1816">
        <f>'Acct Summary 7-8'!D17</f>
        <v>377206</v>
      </c>
      <c r="D9" s="1816">
        <f>'Acct Summary 7-8'!F17</f>
        <v>891283</v>
      </c>
      <c r="E9" s="1815"/>
      <c r="F9" s="1815">
        <f>SUM(B9:E9)</f>
        <v>7856537</v>
      </c>
    </row>
    <row r="10" spans="1:8" s="1079" customFormat="1" ht="14.25" thickTop="1" thickBot="1" x14ac:dyDescent="0.25">
      <c r="A10" s="1080" t="s">
        <v>1370</v>
      </c>
      <c r="B10" s="1817">
        <f>(B8-B9)</f>
        <v>75790</v>
      </c>
      <c r="C10" s="1817">
        <f>(C8-C9)</f>
        <v>-33393</v>
      </c>
      <c r="D10" s="1817">
        <f>(D8-D9)</f>
        <v>432919</v>
      </c>
      <c r="E10" s="1816">
        <f>(E8-E9)</f>
        <v>40304</v>
      </c>
      <c r="F10" s="1818">
        <f>SUM(F8-F9)</f>
        <v>515620</v>
      </c>
    </row>
    <row r="11" spans="1:8" s="1079" customFormat="1" ht="14.25" thickTop="1" thickBot="1" x14ac:dyDescent="0.25">
      <c r="A11" s="1081" t="s">
        <v>1985</v>
      </c>
      <c r="B11" s="1819">
        <f>'Acct Summary 7-8'!C81</f>
        <v>1042613</v>
      </c>
      <c r="C11" s="1819">
        <f>'Acct Summary 7-8'!D81</f>
        <v>186693</v>
      </c>
      <c r="D11" s="1819">
        <f>'Acct Summary 7-8'!F81</f>
        <v>1018355</v>
      </c>
      <c r="E11" s="1819">
        <f>'Acct Summary 7-8'!I81</f>
        <v>1849421</v>
      </c>
      <c r="F11" s="1820">
        <f>SUM(B11:E11)</f>
        <v>4097082</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7" colorId="8" zoomScale="110" zoomScaleNormal="110" workbookViewId="0">
      <selection activeCell="D24" sqref="D2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30039176026</v>
      </c>
    </row>
    <row r="3" spans="1:2" x14ac:dyDescent="0.2">
      <c r="A3" t="s">
        <v>956</v>
      </c>
      <c r="B3" s="138" t="str">
        <f>COVER!A15</f>
        <v>Perry/Randolph/Jackson</v>
      </c>
    </row>
    <row r="4" spans="1:2" x14ac:dyDescent="0.2">
      <c r="A4" t="s">
        <v>1007</v>
      </c>
      <c r="B4" s="138" t="str">
        <f>COVER!A17</f>
        <v>Trico CUSD 176</v>
      </c>
    </row>
    <row r="5" spans="1:2" x14ac:dyDescent="0.2">
      <c r="A5" t="s">
        <v>704</v>
      </c>
      <c r="B5" s="138" t="str">
        <f>COVER!A38</f>
        <v>Larry Lovel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066-003998</v>
      </c>
    </row>
    <row r="16" spans="1:2" x14ac:dyDescent="0.2">
      <c r="A16" t="s">
        <v>422</v>
      </c>
      <c r="B16" s="138" t="str">
        <f>COVER!T13</f>
        <v>Kemper CPA Group, LLP</v>
      </c>
    </row>
    <row r="17" spans="1:2" x14ac:dyDescent="0.2">
      <c r="A17" t="s">
        <v>884</v>
      </c>
      <c r="B17" s="138" t="str">
        <f>COVER!T15</f>
        <v>Kimberly Walker, CPA</v>
      </c>
    </row>
    <row r="18" spans="1:2" x14ac:dyDescent="0.2">
      <c r="A18" t="s">
        <v>1150</v>
      </c>
      <c r="B18" s="138" t="str">
        <f>COVER!T17</f>
        <v>3401 Professional Park Drive, PO BOX 129</v>
      </c>
    </row>
    <row r="19" spans="1:2" x14ac:dyDescent="0.2">
      <c r="A19" t="s">
        <v>886</v>
      </c>
      <c r="B19" s="138" t="str">
        <f>COVER!T25</f>
        <v xml:space="preserve">kwalker@kcpag.com </v>
      </c>
    </row>
    <row r="20" spans="1:2" x14ac:dyDescent="0.2">
      <c r="A20" t="s">
        <v>887</v>
      </c>
      <c r="B20" s="138" t="str">
        <f>COVER!T19</f>
        <v>Marion</v>
      </c>
    </row>
    <row r="21" spans="1:2" x14ac:dyDescent="0.2">
      <c r="A21" t="s">
        <v>479</v>
      </c>
      <c r="B21" s="138" t="str">
        <f>COVER!X19</f>
        <v>IL</v>
      </c>
    </row>
    <row r="22" spans="1:2" x14ac:dyDescent="0.2">
      <c r="A22" t="s">
        <v>888</v>
      </c>
      <c r="B22" s="138">
        <f>COVER!Z19</f>
        <v>62959</v>
      </c>
    </row>
    <row r="23" spans="1:2" x14ac:dyDescent="0.2">
      <c r="A23" t="s">
        <v>1152</v>
      </c>
      <c r="B23" s="138" t="str">
        <f>COVER!T21</f>
        <v>618-997-3055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Yes</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1052613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10000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10000</v>
      </c>
      <c r="C91" s="2" t="s">
        <v>573</v>
      </c>
      <c r="D91" s="2" t="str">
        <f t="shared" si="0"/>
        <v>Error?</v>
      </c>
    </row>
    <row r="92" spans="1:4" x14ac:dyDescent="0.2">
      <c r="A92" s="5">
        <v>31</v>
      </c>
      <c r="B92" s="138">
        <f>'Assets-Liab 5-6'!C39</f>
        <v>1032675</v>
      </c>
      <c r="D92" s="2" t="str">
        <f t="shared" si="0"/>
        <v>Error?</v>
      </c>
    </row>
    <row r="93" spans="1:4" x14ac:dyDescent="0.2">
      <c r="A93" s="5">
        <v>32</v>
      </c>
      <c r="B93" s="138">
        <f>'Assets-Liab 5-6'!C41</f>
        <v>1052613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486693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300000</v>
      </c>
      <c r="C122" s="2" t="s">
        <v>573</v>
      </c>
      <c r="D122" s="2" t="str">
        <f t="shared" si="0"/>
        <v>Error?</v>
      </c>
    </row>
    <row r="123" spans="1:4" x14ac:dyDescent="0.2">
      <c r="A123" s="5">
        <v>62</v>
      </c>
      <c r="B123" s="138">
        <f>'Assets-Liab 5-6'!D39</f>
        <v>186693</v>
      </c>
      <c r="D123" s="2" t="str">
        <f t="shared" si="0"/>
        <v>Error?</v>
      </c>
    </row>
    <row r="124" spans="1:4" x14ac:dyDescent="0.2">
      <c r="A124" s="5">
        <v>63</v>
      </c>
      <c r="B124" s="138">
        <f>'Assets-Liab 5-6'!D41</f>
        <v>486693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179853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179853</v>
      </c>
      <c r="D140" s="2" t="str">
        <f t="shared" si="1"/>
        <v>Error?</v>
      </c>
    </row>
    <row r="141" spans="1:4" x14ac:dyDescent="0.2">
      <c r="A141" s="5">
        <v>80</v>
      </c>
      <c r="B141" s="138">
        <f>'Assets-Liab 5-6'!E41</f>
        <v>179853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1518355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500000</v>
      </c>
      <c r="C169" s="2" t="s">
        <v>573</v>
      </c>
      <c r="D169" s="2" t="str">
        <f t="shared" si="1"/>
        <v>Error?</v>
      </c>
    </row>
    <row r="170" spans="1:4" x14ac:dyDescent="0.2">
      <c r="A170" s="5">
        <v>109</v>
      </c>
      <c r="B170" s="138">
        <f>'Assets-Liab 5-6'!F39</f>
        <v>1018355</v>
      </c>
      <c r="D170" s="2" t="str">
        <f t="shared" si="1"/>
        <v>Error?</v>
      </c>
    </row>
    <row r="171" spans="1:4" x14ac:dyDescent="0.2">
      <c r="A171" s="5">
        <v>110</v>
      </c>
      <c r="B171" s="138">
        <f>'Assets-Liab 5-6'!F41</f>
        <v>1518355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763652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763652</v>
      </c>
      <c r="D189" s="2" t="str">
        <f t="shared" si="1"/>
        <v>Error?</v>
      </c>
    </row>
    <row r="190" spans="1:4" x14ac:dyDescent="0.2">
      <c r="A190" s="5">
        <v>129</v>
      </c>
      <c r="B190" s="138">
        <f>'Assets-Liab 5-6'!G41</f>
        <v>763652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3409943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2584337</v>
      </c>
      <c r="D212" s="2" t="str">
        <f t="shared" si="2"/>
        <v>Error?</v>
      </c>
    </row>
    <row r="213" spans="1:4" x14ac:dyDescent="0.2">
      <c r="A213" s="12">
        <v>152</v>
      </c>
      <c r="B213" s="138">
        <f>'Assets-Liab 5-6'!H41</f>
        <v>3409943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43000</v>
      </c>
      <c r="D273" s="2" t="str">
        <f t="shared" si="3"/>
        <v>Error?</v>
      </c>
    </row>
    <row r="274" spans="1:4" x14ac:dyDescent="0.2">
      <c r="A274" s="5">
        <v>213</v>
      </c>
      <c r="B274" s="138">
        <f>'Assets-Liab 5-6'!M17</f>
        <v>4234132</v>
      </c>
      <c r="D274" s="2" t="str">
        <f t="shared" si="3"/>
        <v>Error?</v>
      </c>
    </row>
    <row r="275" spans="1:4" x14ac:dyDescent="0.2">
      <c r="A275" s="5">
        <v>214</v>
      </c>
      <c r="B275" s="138">
        <f>'Assets-Liab 5-6'!M18</f>
        <v>287453</v>
      </c>
      <c r="D275" s="2" t="str">
        <f t="shared" si="3"/>
        <v>Error?</v>
      </c>
    </row>
    <row r="276" spans="1:4" x14ac:dyDescent="0.2">
      <c r="A276" s="5">
        <v>215</v>
      </c>
      <c r="B276" s="138">
        <f>'Assets-Liab 5-6'!M19</f>
        <v>541742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5129532</v>
      </c>
      <c r="C279" s="2" t="s">
        <v>573</v>
      </c>
      <c r="D279" s="2" t="str">
        <f t="shared" si="3"/>
        <v>Error?</v>
      </c>
    </row>
    <row r="280" spans="1:4" x14ac:dyDescent="0.2">
      <c r="A280" s="5">
        <v>219</v>
      </c>
      <c r="B280" s="138">
        <f>'Assets-Liab 5-6'!M40</f>
        <v>5129532</v>
      </c>
      <c r="D280" s="2" t="str">
        <f t="shared" si="3"/>
        <v>Error?</v>
      </c>
    </row>
    <row r="281" spans="1:4" x14ac:dyDescent="0.2">
      <c r="A281" s="5">
        <v>220</v>
      </c>
      <c r="B281" s="138">
        <f>'Assets-Liab 5-6'!M41</f>
        <v>5129532</v>
      </c>
      <c r="C281" s="2" t="s">
        <v>573</v>
      </c>
      <c r="D281" s="2" t="str">
        <f t="shared" si="3"/>
        <v>Error?</v>
      </c>
    </row>
    <row r="282" spans="1:4" x14ac:dyDescent="0.2">
      <c r="A282" s="5">
        <v>221</v>
      </c>
      <c r="B282" s="138">
        <f>'Assets-Liab 5-6'!N21</f>
        <v>179853</v>
      </c>
      <c r="D282" s="2" t="str">
        <f t="shared" si="3"/>
        <v>Error?</v>
      </c>
    </row>
    <row r="283" spans="1:4" x14ac:dyDescent="0.2">
      <c r="A283" s="5">
        <v>222</v>
      </c>
      <c r="B283" s="138">
        <f>'Assets-Liab 5-6'!N22</f>
        <v>4795147</v>
      </c>
      <c r="D283" s="2" t="str">
        <f t="shared" si="3"/>
        <v>Error?</v>
      </c>
    </row>
    <row r="284" spans="1:4" x14ac:dyDescent="0.2">
      <c r="A284" s="5">
        <v>223</v>
      </c>
      <c r="B284" s="138">
        <f>'Assets-Liab 5-6'!N23</f>
        <v>4975000</v>
      </c>
      <c r="C284" s="2" t="s">
        <v>573</v>
      </c>
      <c r="D284" s="2" t="str">
        <f t="shared" si="3"/>
        <v>Error?</v>
      </c>
    </row>
    <row r="285" spans="1:4" x14ac:dyDescent="0.2">
      <c r="A285" s="5">
        <v>224</v>
      </c>
      <c r="B285" s="138">
        <f>'Assets-Liab 5-6'!N36</f>
        <v>4975000</v>
      </c>
      <c r="D285" s="2" t="str">
        <f t="shared" si="3"/>
        <v>Error?</v>
      </c>
    </row>
    <row r="286" spans="1:4" x14ac:dyDescent="0.2">
      <c r="A286" s="10">
        <v>225</v>
      </c>
      <c r="D286" s="2" t="str">
        <f t="shared" si="3"/>
        <v>OK</v>
      </c>
    </row>
    <row r="287" spans="1:4" x14ac:dyDescent="0.2">
      <c r="A287" s="5">
        <v>226</v>
      </c>
      <c r="B287" s="138">
        <f>'Assets-Liab 5-6'!N37</f>
        <v>4975000</v>
      </c>
      <c r="C287" s="2" t="s">
        <v>573</v>
      </c>
      <c r="D287" s="2" t="str">
        <f t="shared" si="3"/>
        <v>Error?</v>
      </c>
    </row>
    <row r="288" spans="1:4" x14ac:dyDescent="0.2">
      <c r="A288" s="5">
        <v>227</v>
      </c>
      <c r="B288" s="138">
        <f>'Assets-Liab 5-6'!N41</f>
        <v>4975000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2500000</v>
      </c>
      <c r="D618" s="2" t="str">
        <f t="shared" si="8"/>
        <v>Error?</v>
      </c>
    </row>
    <row r="619" spans="1:4" x14ac:dyDescent="0.2">
      <c r="A619" s="5">
        <v>558</v>
      </c>
      <c r="B619" s="138">
        <f>'Acct Summary 7-8'!H34</f>
        <v>50151</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2073046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202061</v>
      </c>
      <c r="D717" s="2" t="str">
        <f t="shared" si="10"/>
        <v>Error?</v>
      </c>
    </row>
    <row r="718" spans="1:4" x14ac:dyDescent="0.2">
      <c r="A718" s="5">
        <v>657</v>
      </c>
      <c r="B718" s="138">
        <f>'Expenditures 15-22'!C14</f>
        <v>93100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3012280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83772</v>
      </c>
      <c r="D722" s="2" t="str">
        <f t="shared" si="10"/>
        <v>Error?</v>
      </c>
    </row>
    <row r="723" spans="1:4" x14ac:dyDescent="0.2">
      <c r="A723" s="5">
        <v>662</v>
      </c>
      <c r="B723" s="138">
        <f>'Expenditures 15-22'!C38</f>
        <v>25954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41199</v>
      </c>
      <c r="D725" s="2" t="str">
        <f t="shared" si="10"/>
        <v>Error?</v>
      </c>
    </row>
    <row r="726" spans="1:4" x14ac:dyDescent="0.2">
      <c r="A726" s="5">
        <v>665</v>
      </c>
      <c r="B726" s="138">
        <f>'Expenditures 15-22'!C41</f>
        <v>1222</v>
      </c>
      <c r="D726" s="2" t="str">
        <f t="shared" si="10"/>
        <v>Error?</v>
      </c>
    </row>
    <row r="727" spans="1:4" x14ac:dyDescent="0.2">
      <c r="A727" s="5">
        <v>666</v>
      </c>
      <c r="B727" s="138">
        <f>'Expenditures 15-22'!C42</f>
        <v>152147</v>
      </c>
      <c r="C727" s="2" t="s">
        <v>573</v>
      </c>
      <c r="D727" s="2" t="str">
        <f t="shared" si="10"/>
        <v>Error?</v>
      </c>
    </row>
    <row r="728" spans="1:4" x14ac:dyDescent="0.2">
      <c r="A728" s="5">
        <v>667</v>
      </c>
      <c r="B728" s="138">
        <f>'Expenditures 15-22'!C44</f>
        <v>110916</v>
      </c>
      <c r="D728" s="2" t="str">
        <f t="shared" si="10"/>
        <v>Error?</v>
      </c>
    </row>
    <row r="729" spans="1:4" x14ac:dyDescent="0.2">
      <c r="A729" s="5">
        <v>668</v>
      </c>
      <c r="B729" s="138">
        <f>'Expenditures 15-22'!C45</f>
        <v>62748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173664</v>
      </c>
      <c r="C731" s="2" t="s">
        <v>573</v>
      </c>
      <c r="D731" s="2" t="str">
        <f t="shared" si="10"/>
        <v>Error?</v>
      </c>
    </row>
    <row r="732" spans="1:4" x14ac:dyDescent="0.2">
      <c r="A732" s="5">
        <v>671</v>
      </c>
      <c r="B732" s="138">
        <f>'Expenditures 15-22'!C49</f>
        <v>3465</v>
      </c>
      <c r="D732" s="2" t="str">
        <f t="shared" si="10"/>
        <v>Error?</v>
      </c>
    </row>
    <row r="733" spans="1:4" x14ac:dyDescent="0.2">
      <c r="A733" s="5">
        <v>672</v>
      </c>
      <c r="B733" s="138">
        <f>'Expenditures 15-22'!C50</f>
        <v>93638</v>
      </c>
      <c r="D733" s="2" t="str">
        <f t="shared" si="10"/>
        <v>Error?</v>
      </c>
    </row>
    <row r="734" spans="1:4" x14ac:dyDescent="0.2">
      <c r="A734" s="5">
        <v>673</v>
      </c>
      <c r="B734" s="138">
        <f>'Expenditures 15-22'!C53</f>
        <v>103103</v>
      </c>
      <c r="C734" s="2" t="s">
        <v>573</v>
      </c>
      <c r="D734" s="2" t="str">
        <f t="shared" si="10"/>
        <v>Error?</v>
      </c>
    </row>
    <row r="735" spans="1:4" x14ac:dyDescent="0.2">
      <c r="A735" s="5">
        <v>674</v>
      </c>
      <c r="B735" s="138">
        <f>'Expenditures 15-22'!C55</f>
        <v>381126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381126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84280</v>
      </c>
      <c r="D739" s="2" t="str">
        <f t="shared" si="10"/>
        <v>Error?</v>
      </c>
    </row>
    <row r="740" spans="1:4" x14ac:dyDescent="0.2">
      <c r="A740" s="5">
        <v>679</v>
      </c>
      <c r="B740" s="138">
        <f>'Expenditures 15-22'!C61</f>
        <v>170616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107719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362615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1172655</v>
      </c>
      <c r="C755" s="2" t="s">
        <v>573</v>
      </c>
      <c r="D755" s="2" t="str">
        <f t="shared" si="10"/>
        <v>Error?</v>
      </c>
    </row>
    <row r="756" spans="1:4" x14ac:dyDescent="0.2">
      <c r="A756" s="5">
        <v>695</v>
      </c>
      <c r="B756" s="138">
        <f>'Expenditures 15-22'!C75</f>
        <v>4179</v>
      </c>
      <c r="D756" s="2" t="str">
        <f t="shared" si="10"/>
        <v>Error?</v>
      </c>
    </row>
    <row r="757" spans="1:4" x14ac:dyDescent="0.2">
      <c r="A757" s="5">
        <v>696</v>
      </c>
      <c r="B757" s="138">
        <f>'Expenditures 15-22'!C114</f>
        <v>4189114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683203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54641</v>
      </c>
      <c r="D775" s="2" t="str">
        <f t="shared" si="11"/>
        <v>Error?</v>
      </c>
    </row>
    <row r="776" spans="1:4" x14ac:dyDescent="0.2">
      <c r="A776" s="5">
        <v>715</v>
      </c>
      <c r="B776" s="138">
        <f>'Expenditures 15-22'!D14</f>
        <v>28914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980333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24531</v>
      </c>
      <c r="D780" s="2" t="str">
        <f t="shared" si="11"/>
        <v>Error?</v>
      </c>
    </row>
    <row r="781" spans="1:4" x14ac:dyDescent="0.2">
      <c r="A781" s="5">
        <v>720</v>
      </c>
      <c r="B781" s="138">
        <f>'Expenditures 15-22'!D38</f>
        <v>4568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17527</v>
      </c>
      <c r="D783" s="2" t="str">
        <f t="shared" si="11"/>
        <v>Error?</v>
      </c>
    </row>
    <row r="784" spans="1:4" x14ac:dyDescent="0.2">
      <c r="A784" s="5">
        <v>723</v>
      </c>
      <c r="B784" s="138">
        <f>'Expenditures 15-22'!D41</f>
        <v>5748</v>
      </c>
      <c r="D784" s="2" t="str">
        <f t="shared" si="11"/>
        <v>Error?</v>
      </c>
    </row>
    <row r="785" spans="1:4" x14ac:dyDescent="0.2">
      <c r="A785" s="5">
        <v>724</v>
      </c>
      <c r="B785" s="138">
        <f>'Expenditures 15-22'!D42</f>
        <v>52374</v>
      </c>
      <c r="C785" s="2" t="s">
        <v>573</v>
      </c>
      <c r="D785" s="2" t="str">
        <f t="shared" si="11"/>
        <v>Error?</v>
      </c>
    </row>
    <row r="786" spans="1:4" x14ac:dyDescent="0.2">
      <c r="A786" s="5">
        <v>725</v>
      </c>
      <c r="B786" s="138">
        <f>'Expenditures 15-22'!D44</f>
        <v>32032</v>
      </c>
      <c r="D786" s="2" t="str">
        <f t="shared" si="11"/>
        <v>Error?</v>
      </c>
    </row>
    <row r="787" spans="1:4" x14ac:dyDescent="0.2">
      <c r="A787" s="5">
        <v>726</v>
      </c>
      <c r="B787" s="138">
        <f>'Expenditures 15-22'!D45</f>
        <v>6544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38576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36854</v>
      </c>
      <c r="D791" s="2" t="str">
        <f t="shared" si="11"/>
        <v>Error?</v>
      </c>
    </row>
    <row r="792" spans="1:4" x14ac:dyDescent="0.2">
      <c r="A792" s="5">
        <v>731</v>
      </c>
      <c r="B792" s="138">
        <f>'Expenditures 15-22'!D53</f>
        <v>38295</v>
      </c>
      <c r="C792" s="2" t="s">
        <v>573</v>
      </c>
      <c r="D792" s="2" t="str">
        <f t="shared" si="11"/>
        <v>Error?</v>
      </c>
    </row>
    <row r="793" spans="1:4" x14ac:dyDescent="0.2">
      <c r="A793" s="5">
        <v>732</v>
      </c>
      <c r="B793" s="138">
        <f>'Expenditures 15-22'!D55</f>
        <v>118517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118517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21844</v>
      </c>
      <c r="D797" s="2" t="str">
        <f t="shared" si="11"/>
        <v>Error?</v>
      </c>
    </row>
    <row r="798" spans="1:4" x14ac:dyDescent="0.2">
      <c r="A798" s="5">
        <v>737</v>
      </c>
      <c r="B798" s="138">
        <f>'Expenditures 15-22'!D61</f>
        <v>45140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39853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106837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354599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1334932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79893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798</v>
      </c>
      <c r="D833" s="2" t="str">
        <f t="shared" si="12"/>
        <v>Error?</v>
      </c>
    </row>
    <row r="834" spans="1:4" x14ac:dyDescent="0.2">
      <c r="A834" s="5">
        <v>773</v>
      </c>
      <c r="B834" s="138">
        <f>'Expenditures 15-22'!E14</f>
        <v>39998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125658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354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392</v>
      </c>
      <c r="C843" s="2" t="s">
        <v>573</v>
      </c>
      <c r="D843" s="2" t="str">
        <f t="shared" si="12"/>
        <v>Error?</v>
      </c>
    </row>
    <row r="844" spans="1:4" x14ac:dyDescent="0.2">
      <c r="A844" s="5">
        <v>783</v>
      </c>
      <c r="B844" s="138">
        <f>'Expenditures 15-22'!E44</f>
        <v>71886</v>
      </c>
      <c r="D844" s="2" t="str">
        <f t="shared" si="12"/>
        <v>Error?</v>
      </c>
    </row>
    <row r="845" spans="1:4" x14ac:dyDescent="0.2">
      <c r="A845" s="5">
        <v>784</v>
      </c>
      <c r="B845" s="138">
        <f>'Expenditures 15-22'!E45</f>
        <v>1068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72954</v>
      </c>
      <c r="C847" s="2" t="s">
        <v>573</v>
      </c>
      <c r="D847" s="2" t="str">
        <f t="shared" si="12"/>
        <v>Error?</v>
      </c>
    </row>
    <row r="848" spans="1:4" x14ac:dyDescent="0.2">
      <c r="A848" s="5">
        <v>787</v>
      </c>
      <c r="B848" s="138">
        <f>'Expenditures 15-22'!E49</f>
        <v>34133</v>
      </c>
      <c r="D848" s="2" t="str">
        <f t="shared" si="12"/>
        <v>Error?</v>
      </c>
    </row>
    <row r="849" spans="1:4" x14ac:dyDescent="0.2">
      <c r="A849" s="5">
        <v>788</v>
      </c>
      <c r="B849" s="138">
        <f>'Expenditures 15-22'!E50</f>
        <v>7750</v>
      </c>
      <c r="D849" s="2" t="str">
        <f t="shared" si="12"/>
        <v>Error?</v>
      </c>
    </row>
    <row r="850" spans="1:4" x14ac:dyDescent="0.2">
      <c r="A850" s="5">
        <v>789</v>
      </c>
      <c r="B850" s="138">
        <f>'Expenditures 15-22'!E53</f>
        <v>41883</v>
      </c>
      <c r="C850" s="2" t="s">
        <v>573</v>
      </c>
      <c r="D850" s="2" t="str">
        <f t="shared" si="12"/>
        <v>Error?</v>
      </c>
    </row>
    <row r="851" spans="1:4" x14ac:dyDescent="0.2">
      <c r="A851" s="5">
        <v>790</v>
      </c>
      <c r="B851" s="138">
        <f>'Expenditures 15-22'!E55</f>
        <v>5372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5372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6740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2683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9423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130024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257032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142420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7048</v>
      </c>
      <c r="D891" s="2" t="str">
        <f t="shared" si="12"/>
        <v>Error?</v>
      </c>
    </row>
    <row r="892" spans="1:4" x14ac:dyDescent="0.2">
      <c r="A892" s="5">
        <v>831</v>
      </c>
      <c r="B892" s="138">
        <f>'Expenditures 15-22'!F14</f>
        <v>15044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211633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342</v>
      </c>
      <c r="D896" s="2" t="str">
        <f t="shared" si="13"/>
        <v>Error?</v>
      </c>
    </row>
    <row r="897" spans="1:4" x14ac:dyDescent="0.2">
      <c r="A897" s="5">
        <v>836</v>
      </c>
      <c r="B897" s="138">
        <f>'Expenditures 15-22'!F38</f>
        <v>1135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364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1841</v>
      </c>
      <c r="C901" s="2" t="s">
        <v>573</v>
      </c>
      <c r="D901" s="2" t="str">
        <f t="shared" si="13"/>
        <v>Error?</v>
      </c>
    </row>
    <row r="902" spans="1:4" x14ac:dyDescent="0.2">
      <c r="A902" s="5">
        <v>841</v>
      </c>
      <c r="B902" s="138">
        <f>'Expenditures 15-22'!F44</f>
        <v>19965</v>
      </c>
      <c r="D902" s="2" t="str">
        <f t="shared" si="13"/>
        <v>Error?</v>
      </c>
    </row>
    <row r="903" spans="1:4" x14ac:dyDescent="0.2">
      <c r="A903" s="5">
        <v>842</v>
      </c>
      <c r="B903" s="138">
        <f>'Expenditures 15-22'!F45</f>
        <v>8489</v>
      </c>
      <c r="D903" s="2" t="str">
        <f t="shared" si="13"/>
        <v>Error?</v>
      </c>
    </row>
    <row r="904" spans="1:4" x14ac:dyDescent="0.2">
      <c r="A904" s="5">
        <v>843</v>
      </c>
      <c r="B904" s="138">
        <f>'Expenditures 15-22'!F46</f>
        <v>2440</v>
      </c>
      <c r="D904" s="2" t="str">
        <f t="shared" si="13"/>
        <v>Error?</v>
      </c>
    </row>
    <row r="905" spans="1:4" x14ac:dyDescent="0.2">
      <c r="A905" s="5">
        <v>844</v>
      </c>
      <c r="B905" s="138">
        <f>'Expenditures 15-22'!F47</f>
        <v>30894</v>
      </c>
      <c r="C905" s="2" t="s">
        <v>573</v>
      </c>
      <c r="D905" s="2" t="str">
        <f t="shared" si="13"/>
        <v>Error?</v>
      </c>
    </row>
    <row r="906" spans="1:4" x14ac:dyDescent="0.2">
      <c r="A906" s="5">
        <v>845</v>
      </c>
      <c r="B906" s="138">
        <f>'Expenditures 15-22'!F49</f>
        <v>2661</v>
      </c>
      <c r="D906" s="2" t="str">
        <f t="shared" si="13"/>
        <v>Error?</v>
      </c>
    </row>
    <row r="907" spans="1:4" x14ac:dyDescent="0.2">
      <c r="A907" s="5">
        <v>846</v>
      </c>
      <c r="B907" s="138">
        <f>'Expenditures 15-22'!F50</f>
        <v>1561</v>
      </c>
      <c r="D907" s="2" t="str">
        <f t="shared" si="13"/>
        <v>Error?</v>
      </c>
    </row>
    <row r="908" spans="1:4" x14ac:dyDescent="0.2">
      <c r="A908" s="5">
        <v>847</v>
      </c>
      <c r="B908" s="138">
        <f>'Expenditures 15-22'!F53</f>
        <v>4222</v>
      </c>
      <c r="C908" s="2" t="s">
        <v>573</v>
      </c>
      <c r="D908" s="2" t="str">
        <f t="shared" si="13"/>
        <v>Error?</v>
      </c>
    </row>
    <row r="909" spans="1:4" x14ac:dyDescent="0.2">
      <c r="A909" s="5">
        <v>848</v>
      </c>
      <c r="B909" s="138">
        <f>'Expenditures 15-22'!F55</f>
        <v>1816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1816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3454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136717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140171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3670</v>
      </c>
      <c r="D928" s="2" t="str">
        <f t="shared" si="13"/>
        <v>Error?</v>
      </c>
    </row>
    <row r="929" spans="1:4" x14ac:dyDescent="0.2">
      <c r="A929" s="5">
        <v>868</v>
      </c>
      <c r="B929" s="138">
        <f>'Expenditures 15-22'!F74</f>
        <v>182614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394247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17429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3562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20991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10019</v>
      </c>
      <c r="D960" s="2" t="str">
        <f t="shared" si="14"/>
        <v>Error?</v>
      </c>
    </row>
    <row r="961" spans="1:4" x14ac:dyDescent="0.2">
      <c r="A961" s="5">
        <v>900</v>
      </c>
      <c r="B961" s="138">
        <f>'Expenditures 15-22'!G45</f>
        <v>1567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11586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7021</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9698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16719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28305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49296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4348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4348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4348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358079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363427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2996491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268110</v>
      </c>
      <c r="C1105" s="2" t="s">
        <v>573</v>
      </c>
      <c r="D1105" s="2" t="str">
        <f t="shared" si="16"/>
        <v>Error?</v>
      </c>
    </row>
    <row r="1106" spans="1:4" x14ac:dyDescent="0.2">
      <c r="A1106" s="5">
        <v>1045</v>
      </c>
      <c r="B1106" s="138">
        <f>'Expenditures 15-22'!K14</f>
        <v>177056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4351895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108645</v>
      </c>
      <c r="C1110" s="2" t="s">
        <v>573</v>
      </c>
      <c r="D1110" s="2" t="str">
        <f t="shared" si="16"/>
        <v>Error?</v>
      </c>
    </row>
    <row r="1111" spans="1:4" x14ac:dyDescent="0.2">
      <c r="A1111" s="5">
        <v>1050</v>
      </c>
      <c r="B1111" s="138">
        <f>'Expenditures 15-22'!K38</f>
        <v>32011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59128</v>
      </c>
      <c r="C1113" s="2" t="s">
        <v>573</v>
      </c>
      <c r="D1113" s="2" t="str">
        <f t="shared" si="16"/>
        <v>Error?</v>
      </c>
    </row>
    <row r="1114" spans="1:4" x14ac:dyDescent="0.2">
      <c r="A1114" s="5">
        <v>1053</v>
      </c>
      <c r="B1114" s="138">
        <f>'Expenditures 15-22'!K41</f>
        <v>6970</v>
      </c>
      <c r="C1114" s="2" t="s">
        <v>573</v>
      </c>
      <c r="D1114" s="2" t="str">
        <f t="shared" si="16"/>
        <v>Error?</v>
      </c>
    </row>
    <row r="1115" spans="1:4" x14ac:dyDescent="0.2">
      <c r="A1115" s="5">
        <v>1054</v>
      </c>
      <c r="B1115" s="138">
        <f>'Expenditures 15-22'!K42</f>
        <v>206754</v>
      </c>
      <c r="C1115" s="2" t="s">
        <v>573</v>
      </c>
      <c r="D1115" s="2" t="str">
        <f t="shared" si="16"/>
        <v>Error?</v>
      </c>
    </row>
    <row r="1116" spans="1:4" x14ac:dyDescent="0.2">
      <c r="A1116" s="5">
        <v>1055</v>
      </c>
      <c r="B1116" s="138">
        <f>'Expenditures 15-22'!K44</f>
        <v>244818</v>
      </c>
      <c r="C1116" s="2" t="s">
        <v>573</v>
      </c>
      <c r="D1116" s="2" t="str">
        <f t="shared" si="16"/>
        <v>Error?</v>
      </c>
    </row>
    <row r="1117" spans="1:4" x14ac:dyDescent="0.2">
      <c r="A1117" s="5">
        <v>1056</v>
      </c>
      <c r="B1117" s="138">
        <f>'Expenditures 15-22'!K45</f>
        <v>80416</v>
      </c>
      <c r="C1117" s="2" t="s">
        <v>573</v>
      </c>
      <c r="D1117" s="2" t="str">
        <f t="shared" si="16"/>
        <v>Error?</v>
      </c>
    </row>
    <row r="1118" spans="1:4" x14ac:dyDescent="0.2">
      <c r="A1118" s="5">
        <v>1057</v>
      </c>
      <c r="B1118" s="138">
        <f>'Expenditures 15-22'!K46</f>
        <v>2440</v>
      </c>
      <c r="C1118" s="2" t="s">
        <v>573</v>
      </c>
      <c r="D1118" s="2" t="str">
        <f t="shared" si="16"/>
        <v>Error?</v>
      </c>
    </row>
    <row r="1119" spans="1:4" x14ac:dyDescent="0.2">
      <c r="A1119" s="5">
        <v>1058</v>
      </c>
      <c r="B1119" s="138">
        <f>'Expenditures 15-22'!K47</f>
        <v>327674</v>
      </c>
      <c r="C1119" s="2" t="s">
        <v>573</v>
      </c>
      <c r="D1119" s="2" t="str">
        <f t="shared" si="16"/>
        <v>Error?</v>
      </c>
    </row>
    <row r="1120" spans="1:4" x14ac:dyDescent="0.2">
      <c r="A1120" s="5">
        <v>1059</v>
      </c>
      <c r="B1120" s="138">
        <f>'Expenditures 15-22'!K49</f>
        <v>44607</v>
      </c>
      <c r="C1120" s="2" t="s">
        <v>573</v>
      </c>
      <c r="D1120" s="2" t="str">
        <f t="shared" si="16"/>
        <v>Error?</v>
      </c>
    </row>
    <row r="1121" spans="1:4" x14ac:dyDescent="0.2">
      <c r="A1121" s="5">
        <v>1060</v>
      </c>
      <c r="B1121" s="138">
        <f>'Expenditures 15-22'!K50</f>
        <v>139803</v>
      </c>
      <c r="C1121" s="2" t="s">
        <v>573</v>
      </c>
      <c r="D1121" s="2" t="str">
        <f t="shared" si="16"/>
        <v>Error?</v>
      </c>
    </row>
    <row r="1122" spans="1:4" x14ac:dyDescent="0.2">
      <c r="A1122" s="5">
        <v>1061</v>
      </c>
      <c r="B1122" s="138">
        <f>'Expenditures 15-22'!K53</f>
        <v>191851</v>
      </c>
      <c r="C1122" s="2" t="s">
        <v>573</v>
      </c>
      <c r="D1122" s="2" t="str">
        <f t="shared" si="16"/>
        <v>Error?</v>
      </c>
    </row>
    <row r="1123" spans="1:4" x14ac:dyDescent="0.2">
      <c r="A1123" s="5">
        <v>1062</v>
      </c>
      <c r="B1123" s="138">
        <f>'Expenditures 15-22'!K55</f>
        <v>506831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506831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123339</v>
      </c>
      <c r="C1127" s="2" t="s">
        <v>573</v>
      </c>
      <c r="D1127" s="2" t="str">
        <f t="shared" si="16"/>
        <v>Error?</v>
      </c>
    </row>
    <row r="1128" spans="1:4" x14ac:dyDescent="0.2">
      <c r="A1128" s="5">
        <v>1067</v>
      </c>
      <c r="B1128" s="138">
        <f>'Expenditures 15-22'!K61</f>
        <v>215756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296670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635765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3670</v>
      </c>
      <c r="C1142" s="2" t="s">
        <v>573</v>
      </c>
      <c r="D1142" s="2" t="str">
        <f t="shared" si="16"/>
        <v>Error?</v>
      </c>
    </row>
    <row r="1143" spans="1:4" x14ac:dyDescent="0.2">
      <c r="A1143" s="5">
        <v>1082</v>
      </c>
      <c r="B1143" s="138">
        <f>'Expenditures 15-22'!K74</f>
        <v>1872545</v>
      </c>
      <c r="C1143" s="2" t="s">
        <v>573</v>
      </c>
      <c r="D1143" s="2" t="str">
        <f t="shared" si="16"/>
        <v>Error?</v>
      </c>
    </row>
    <row r="1144" spans="1:4" x14ac:dyDescent="0.2">
      <c r="A1144" s="5">
        <v>1083</v>
      </c>
      <c r="B1144" s="138">
        <f>'Expenditures 15-22'!K75</f>
        <v>4179</v>
      </c>
      <c r="C1144" s="2" t="s">
        <v>573</v>
      </c>
      <c r="D1144" s="2" t="str">
        <f t="shared" si="16"/>
        <v>Error?</v>
      </c>
    </row>
    <row r="1145" spans="1:4" x14ac:dyDescent="0.2">
      <c r="A1145" s="5">
        <v>1084</v>
      </c>
      <c r="B1145" s="138">
        <f>'Expenditures 15-22'!K102</f>
        <v>359429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6588048</v>
      </c>
      <c r="C1152" s="2" t="s">
        <v>573</v>
      </c>
      <c r="D1152" s="2" t="str">
        <f t="shared" si="17"/>
        <v>Error?</v>
      </c>
    </row>
    <row r="1153" spans="1:4" x14ac:dyDescent="0.2">
      <c r="A1153" s="5">
        <v>1092</v>
      </c>
      <c r="B1153" s="138">
        <f>'Expenditures 15-22'!K115</f>
        <v>75790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31344</v>
      </c>
      <c r="D1221" s="2" t="str">
        <f t="shared" si="18"/>
        <v>Error?</v>
      </c>
    </row>
    <row r="1222" spans="1:4" x14ac:dyDescent="0.2">
      <c r="A1222" s="10">
        <v>1161</v>
      </c>
      <c r="D1222" s="2" t="str">
        <f t="shared" si="18"/>
        <v>OK</v>
      </c>
    </row>
    <row r="1223" spans="1:4" x14ac:dyDescent="0.2">
      <c r="A1223" s="5">
        <v>1162</v>
      </c>
      <c r="B1223" s="138">
        <f>'Expenditures 15-22'!C127</f>
        <v>31344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31344</v>
      </c>
      <c r="C1225" s="2" t="s">
        <v>573</v>
      </c>
      <c r="D1225" s="2" t="str">
        <f t="shared" si="18"/>
        <v>Error?</v>
      </c>
    </row>
    <row r="1226" spans="1:4" x14ac:dyDescent="0.2">
      <c r="A1226" s="5">
        <v>1165</v>
      </c>
      <c r="B1226" s="138">
        <f>'Expenditures 15-22'!C151</f>
        <v>31344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v>
      </c>
      <c r="D1229" s="2" t="str">
        <f t="shared" si="18"/>
        <v>Error?</v>
      </c>
    </row>
    <row r="1230" spans="1:4" x14ac:dyDescent="0.2">
      <c r="A1230" s="10">
        <v>1169</v>
      </c>
      <c r="D1230" s="2" t="str">
        <f t="shared" si="18"/>
        <v>OK</v>
      </c>
    </row>
    <row r="1231" spans="1:4" x14ac:dyDescent="0.2">
      <c r="A1231" s="5">
        <v>1170</v>
      </c>
      <c r="B1231" s="138">
        <f>'Expenditures 15-22'!D127</f>
        <v>12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v>
      </c>
      <c r="C1233" s="2" t="s">
        <v>573</v>
      </c>
      <c r="D1233" s="2" t="str">
        <f t="shared" si="18"/>
        <v>Error?</v>
      </c>
    </row>
    <row r="1234" spans="1:4" x14ac:dyDescent="0.2">
      <c r="A1234" s="5">
        <v>1173</v>
      </c>
      <c r="B1234" s="138">
        <f>'Expenditures 15-22'!D151</f>
        <v>12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75583</v>
      </c>
      <c r="D1237" s="2" t="str">
        <f t="shared" si="18"/>
        <v>Error?</v>
      </c>
    </row>
    <row r="1238" spans="1:4" x14ac:dyDescent="0.2">
      <c r="A1238" s="10">
        <v>1177</v>
      </c>
      <c r="D1238" s="2" t="str">
        <f t="shared" si="18"/>
        <v>OK</v>
      </c>
    </row>
    <row r="1239" spans="1:4" x14ac:dyDescent="0.2">
      <c r="A1239" s="5">
        <v>1178</v>
      </c>
      <c r="B1239" s="138">
        <f>'Expenditures 15-22'!E127</f>
        <v>75583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75583</v>
      </c>
      <c r="C1241" s="2" t="s">
        <v>573</v>
      </c>
      <c r="D1241" s="2" t="str">
        <f t="shared" si="18"/>
        <v>Error?</v>
      </c>
    </row>
    <row r="1242" spans="1:4" x14ac:dyDescent="0.2">
      <c r="A1242" s="5">
        <v>1181</v>
      </c>
      <c r="B1242" s="138">
        <f>'Expenditures 15-22'!E151</f>
        <v>75583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240331</v>
      </c>
      <c r="D1245" s="2" t="str">
        <f t="shared" si="18"/>
        <v>Error?</v>
      </c>
    </row>
    <row r="1246" spans="1:4" x14ac:dyDescent="0.2">
      <c r="A1246" s="10">
        <v>1185</v>
      </c>
      <c r="D1246" s="2" t="str">
        <f t="shared" si="18"/>
        <v>OK</v>
      </c>
    </row>
    <row r="1247" spans="1:4" x14ac:dyDescent="0.2">
      <c r="A1247" s="5">
        <v>1186</v>
      </c>
      <c r="B1247" s="138">
        <f>'Expenditures 15-22'!F127</f>
        <v>240331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240331</v>
      </c>
      <c r="C1249" s="2" t="s">
        <v>573</v>
      </c>
      <c r="D1249" s="2" t="str">
        <f t="shared" si="18"/>
        <v>Error?</v>
      </c>
    </row>
    <row r="1250" spans="1:4" x14ac:dyDescent="0.2">
      <c r="A1250" s="5">
        <v>1189</v>
      </c>
      <c r="B1250" s="138">
        <f>'Expenditures 15-22'!F151</f>
        <v>240331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29936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29936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29936</v>
      </c>
      <c r="C1258" s="2" t="s">
        <v>573</v>
      </c>
      <c r="D1258" s="2" t="str">
        <f t="shared" si="18"/>
        <v>Error?</v>
      </c>
    </row>
    <row r="1259" spans="1:4" x14ac:dyDescent="0.2">
      <c r="A1259" s="5">
        <v>1198</v>
      </c>
      <c r="B1259" s="138">
        <f>'Expenditures 15-22'!G151</f>
        <v>29936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377206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377206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377206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377206</v>
      </c>
      <c r="C1288" s="2" t="s">
        <v>573</v>
      </c>
      <c r="D1288" s="2" t="str">
        <f t="shared" si="19"/>
        <v>Error?</v>
      </c>
    </row>
    <row r="1289" spans="1:4" x14ac:dyDescent="0.2">
      <c r="A1289" s="5">
        <v>1228</v>
      </c>
      <c r="B1289" s="138">
        <f>'Expenditures 15-22'!K152</f>
        <v>-33393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178347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415000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593347</v>
      </c>
      <c r="C1317" s="2" t="s">
        <v>573</v>
      </c>
      <c r="D1317" s="2" t="str">
        <f t="shared" si="19"/>
        <v>Error?</v>
      </c>
    </row>
    <row r="1318" spans="1:4" x14ac:dyDescent="0.2">
      <c r="A1318" s="5">
        <v>1257</v>
      </c>
      <c r="B1318" s="138">
        <f>'Expenditures 15-22'!H174</f>
        <v>593347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178347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415000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593347</v>
      </c>
      <c r="C1331" s="2" t="s">
        <v>573</v>
      </c>
      <c r="D1331" s="2" t="str">
        <f t="shared" si="19"/>
        <v>Error?</v>
      </c>
    </row>
    <row r="1332" spans="1:4" x14ac:dyDescent="0.2">
      <c r="A1332" s="5">
        <v>1271</v>
      </c>
      <c r="B1332" s="138">
        <f>'Expenditures 15-22'!K174</f>
        <v>593347</v>
      </c>
      <c r="C1332" s="2" t="s">
        <v>573</v>
      </c>
      <c r="D1332" s="2" t="str">
        <f t="shared" si="19"/>
        <v>Error?</v>
      </c>
    </row>
    <row r="1333" spans="1:4" x14ac:dyDescent="0.2">
      <c r="A1333" s="5">
        <v>1272</v>
      </c>
      <c r="B1333" s="138">
        <f>'Expenditures 15-22'!K175</f>
        <v>-34008</v>
      </c>
      <c r="C1333" s="2" t="s">
        <v>573</v>
      </c>
      <c r="D1333" s="2" t="str">
        <f t="shared" si="19"/>
        <v>Error?</v>
      </c>
    </row>
    <row r="1334" spans="1:4" x14ac:dyDescent="0.2">
      <c r="A1334" s="10">
        <v>1273</v>
      </c>
      <c r="D1334" s="2" t="str">
        <f t="shared" si="19"/>
        <v>OK</v>
      </c>
    </row>
    <row r="1335" spans="1:4" x14ac:dyDescent="0.2">
      <c r="A1335" s="5">
        <v>1274</v>
      </c>
      <c r="B1335" s="138">
        <f>'Expenditures 15-22'!C182</f>
        <v>374458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374458</v>
      </c>
      <c r="C1339" s="2" t="s">
        <v>573</v>
      </c>
      <c r="D1339" s="2" t="str">
        <f t="shared" si="19"/>
        <v>Error?</v>
      </c>
    </row>
    <row r="1340" spans="1:4" x14ac:dyDescent="0.2">
      <c r="A1340" s="5">
        <v>1279</v>
      </c>
      <c r="B1340" s="138">
        <f>'Expenditures 15-22'!C210</f>
        <v>374458</v>
      </c>
      <c r="C1340" s="2" t="s">
        <v>573</v>
      </c>
      <c r="D1340" s="2" t="str">
        <f t="shared" si="19"/>
        <v>Error?</v>
      </c>
    </row>
    <row r="1341" spans="1:4" x14ac:dyDescent="0.2">
      <c r="A1341" s="5">
        <v>1280</v>
      </c>
      <c r="B1341" s="138">
        <f>'Expenditures 15-22'!D182</f>
        <v>105447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105447</v>
      </c>
      <c r="C1345" s="2" t="s">
        <v>573</v>
      </c>
      <c r="D1345" s="2" t="str">
        <f t="shared" si="20"/>
        <v>Error?</v>
      </c>
    </row>
    <row r="1346" spans="1:4" x14ac:dyDescent="0.2">
      <c r="A1346" s="5">
        <v>1285</v>
      </c>
      <c r="B1346" s="138">
        <f>'Expenditures 15-22'!D210</f>
        <v>105447</v>
      </c>
      <c r="C1346" s="2" t="s">
        <v>573</v>
      </c>
      <c r="D1346" s="2" t="str">
        <f t="shared" si="20"/>
        <v>Error?</v>
      </c>
    </row>
    <row r="1347" spans="1:4" x14ac:dyDescent="0.2">
      <c r="A1347" s="5">
        <v>1286</v>
      </c>
      <c r="B1347" s="138">
        <f>'Expenditures 15-22'!E182</f>
        <v>48991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48991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48991</v>
      </c>
      <c r="C1353" s="2" t="s">
        <v>573</v>
      </c>
      <c r="D1353" s="2" t="str">
        <f t="shared" si="20"/>
        <v>Error?</v>
      </c>
    </row>
    <row r="1354" spans="1:4" x14ac:dyDescent="0.2">
      <c r="A1354" s="5">
        <v>1293</v>
      </c>
      <c r="B1354" s="138">
        <f>'Expenditures 15-22'!F182</f>
        <v>191561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191561</v>
      </c>
      <c r="C1358" s="2" t="s">
        <v>573</v>
      </c>
      <c r="D1358" s="2" t="str">
        <f t="shared" si="20"/>
        <v>Error?</v>
      </c>
    </row>
    <row r="1359" spans="1:4" x14ac:dyDescent="0.2">
      <c r="A1359" s="5">
        <v>1298</v>
      </c>
      <c r="B1359" s="138">
        <f>'Expenditures 15-22'!F210</f>
        <v>191561</v>
      </c>
      <c r="C1359" s="2" t="s">
        <v>573</v>
      </c>
      <c r="D1359" s="2" t="str">
        <f t="shared" si="20"/>
        <v>Error?</v>
      </c>
    </row>
    <row r="1360" spans="1:4" x14ac:dyDescent="0.2">
      <c r="A1360" s="5">
        <v>1299</v>
      </c>
      <c r="B1360" s="138">
        <f>'Expenditures 15-22'!G182</f>
        <v>170826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170826</v>
      </c>
      <c r="C1364" s="2" t="s">
        <v>573</v>
      </c>
      <c r="D1364" s="2" t="str">
        <f t="shared" si="20"/>
        <v>Error?</v>
      </c>
    </row>
    <row r="1365" spans="1:4" x14ac:dyDescent="0.2">
      <c r="A1365" s="5">
        <v>1304</v>
      </c>
      <c r="B1365" s="138">
        <f>'Expenditures 15-22'!G210</f>
        <v>170826</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891283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891283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891283</v>
      </c>
      <c r="C1388" s="2" t="s">
        <v>573</v>
      </c>
      <c r="D1388" s="2" t="str">
        <f t="shared" si="20"/>
        <v>Error?</v>
      </c>
    </row>
    <row r="1389" spans="1:4" x14ac:dyDescent="0.2">
      <c r="A1389" s="5">
        <v>1328</v>
      </c>
      <c r="B1389" s="138">
        <f>'Expenditures 15-22'!K211</f>
        <v>432919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2679</v>
      </c>
      <c r="D1407" s="2" t="str">
        <f t="shared" ref="D1407:D1470" si="21">IF(ISBLANK(B1407),"OK",IF(A1407-B1407=0,"OK","Error?"))</f>
        <v>Error?</v>
      </c>
    </row>
    <row r="1408" spans="1:4" x14ac:dyDescent="0.2">
      <c r="A1408" s="5">
        <v>1347</v>
      </c>
      <c r="B1408" s="138">
        <f>'Expenditures 15-22'!D223</f>
        <v>1405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94955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5467</v>
      </c>
      <c r="D1412" s="2" t="str">
        <f t="shared" si="21"/>
        <v>Error?</v>
      </c>
    </row>
    <row r="1413" spans="1:4" x14ac:dyDescent="0.2">
      <c r="A1413" s="5">
        <v>1352</v>
      </c>
      <c r="B1413" s="138">
        <f>'Expenditures 15-22'!D234</f>
        <v>7946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536</v>
      </c>
      <c r="D1415" s="2" t="str">
        <f t="shared" si="21"/>
        <v>Error?</v>
      </c>
    </row>
    <row r="1416" spans="1:4" x14ac:dyDescent="0.2">
      <c r="A1416" s="5">
        <v>1355</v>
      </c>
      <c r="B1416" s="138">
        <f>'Expenditures 15-22'!D237</f>
        <v>3363</v>
      </c>
      <c r="D1416" s="2" t="str">
        <f t="shared" si="21"/>
        <v>Error?</v>
      </c>
    </row>
    <row r="1417" spans="1:4" x14ac:dyDescent="0.2">
      <c r="A1417" s="5">
        <v>1356</v>
      </c>
      <c r="B1417" s="138">
        <f>'Expenditures 15-22'!D238</f>
        <v>17312</v>
      </c>
      <c r="C1417" s="2" t="s">
        <v>573</v>
      </c>
      <c r="D1417" s="2" t="str">
        <f t="shared" si="21"/>
        <v>Error?</v>
      </c>
    </row>
    <row r="1418" spans="1:4" x14ac:dyDescent="0.2">
      <c r="A1418" s="5">
        <v>1357</v>
      </c>
      <c r="B1418" s="138">
        <f>'Expenditures 15-22'!D240</f>
        <v>10858</v>
      </c>
      <c r="D1418" s="2" t="str">
        <f t="shared" si="21"/>
        <v>Error?</v>
      </c>
    </row>
    <row r="1419" spans="1:4" x14ac:dyDescent="0.2">
      <c r="A1419" s="5">
        <v>1358</v>
      </c>
      <c r="B1419" s="138">
        <f>'Expenditures 15-22'!D241</f>
        <v>3612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14470</v>
      </c>
      <c r="C1421" s="2" t="s">
        <v>573</v>
      </c>
      <c r="D1421" s="2" t="str">
        <f t="shared" si="21"/>
        <v>Error?</v>
      </c>
    </row>
    <row r="1422" spans="1:4" x14ac:dyDescent="0.2">
      <c r="A1422" s="5">
        <v>1361</v>
      </c>
      <c r="B1422" s="138">
        <f>'Expenditures 15-22'!D245</f>
        <v>471</v>
      </c>
      <c r="D1422" s="2" t="str">
        <f t="shared" si="21"/>
        <v>Error?</v>
      </c>
    </row>
    <row r="1423" spans="1:4" x14ac:dyDescent="0.2">
      <c r="A1423" s="5">
        <v>1362</v>
      </c>
      <c r="B1423" s="138">
        <f>'Expenditures 15-22'!D246</f>
        <v>1486</v>
      </c>
      <c r="D1423" s="2" t="str">
        <f t="shared" si="21"/>
        <v>Error?</v>
      </c>
    </row>
    <row r="1424" spans="1:4" x14ac:dyDescent="0.2">
      <c r="A1424" s="5">
        <v>1363</v>
      </c>
      <c r="B1424" s="138">
        <f>'Expenditures 15-22'!D257</f>
        <v>2042</v>
      </c>
      <c r="C1424" s="2" t="s">
        <v>573</v>
      </c>
      <c r="D1424" s="2" t="str">
        <f t="shared" si="21"/>
        <v>Error?</v>
      </c>
    </row>
    <row r="1425" spans="1:4" x14ac:dyDescent="0.2">
      <c r="A1425" s="5">
        <v>1364</v>
      </c>
      <c r="B1425" s="138">
        <f>'Expenditures 15-22'!D259</f>
        <v>39287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39287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16098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42767</v>
      </c>
      <c r="D1431" s="2" t="str">
        <f t="shared" si="21"/>
        <v>Error?</v>
      </c>
    </row>
    <row r="1432" spans="1:4" x14ac:dyDescent="0.2">
      <c r="A1432" s="5">
        <v>1371</v>
      </c>
      <c r="B1432" s="138">
        <f>'Expenditures 15-22'!D267</f>
        <v>67019</v>
      </c>
      <c r="D1432" s="2" t="str">
        <f t="shared" si="21"/>
        <v>Error?</v>
      </c>
    </row>
    <row r="1433" spans="1:4" x14ac:dyDescent="0.2">
      <c r="A1433" s="5">
        <v>1372</v>
      </c>
      <c r="B1433" s="138">
        <f>'Expenditures 15-22'!D268</f>
        <v>20178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146062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219173</v>
      </c>
      <c r="C1446" s="2" t="s">
        <v>573</v>
      </c>
      <c r="D1446" s="2" t="str">
        <f t="shared" si="21"/>
        <v>Error?</v>
      </c>
    </row>
    <row r="1447" spans="1:4" x14ac:dyDescent="0.2">
      <c r="A1447" s="5">
        <v>1386</v>
      </c>
      <c r="B1447" s="138">
        <f>'Expenditures 15-22'!D280</f>
        <v>320</v>
      </c>
      <c r="D1447" s="2" t="str">
        <f t="shared" si="21"/>
        <v>Error?</v>
      </c>
    </row>
    <row r="1448" spans="1:4" x14ac:dyDescent="0.2">
      <c r="A1448" s="5">
        <v>1387</v>
      </c>
      <c r="B1448" s="138">
        <f>'Expenditures 15-22'!D295</f>
        <v>314448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2679</v>
      </c>
      <c r="C1471" s="2" t="s">
        <v>573</v>
      </c>
      <c r="D1471" s="2" t="str">
        <f t="shared" ref="D1471:D1534" si="22">IF(ISBLANK(B1471),"OK",IF(A1471-B1471=0,"OK","Error?"))</f>
        <v>Error?</v>
      </c>
    </row>
    <row r="1472" spans="1:4" x14ac:dyDescent="0.2">
      <c r="A1472" s="5">
        <v>1411</v>
      </c>
      <c r="B1472" s="138">
        <f>'Expenditures 15-22'!K223</f>
        <v>1405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94955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5467</v>
      </c>
      <c r="C1476" s="2" t="s">
        <v>573</v>
      </c>
      <c r="D1476" s="2" t="str">
        <f t="shared" si="22"/>
        <v>Error?</v>
      </c>
    </row>
    <row r="1477" spans="1:4" x14ac:dyDescent="0.2">
      <c r="A1477" s="5">
        <v>1416</v>
      </c>
      <c r="B1477" s="138">
        <f>'Expenditures 15-22'!K234</f>
        <v>7946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536</v>
      </c>
      <c r="C1479" s="2" t="s">
        <v>573</v>
      </c>
      <c r="D1479" s="2" t="str">
        <f t="shared" si="22"/>
        <v>Error?</v>
      </c>
    </row>
    <row r="1480" spans="1:4" x14ac:dyDescent="0.2">
      <c r="A1480" s="5">
        <v>1419</v>
      </c>
      <c r="B1480" s="138">
        <f>'Expenditures 15-22'!K237</f>
        <v>3363</v>
      </c>
      <c r="C1480" s="2" t="s">
        <v>573</v>
      </c>
      <c r="D1480" s="2" t="str">
        <f t="shared" si="22"/>
        <v>Error?</v>
      </c>
    </row>
    <row r="1481" spans="1:4" x14ac:dyDescent="0.2">
      <c r="A1481" s="5">
        <v>1420</v>
      </c>
      <c r="B1481" s="138">
        <f>'Expenditures 15-22'!K238</f>
        <v>17312</v>
      </c>
      <c r="C1481" s="2" t="s">
        <v>573</v>
      </c>
      <c r="D1481" s="2" t="str">
        <f t="shared" si="22"/>
        <v>Error?</v>
      </c>
    </row>
    <row r="1482" spans="1:4" x14ac:dyDescent="0.2">
      <c r="A1482" s="5">
        <v>1421</v>
      </c>
      <c r="B1482" s="138">
        <f>'Expenditures 15-22'!K240</f>
        <v>10858</v>
      </c>
      <c r="C1482" s="2" t="s">
        <v>573</v>
      </c>
      <c r="D1482" s="2" t="str">
        <f t="shared" si="22"/>
        <v>Error?</v>
      </c>
    </row>
    <row r="1483" spans="1:4" x14ac:dyDescent="0.2">
      <c r="A1483" s="5">
        <v>1422</v>
      </c>
      <c r="B1483" s="138">
        <f>'Expenditures 15-22'!K241</f>
        <v>3612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14470</v>
      </c>
      <c r="C1485" s="2" t="s">
        <v>573</v>
      </c>
      <c r="D1485" s="2" t="str">
        <f t="shared" si="22"/>
        <v>Error?</v>
      </c>
    </row>
    <row r="1486" spans="1:4" x14ac:dyDescent="0.2">
      <c r="A1486" s="5">
        <v>1425</v>
      </c>
      <c r="B1486" s="138">
        <f>'Expenditures 15-22'!K245</f>
        <v>471</v>
      </c>
      <c r="C1486" s="2" t="s">
        <v>573</v>
      </c>
      <c r="D1486" s="2" t="str">
        <f t="shared" si="22"/>
        <v>Error?</v>
      </c>
    </row>
    <row r="1487" spans="1:4" x14ac:dyDescent="0.2">
      <c r="A1487" s="5">
        <v>1426</v>
      </c>
      <c r="B1487" s="138">
        <f>'Expenditures 15-22'!K246</f>
        <v>1486</v>
      </c>
      <c r="C1487" s="2" t="s">
        <v>573</v>
      </c>
      <c r="D1487" s="2" t="str">
        <f t="shared" si="22"/>
        <v>Error?</v>
      </c>
    </row>
    <row r="1488" spans="1:4" x14ac:dyDescent="0.2">
      <c r="A1488" s="5">
        <v>1427</v>
      </c>
      <c r="B1488" s="138">
        <f>'Expenditures 15-22'!K257</f>
        <v>2042</v>
      </c>
      <c r="C1488" s="2" t="s">
        <v>573</v>
      </c>
      <c r="D1488" s="2" t="str">
        <f t="shared" si="22"/>
        <v>Error?</v>
      </c>
    </row>
    <row r="1489" spans="1:4" x14ac:dyDescent="0.2">
      <c r="A1489" s="5">
        <v>1428</v>
      </c>
      <c r="B1489" s="138">
        <f>'Expenditures 15-22'!K259</f>
        <v>39287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39287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16098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42767</v>
      </c>
      <c r="C1495" s="2" t="s">
        <v>573</v>
      </c>
      <c r="D1495" s="2" t="str">
        <f t="shared" si="22"/>
        <v>Error?</v>
      </c>
    </row>
    <row r="1496" spans="1:4" x14ac:dyDescent="0.2">
      <c r="A1496" s="5">
        <v>1435</v>
      </c>
      <c r="B1496" s="138">
        <f>'Expenditures 15-22'!K267</f>
        <v>67019</v>
      </c>
      <c r="C1496" s="2" t="s">
        <v>573</v>
      </c>
      <c r="D1496" s="2" t="str">
        <f t="shared" si="22"/>
        <v>Error?</v>
      </c>
    </row>
    <row r="1497" spans="1:4" x14ac:dyDescent="0.2">
      <c r="A1497" s="5">
        <v>1436</v>
      </c>
      <c r="B1497" s="138">
        <f>'Expenditures 15-22'!K268</f>
        <v>20178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146062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219173</v>
      </c>
      <c r="C1510" s="2" t="s">
        <v>573</v>
      </c>
      <c r="D1510" s="2" t="str">
        <f t="shared" si="22"/>
        <v>Error?</v>
      </c>
    </row>
    <row r="1511" spans="1:4" x14ac:dyDescent="0.2">
      <c r="A1511" s="5">
        <v>1450</v>
      </c>
      <c r="B1511" s="138">
        <f>'Expenditures 15-22'!K280</f>
        <v>320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314448</v>
      </c>
      <c r="C1517" s="2" t="s">
        <v>573</v>
      </c>
      <c r="D1517" s="2" t="str">
        <f t="shared" si="22"/>
        <v>Error?</v>
      </c>
    </row>
    <row r="1518" spans="1:4" x14ac:dyDescent="0.2">
      <c r="A1518" s="5">
        <v>1457</v>
      </c>
      <c r="B1518" s="138">
        <f>'Expenditures 15-22'!K296</f>
        <v>-21383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120674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120674</v>
      </c>
      <c r="C1535" s="2" t="s">
        <v>573</v>
      </c>
      <c r="D1535" s="2" t="str">
        <f t="shared" ref="D1535:D1598" si="23">IF(ISBLANK(B1535),"OK",IF(A1535-B1535=0,"OK","Error?"))</f>
        <v>Error?</v>
      </c>
    </row>
    <row r="1536" spans="1:4" x14ac:dyDescent="0.2">
      <c r="A1536" s="5">
        <v>1475</v>
      </c>
      <c r="B1536" s="138">
        <f>'Expenditures 15-22'!E312</f>
        <v>120974</v>
      </c>
      <c r="C1536" s="2" t="s">
        <v>573</v>
      </c>
      <c r="D1536" s="2" t="str">
        <f t="shared" si="23"/>
        <v>Error?</v>
      </c>
    </row>
    <row r="1537" spans="1:4" x14ac:dyDescent="0.2">
      <c r="A1537" s="5">
        <v>1476</v>
      </c>
      <c r="B1537" s="138">
        <f>'Expenditures 15-22'!F301</f>
        <v>4971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4971</v>
      </c>
      <c r="C1541" s="2" t="s">
        <v>573</v>
      </c>
      <c r="D1541" s="2" t="str">
        <f t="shared" si="23"/>
        <v>Error?</v>
      </c>
    </row>
    <row r="1542" spans="1:4" x14ac:dyDescent="0.2">
      <c r="A1542" s="5">
        <v>1481</v>
      </c>
      <c r="B1542" s="138">
        <f>'Expenditures 15-22'!F312</f>
        <v>4971</v>
      </c>
      <c r="C1542" s="2" t="s">
        <v>573</v>
      </c>
      <c r="D1542" s="2" t="str">
        <f t="shared" si="23"/>
        <v>Error?</v>
      </c>
    </row>
    <row r="1543" spans="1:4" x14ac:dyDescent="0.2">
      <c r="A1543" s="5">
        <v>1482</v>
      </c>
      <c r="B1543" s="138">
        <f>'Expenditures 15-22'!G301</f>
        <v>359891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359891</v>
      </c>
      <c r="C1547" s="2" t="s">
        <v>573</v>
      </c>
      <c r="D1547" s="2" t="str">
        <f t="shared" si="23"/>
        <v>Error?</v>
      </c>
    </row>
    <row r="1548" spans="1:4" x14ac:dyDescent="0.2">
      <c r="A1548" s="5">
        <v>1487</v>
      </c>
      <c r="B1548" s="138">
        <f>'Expenditures 15-22'!G312</f>
        <v>359891</v>
      </c>
      <c r="C1548" s="2" t="s">
        <v>573</v>
      </c>
      <c r="D1548" s="2" t="str">
        <f t="shared" si="23"/>
        <v>Error?</v>
      </c>
    </row>
    <row r="1549" spans="1:4" x14ac:dyDescent="0.2">
      <c r="A1549" s="5">
        <v>1488</v>
      </c>
      <c r="B1549" s="138">
        <f>'Expenditures 15-22'!H301</f>
        <v>49500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49500</v>
      </c>
      <c r="C1553" s="2" t="s">
        <v>573</v>
      </c>
      <c r="D1553" s="2" t="str">
        <f t="shared" si="23"/>
        <v>Error?</v>
      </c>
    </row>
    <row r="1554" spans="1:4" x14ac:dyDescent="0.2">
      <c r="A1554" s="5">
        <v>1493</v>
      </c>
      <c r="B1554" s="138">
        <f>'Expenditures 15-22'!H312</f>
        <v>49500</v>
      </c>
      <c r="C1554" s="2" t="s">
        <v>573</v>
      </c>
      <c r="D1554" s="2" t="str">
        <f t="shared" si="23"/>
        <v>Error?</v>
      </c>
    </row>
    <row r="1555" spans="1:4" x14ac:dyDescent="0.2">
      <c r="A1555" s="5">
        <v>1494</v>
      </c>
      <c r="B1555" s="138">
        <f>'Expenditures 15-22'!K301</f>
        <v>535036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535036</v>
      </c>
      <c r="C1559" s="2" t="s">
        <v>573</v>
      </c>
      <c r="D1559" s="2" t="str">
        <f t="shared" si="23"/>
        <v>Error?</v>
      </c>
    </row>
    <row r="1560" spans="1:4" x14ac:dyDescent="0.2">
      <c r="A1560" s="5">
        <v>1499</v>
      </c>
      <c r="B1560" s="138">
        <f>'Expenditures 15-22'!K312</f>
        <v>535336</v>
      </c>
      <c r="C1560" s="2" t="s">
        <v>573</v>
      </c>
      <c r="D1560" s="2" t="str">
        <f t="shared" si="23"/>
        <v>Error?</v>
      </c>
    </row>
    <row r="1561" spans="1:4" x14ac:dyDescent="0.2">
      <c r="A1561" s="5">
        <v>1500</v>
      </c>
      <c r="B1561" s="138">
        <f>'Expenditures 15-22'!K313</f>
        <v>123902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966823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1042613</v>
      </c>
      <c r="C1630" s="2" t="s">
        <v>573</v>
      </c>
      <c r="D1630" s="2" t="str">
        <f t="shared" si="24"/>
        <v>Error?</v>
      </c>
    </row>
    <row r="1631" spans="1:4" x14ac:dyDescent="0.2">
      <c r="A1631" s="5">
        <v>1570</v>
      </c>
      <c r="B1631" s="138">
        <f>'Acct Summary 7-8'!D79</f>
        <v>220086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186693</v>
      </c>
      <c r="C1644" s="2" t="s">
        <v>573</v>
      </c>
      <c r="D1644" s="2" t="str">
        <f t="shared" si="24"/>
        <v>Error?</v>
      </c>
    </row>
    <row r="1645" spans="1:4" x14ac:dyDescent="0.2">
      <c r="A1645" s="5">
        <v>1584</v>
      </c>
      <c r="B1645" s="138">
        <f>'Acct Summary 7-8'!E79</f>
        <v>213861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179853</v>
      </c>
      <c r="C1658" s="2" t="s">
        <v>573</v>
      </c>
      <c r="D1658" s="2" t="str">
        <f t="shared" si="24"/>
        <v>Error?</v>
      </c>
    </row>
    <row r="1659" spans="1:4" x14ac:dyDescent="0.2">
      <c r="A1659" s="5">
        <v>1598</v>
      </c>
      <c r="B1659" s="138">
        <f>'Acct Summary 7-8'!F79</f>
        <v>585436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1018355</v>
      </c>
      <c r="C1672" s="2" t="s">
        <v>573</v>
      </c>
      <c r="D1672" s="2" t="str">
        <f t="shared" si="25"/>
        <v>Error?</v>
      </c>
    </row>
    <row r="1673" spans="1:4" x14ac:dyDescent="0.2">
      <c r="A1673" s="5">
        <v>1612</v>
      </c>
      <c r="B1673" s="138">
        <f>'Acct Summary 7-8'!G79</f>
        <v>785035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763652</v>
      </c>
      <c r="C1686" s="2" t="s">
        <v>573</v>
      </c>
      <c r="D1686" s="2" t="str">
        <f t="shared" si="25"/>
        <v>Error?</v>
      </c>
    </row>
    <row r="1687" spans="1:4" x14ac:dyDescent="0.2">
      <c r="A1687" s="5">
        <v>1626</v>
      </c>
      <c r="B1687" s="138">
        <f>'Acct Summary 7-8'!H79</f>
        <v>735890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3409943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1279636</v>
      </c>
      <c r="C1744" s="2" t="s">
        <v>573</v>
      </c>
      <c r="D1744" s="2" t="str">
        <f t="shared" si="26"/>
        <v>Error?</v>
      </c>
    </row>
    <row r="1745" spans="1:5" x14ac:dyDescent="0.2">
      <c r="A1745" s="5">
        <v>1684</v>
      </c>
      <c r="B1745" s="138">
        <f>'Tax Sched 23'!B5</f>
        <v>268298</v>
      </c>
      <c r="C1745" s="2" t="s">
        <v>573</v>
      </c>
      <c r="D1745" s="2" t="str">
        <f t="shared" si="26"/>
        <v>Error?</v>
      </c>
    </row>
    <row r="1746" spans="1:5" x14ac:dyDescent="0.2">
      <c r="A1746" s="5">
        <v>1685</v>
      </c>
      <c r="B1746" s="138">
        <f>'Tax Sched 23'!B6</f>
        <v>555649</v>
      </c>
      <c r="C1746" s="2" t="s">
        <v>573</v>
      </c>
      <c r="D1746" s="2" t="str">
        <f t="shared" si="26"/>
        <v>Error?</v>
      </c>
    </row>
    <row r="1747" spans="1:5" x14ac:dyDescent="0.2">
      <c r="A1747" s="5">
        <v>1686</v>
      </c>
      <c r="B1747" s="138">
        <f>'Tax Sched 23'!B7</f>
        <v>143094</v>
      </c>
      <c r="C1747" s="2" t="s">
        <v>573</v>
      </c>
      <c r="D1747" s="2" t="str">
        <f t="shared" si="26"/>
        <v>Error?</v>
      </c>
    </row>
    <row r="1748" spans="1:5" x14ac:dyDescent="0.2">
      <c r="A1748" s="5">
        <v>1687</v>
      </c>
      <c r="B1748" s="138">
        <f>'Tax Sched 23'!B8</f>
        <v>96724</v>
      </c>
      <c r="C1748" s="2" t="s">
        <v>573</v>
      </c>
      <c r="D1748" s="2" t="str">
        <f t="shared" si="26"/>
        <v>Error?</v>
      </c>
    </row>
    <row r="1749" spans="1:5" x14ac:dyDescent="0.2">
      <c r="A1749" s="5">
        <v>1688</v>
      </c>
      <c r="B1749" s="138">
        <f>'Tax Sched 23'!B10</f>
        <v>35775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483589</v>
      </c>
      <c r="C1752" s="2" t="s">
        <v>573</v>
      </c>
      <c r="D1752" s="2" t="str">
        <f t="shared" si="26"/>
        <v>Error?</v>
      </c>
    </row>
    <row r="1753" spans="1:5" x14ac:dyDescent="0.2">
      <c r="A1753" s="5">
        <v>1692</v>
      </c>
      <c r="B1753" s="138">
        <f>'Tax Sched 23'!B12</f>
        <v>35775</v>
      </c>
      <c r="C1753" s="2" t="s">
        <v>573</v>
      </c>
      <c r="D1753" s="2" t="str">
        <f t="shared" si="26"/>
        <v>Error?</v>
      </c>
    </row>
    <row r="1754" spans="1:5" x14ac:dyDescent="0.2">
      <c r="A1754" s="5">
        <v>1693</v>
      </c>
      <c r="B1754" s="138">
        <f>'Tax Sched 23'!B14</f>
        <v>28619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3060712</v>
      </c>
      <c r="C1759" s="2" t="s">
        <v>573</v>
      </c>
      <c r="D1759" s="2" t="str">
        <f t="shared" si="26"/>
        <v>Error?</v>
      </c>
    </row>
    <row r="1760" spans="1:5" x14ac:dyDescent="0.2">
      <c r="A1760" s="5">
        <v>1699</v>
      </c>
      <c r="B1760" s="138">
        <f>'Tax Sched 23'!D4</f>
        <v>1279636</v>
      </c>
      <c r="C1760" s="2" t="s">
        <v>573</v>
      </c>
      <c r="D1760" s="2" t="str">
        <f t="shared" si="26"/>
        <v>Error?</v>
      </c>
    </row>
    <row r="1761" spans="1:5" x14ac:dyDescent="0.2">
      <c r="A1761" s="5">
        <v>1700</v>
      </c>
      <c r="B1761" s="138">
        <f>'Tax Sched 23'!D5</f>
        <v>268298</v>
      </c>
      <c r="C1761" s="2" t="s">
        <v>573</v>
      </c>
      <c r="D1761" s="2" t="str">
        <f t="shared" si="26"/>
        <v>Error?</v>
      </c>
    </row>
    <row r="1762" spans="1:5" s="8" customFormat="1" x14ac:dyDescent="0.2">
      <c r="A1762" s="5">
        <v>1701</v>
      </c>
      <c r="B1762" s="138">
        <f>'Tax Sched 23'!D6</f>
        <v>555649</v>
      </c>
      <c r="C1762" s="2" t="s">
        <v>573</v>
      </c>
      <c r="D1762" s="2" t="str">
        <f t="shared" si="26"/>
        <v>Error?</v>
      </c>
      <c r="E1762" s="9"/>
    </row>
    <row r="1763" spans="1:5" x14ac:dyDescent="0.2">
      <c r="A1763" s="5">
        <v>1702</v>
      </c>
      <c r="B1763" s="138">
        <f>'Tax Sched 23'!D7</f>
        <v>143094</v>
      </c>
      <c r="C1763" s="2" t="s">
        <v>573</v>
      </c>
      <c r="D1763" s="2" t="str">
        <f t="shared" si="26"/>
        <v>Error?</v>
      </c>
    </row>
    <row r="1764" spans="1:5" x14ac:dyDescent="0.2">
      <c r="A1764" s="5">
        <v>1703</v>
      </c>
      <c r="B1764" s="138">
        <f>'Tax Sched 23'!D8</f>
        <v>96724</v>
      </c>
      <c r="C1764" s="2" t="s">
        <v>573</v>
      </c>
      <c r="D1764" s="2" t="str">
        <f t="shared" si="26"/>
        <v>Error?</v>
      </c>
    </row>
    <row r="1765" spans="1:5" x14ac:dyDescent="0.2">
      <c r="A1765" s="5">
        <v>1704</v>
      </c>
      <c r="B1765" s="138">
        <f>'Tax Sched 23'!D10</f>
        <v>35775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483589</v>
      </c>
      <c r="C1768" s="2" t="s">
        <v>573</v>
      </c>
      <c r="D1768" s="2" t="str">
        <f t="shared" si="26"/>
        <v>Error?</v>
      </c>
    </row>
    <row r="1769" spans="1:5" x14ac:dyDescent="0.2">
      <c r="A1769" s="5">
        <v>1708</v>
      </c>
      <c r="B1769" s="138">
        <f>'Tax Sched 23'!D12</f>
        <v>35775</v>
      </c>
      <c r="C1769" s="2" t="s">
        <v>573</v>
      </c>
      <c r="D1769" s="2" t="str">
        <f t="shared" si="26"/>
        <v>Error?</v>
      </c>
    </row>
    <row r="1770" spans="1:5" x14ac:dyDescent="0.2">
      <c r="A1770" s="5">
        <v>1709</v>
      </c>
      <c r="B1770" s="138">
        <f>'Tax Sched 23'!D14</f>
        <v>28619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3060712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1428690</v>
      </c>
      <c r="C1792" s="2" t="s">
        <v>573</v>
      </c>
      <c r="D1792" s="2" t="str">
        <f t="shared" si="27"/>
        <v>Error?</v>
      </c>
    </row>
    <row r="1793" spans="1:4" x14ac:dyDescent="0.2">
      <c r="A1793" s="5">
        <v>1732</v>
      </c>
      <c r="B1793" s="138">
        <f>'Tax Sched 23'!F5</f>
        <v>291173</v>
      </c>
      <c r="C1793" s="2" t="s">
        <v>573</v>
      </c>
      <c r="D1793" s="2" t="str">
        <f t="shared" si="27"/>
        <v>Error?</v>
      </c>
    </row>
    <row r="1794" spans="1:4" x14ac:dyDescent="0.2">
      <c r="A1794" s="5">
        <v>1733</v>
      </c>
      <c r="B1794" s="138">
        <f>'Tax Sched 23'!F6</f>
        <v>573037</v>
      </c>
      <c r="C1794" s="2" t="s">
        <v>573</v>
      </c>
      <c r="D1794" s="2" t="str">
        <f t="shared" si="27"/>
        <v>Error?</v>
      </c>
    </row>
    <row r="1795" spans="1:4" x14ac:dyDescent="0.2">
      <c r="A1795" s="5">
        <v>1734</v>
      </c>
      <c r="B1795" s="138">
        <f>'Tax Sched 23'!F7</f>
        <v>155292</v>
      </c>
      <c r="C1795" s="2" t="s">
        <v>573</v>
      </c>
      <c r="D1795" s="2" t="str">
        <f t="shared" si="27"/>
        <v>Error?</v>
      </c>
    </row>
    <row r="1796" spans="1:4" x14ac:dyDescent="0.2">
      <c r="A1796" s="5">
        <v>1735</v>
      </c>
      <c r="B1796" s="138">
        <f>'Tax Sched 23'!F8</f>
        <v>200001</v>
      </c>
      <c r="C1796" s="2" t="s">
        <v>573</v>
      </c>
      <c r="D1796" s="2" t="str">
        <f t="shared" si="27"/>
        <v>Error?</v>
      </c>
    </row>
    <row r="1797" spans="1:4" x14ac:dyDescent="0.2">
      <c r="A1797" s="5">
        <v>1736</v>
      </c>
      <c r="B1797" s="138">
        <f>'Tax Sched 23'!F10</f>
        <v>38823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500003</v>
      </c>
      <c r="C1800" s="2" t="s">
        <v>573</v>
      </c>
      <c r="D1800" s="2" t="str">
        <f t="shared" si="27"/>
        <v>Error?</v>
      </c>
    </row>
    <row r="1801" spans="1:4" x14ac:dyDescent="0.2">
      <c r="A1801" s="5">
        <v>1740</v>
      </c>
      <c r="B1801" s="138">
        <f>'Tax Sched 23'!F12</f>
        <v>38823</v>
      </c>
      <c r="C1801" s="2" t="s">
        <v>573</v>
      </c>
      <c r="D1801" s="2" t="str">
        <f t="shared" si="27"/>
        <v>Error?</v>
      </c>
    </row>
    <row r="1802" spans="1:4" x14ac:dyDescent="0.2">
      <c r="A1802" s="5">
        <v>1741</v>
      </c>
      <c r="B1802" s="138">
        <f>'Tax Sched 23'!F14</f>
        <v>31058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3721861.41</v>
      </c>
      <c r="C1807" s="2" t="s">
        <v>573</v>
      </c>
      <c r="D1807" s="2" t="str">
        <f t="shared" si="27"/>
        <v>Error?</v>
      </c>
    </row>
    <row r="1808" spans="1:4" x14ac:dyDescent="0.2">
      <c r="A1808" s="5">
        <v>1747</v>
      </c>
      <c r="B1808" s="138">
        <f>'Tax Sched 23'!E4</f>
        <v>1428690</v>
      </c>
      <c r="D1808" s="2" t="str">
        <f t="shared" si="27"/>
        <v>Error?</v>
      </c>
    </row>
    <row r="1809" spans="1:4" x14ac:dyDescent="0.2">
      <c r="A1809" s="5">
        <v>1748</v>
      </c>
      <c r="B1809" s="138">
        <f>'Tax Sched 23'!E5</f>
        <v>291173</v>
      </c>
      <c r="D1809" s="2" t="str">
        <f t="shared" si="27"/>
        <v>Error?</v>
      </c>
    </row>
    <row r="1810" spans="1:4" x14ac:dyDescent="0.2">
      <c r="A1810" s="5">
        <v>1749</v>
      </c>
      <c r="B1810" s="138">
        <f>'Tax Sched 23'!E6</f>
        <v>573037</v>
      </c>
      <c r="D1810" s="2" t="str">
        <f t="shared" si="27"/>
        <v>Error?</v>
      </c>
    </row>
    <row r="1811" spans="1:4" x14ac:dyDescent="0.2">
      <c r="A1811" s="5">
        <v>1750</v>
      </c>
      <c r="B1811" s="138">
        <f>'Tax Sched 23'!E7</f>
        <v>155292</v>
      </c>
      <c r="D1811" s="2" t="str">
        <f t="shared" si="27"/>
        <v>Error?</v>
      </c>
    </row>
    <row r="1812" spans="1:4" x14ac:dyDescent="0.2">
      <c r="A1812" s="5">
        <v>1751</v>
      </c>
      <c r="B1812" s="138">
        <f>'Tax Sched 23'!E8</f>
        <v>200001</v>
      </c>
      <c r="D1812" s="2" t="str">
        <f t="shared" si="27"/>
        <v>Error?</v>
      </c>
    </row>
    <row r="1813" spans="1:4" x14ac:dyDescent="0.2">
      <c r="A1813" s="5">
        <v>1752</v>
      </c>
      <c r="B1813" s="138">
        <f>'Tax Sched 23'!E10</f>
        <v>38823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500003</v>
      </c>
      <c r="D1816" s="2" t="str">
        <f t="shared" si="27"/>
        <v>Error?</v>
      </c>
    </row>
    <row r="1817" spans="1:4" x14ac:dyDescent="0.2">
      <c r="A1817" s="5">
        <v>1756</v>
      </c>
      <c r="B1817" s="138">
        <f>'Tax Sched 23'!E12</f>
        <v>38823</v>
      </c>
      <c r="D1817" s="2" t="str">
        <f t="shared" si="27"/>
        <v>Error?</v>
      </c>
    </row>
    <row r="1818" spans="1:4" x14ac:dyDescent="0.2">
      <c r="A1818" s="5">
        <v>1757</v>
      </c>
      <c r="B1818" s="138">
        <f>'Tax Sched 23'!E14</f>
        <v>31058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3721861.41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2890000</v>
      </c>
      <c r="C1939" s="2" t="s">
        <v>573</v>
      </c>
      <c r="D1939" s="2" t="str">
        <f t="shared" si="29"/>
        <v>Error?</v>
      </c>
    </row>
    <row r="1940" spans="1:5" x14ac:dyDescent="0.2">
      <c r="A1940" s="5">
        <v>1879</v>
      </c>
      <c r="B1940" s="138">
        <f>'Short-Term Long-Term Debt 24'!F49</f>
        <v>2500000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28619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28619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28619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43000</v>
      </c>
      <c r="D2008" s="2" t="str">
        <f t="shared" si="30"/>
        <v>Error?</v>
      </c>
    </row>
    <row r="2009" spans="1:4" x14ac:dyDescent="0.2">
      <c r="A2009" s="5">
        <v>1948</v>
      </c>
      <c r="B2009" s="138">
        <f>'Cap Outlay Deprec 26'!C8</f>
        <v>8391499</v>
      </c>
      <c r="D2009" s="2" t="str">
        <f t="shared" si="30"/>
        <v>Error?</v>
      </c>
    </row>
    <row r="2010" spans="1:4" x14ac:dyDescent="0.2">
      <c r="A2010" s="5">
        <v>1949</v>
      </c>
      <c r="B2010" s="138">
        <f>'Cap Outlay Deprec 26'!C10</f>
        <v>627983</v>
      </c>
      <c r="D2010" s="2" t="str">
        <f t="shared" si="30"/>
        <v>Error?</v>
      </c>
    </row>
    <row r="2011" spans="1:4" x14ac:dyDescent="0.2">
      <c r="A2011" s="5">
        <v>1950</v>
      </c>
      <c r="B2011" s="138">
        <f>'Cap Outlay Deprec 26'!C12</f>
        <v>948005</v>
      </c>
      <c r="D2011" s="2" t="str">
        <f t="shared" si="30"/>
        <v>Error?</v>
      </c>
    </row>
    <row r="2012" spans="1:4" x14ac:dyDescent="0.2">
      <c r="A2012" s="5">
        <v>1951</v>
      </c>
      <c r="B2012" s="138">
        <f>'Cap Outlay Deprec 26'!C13</f>
        <v>1394549</v>
      </c>
      <c r="D2012" s="2" t="str">
        <f t="shared" si="30"/>
        <v>Error?</v>
      </c>
    </row>
    <row r="2013" spans="1:4" x14ac:dyDescent="0.2">
      <c r="A2013" s="5">
        <v>1952</v>
      </c>
      <c r="B2013" s="138">
        <f>'Cap Outlay Deprec 26'!C16</f>
        <v>11405036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336686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96318</v>
      </c>
      <c r="D2017" s="2" t="str">
        <f t="shared" si="30"/>
        <v>Error?</v>
      </c>
    </row>
    <row r="2018" spans="1:4" x14ac:dyDescent="0.2">
      <c r="A2018" s="5">
        <v>1957</v>
      </c>
      <c r="B2018" s="138">
        <f>'Cap Outlay Deprec 26'!D13</f>
        <v>170826</v>
      </c>
      <c r="D2018" s="2" t="str">
        <f t="shared" si="30"/>
        <v>Error?</v>
      </c>
    </row>
    <row r="2019" spans="1:4" x14ac:dyDescent="0.2">
      <c r="A2019" s="5">
        <v>1958</v>
      </c>
      <c r="B2019" s="138">
        <f>'Cap Outlay Deprec 26'!D16</f>
        <v>627035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205463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205463</v>
      </c>
      <c r="C2025" s="2" t="s">
        <v>573</v>
      </c>
      <c r="D2025" s="2" t="str">
        <f t="shared" si="30"/>
        <v>Error?</v>
      </c>
    </row>
    <row r="2026" spans="1:4" x14ac:dyDescent="0.2">
      <c r="A2026" s="5">
        <v>1965</v>
      </c>
      <c r="B2026" s="138">
        <f>'Cap Outlay Deprec 26'!F5</f>
        <v>43000</v>
      </c>
      <c r="C2026" s="2" t="s">
        <v>573</v>
      </c>
      <c r="D2026" s="2" t="str">
        <f t="shared" si="30"/>
        <v>Error?</v>
      </c>
    </row>
    <row r="2027" spans="1:4" x14ac:dyDescent="0.2">
      <c r="A2027" s="5">
        <v>1966</v>
      </c>
      <c r="B2027" s="138">
        <f>'Cap Outlay Deprec 26'!F8</f>
        <v>8728185</v>
      </c>
      <c r="C2027" s="2" t="s">
        <v>573</v>
      </c>
      <c r="D2027" s="2" t="str">
        <f t="shared" si="30"/>
        <v>Error?</v>
      </c>
    </row>
    <row r="2028" spans="1:4" x14ac:dyDescent="0.2">
      <c r="A2028" s="5">
        <v>1967</v>
      </c>
      <c r="B2028" s="138">
        <f>'Cap Outlay Deprec 26'!F10</f>
        <v>627983</v>
      </c>
      <c r="C2028" s="2" t="s">
        <v>573</v>
      </c>
      <c r="D2028" s="2" t="str">
        <f t="shared" si="30"/>
        <v>Error?</v>
      </c>
    </row>
    <row r="2029" spans="1:4" x14ac:dyDescent="0.2">
      <c r="A2029" s="5">
        <v>1968</v>
      </c>
      <c r="B2029" s="138">
        <f>'Cap Outlay Deprec 26'!F12</f>
        <v>838860</v>
      </c>
      <c r="C2029" s="2" t="s">
        <v>573</v>
      </c>
      <c r="D2029" s="2" t="str">
        <f t="shared" si="30"/>
        <v>Error?</v>
      </c>
    </row>
    <row r="2030" spans="1:4" x14ac:dyDescent="0.2">
      <c r="A2030" s="5">
        <v>1969</v>
      </c>
      <c r="B2030" s="138">
        <f>'Cap Outlay Deprec 26'!F13</f>
        <v>1565375</v>
      </c>
      <c r="C2030" s="2" t="s">
        <v>573</v>
      </c>
      <c r="D2030" s="2" t="str">
        <f t="shared" si="30"/>
        <v>Error?</v>
      </c>
    </row>
    <row r="2031" spans="1:4" x14ac:dyDescent="0.2">
      <c r="A2031" s="5">
        <v>1970</v>
      </c>
      <c r="B2031" s="138">
        <f>'Cap Outlay Deprec 26'!F16</f>
        <v>11826608</v>
      </c>
      <c r="C2031" s="2" t="s">
        <v>573</v>
      </c>
      <c r="D2031" s="2" t="str">
        <f t="shared" si="30"/>
        <v>Error?</v>
      </c>
    </row>
    <row r="2032" spans="1:4" x14ac:dyDescent="0.2">
      <c r="A2032" s="10">
        <v>1971</v>
      </c>
      <c r="D2032" s="2" t="str">
        <f t="shared" si="30"/>
        <v>OK</v>
      </c>
    </row>
    <row r="2033" spans="1:4" x14ac:dyDescent="0.2">
      <c r="A2033" s="5">
        <v>1972</v>
      </c>
      <c r="B2033" s="138">
        <f>'Cap Outlay Deprec 26'!H8</f>
        <v>4348281</v>
      </c>
      <c r="D2033" s="2" t="str">
        <f t="shared" si="30"/>
        <v>Error?</v>
      </c>
    </row>
    <row r="2034" spans="1:4" x14ac:dyDescent="0.2">
      <c r="A2034" s="5">
        <v>1973</v>
      </c>
      <c r="B2034" s="138">
        <f>'Cap Outlay Deprec 26'!H10</f>
        <v>311503</v>
      </c>
      <c r="D2034" s="2" t="str">
        <f t="shared" si="30"/>
        <v>Error?</v>
      </c>
    </row>
    <row r="2035" spans="1:4" x14ac:dyDescent="0.2">
      <c r="A2035" s="5">
        <v>1974</v>
      </c>
      <c r="B2035" s="138">
        <f>'Cap Outlay Deprec 26'!H12</f>
        <v>590916</v>
      </c>
      <c r="D2035" s="2" t="str">
        <f t="shared" si="30"/>
        <v>Error?</v>
      </c>
    </row>
    <row r="2036" spans="1:4" x14ac:dyDescent="0.2">
      <c r="A2036" s="5">
        <v>1975</v>
      </c>
      <c r="B2036" s="138">
        <f>'Cap Outlay Deprec 26'!H13</f>
        <v>1304140</v>
      </c>
      <c r="D2036" s="2" t="str">
        <f t="shared" si="30"/>
        <v>Error?</v>
      </c>
    </row>
    <row r="2037" spans="1:4" x14ac:dyDescent="0.2">
      <c r="A2037" s="5">
        <v>1976</v>
      </c>
      <c r="B2037" s="138">
        <f>'Cap Outlay Deprec 26'!H16</f>
        <v>6554840</v>
      </c>
      <c r="C2037" s="2" t="s">
        <v>573</v>
      </c>
      <c r="D2037" s="2" t="str">
        <f t="shared" si="30"/>
        <v>Error?</v>
      </c>
    </row>
    <row r="2038" spans="1:4" x14ac:dyDescent="0.2">
      <c r="A2038" s="10">
        <v>1977</v>
      </c>
      <c r="D2038" s="2" t="str">
        <f t="shared" si="30"/>
        <v>OK</v>
      </c>
    </row>
    <row r="2039" spans="1:4" x14ac:dyDescent="0.2">
      <c r="A2039" s="5">
        <v>1978</v>
      </c>
      <c r="B2039" s="138">
        <f>'Cap Outlay Deprec 26'!I8</f>
        <v>145772</v>
      </c>
      <c r="D2039" s="2" t="str">
        <f t="shared" si="30"/>
        <v>Error?</v>
      </c>
    </row>
    <row r="2040" spans="1:4" x14ac:dyDescent="0.2">
      <c r="A2040" s="5">
        <v>1979</v>
      </c>
      <c r="B2040" s="138">
        <f>'Cap Outlay Deprec 26'!I10</f>
        <v>29027</v>
      </c>
      <c r="D2040" s="2" t="str">
        <f t="shared" si="30"/>
        <v>Error?</v>
      </c>
    </row>
    <row r="2041" spans="1:4" x14ac:dyDescent="0.2">
      <c r="A2041" s="5">
        <v>1980</v>
      </c>
      <c r="B2041" s="138">
        <f>'Cap Outlay Deprec 26'!I12</f>
        <v>100937</v>
      </c>
      <c r="D2041" s="2" t="str">
        <f t="shared" si="30"/>
        <v>Error?</v>
      </c>
    </row>
    <row r="2042" spans="1:4" x14ac:dyDescent="0.2">
      <c r="A2042" s="5">
        <v>1981</v>
      </c>
      <c r="B2042" s="138">
        <f>'Cap Outlay Deprec 26'!I13</f>
        <v>71963</v>
      </c>
      <c r="D2042" s="2" t="str">
        <f t="shared" si="30"/>
        <v>Error?</v>
      </c>
    </row>
    <row r="2043" spans="1:4" x14ac:dyDescent="0.2">
      <c r="A2043" s="5">
        <v>1982</v>
      </c>
      <c r="B2043" s="138">
        <f>'Cap Outlay Deprec 26'!I16</f>
        <v>347699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205463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205463</v>
      </c>
      <c r="C2049" s="2" t="s">
        <v>573</v>
      </c>
      <c r="D2049" s="2" t="str">
        <f t="shared" si="31"/>
        <v>Error?</v>
      </c>
    </row>
    <row r="2050" spans="1:4" x14ac:dyDescent="0.2">
      <c r="A2050" s="10">
        <v>1989</v>
      </c>
      <c r="D2050" s="2" t="str">
        <f t="shared" si="31"/>
        <v>OK</v>
      </c>
    </row>
    <row r="2051" spans="1:4" x14ac:dyDescent="0.2">
      <c r="A2051" s="5">
        <v>1990</v>
      </c>
      <c r="B2051" s="138">
        <f>'Cap Outlay Deprec 26'!K8</f>
        <v>4494053</v>
      </c>
      <c r="C2051" s="2" t="s">
        <v>573</v>
      </c>
      <c r="D2051" s="2" t="str">
        <f t="shared" si="31"/>
        <v>Error?</v>
      </c>
    </row>
    <row r="2052" spans="1:4" x14ac:dyDescent="0.2">
      <c r="A2052" s="5">
        <v>1991</v>
      </c>
      <c r="B2052" s="138">
        <f>'Cap Outlay Deprec 26'!K10</f>
        <v>340530</v>
      </c>
      <c r="C2052" s="2" t="s">
        <v>573</v>
      </c>
      <c r="D2052" s="2" t="str">
        <f t="shared" si="31"/>
        <v>Error?</v>
      </c>
    </row>
    <row r="2053" spans="1:4" x14ac:dyDescent="0.2">
      <c r="A2053" s="5">
        <v>1992</v>
      </c>
      <c r="B2053" s="138">
        <f>'Cap Outlay Deprec 26'!K12</f>
        <v>486390</v>
      </c>
      <c r="C2053" s="2" t="s">
        <v>573</v>
      </c>
      <c r="D2053" s="2" t="str">
        <f t="shared" si="31"/>
        <v>Error?</v>
      </c>
    </row>
    <row r="2054" spans="1:4" x14ac:dyDescent="0.2">
      <c r="A2054" s="5">
        <v>1993</v>
      </c>
      <c r="B2054" s="138">
        <f>'Cap Outlay Deprec 26'!K13</f>
        <v>1376103</v>
      </c>
      <c r="C2054" s="2" t="s">
        <v>573</v>
      </c>
      <c r="D2054" s="2" t="str">
        <f t="shared" si="31"/>
        <v>Error?</v>
      </c>
    </row>
    <row r="2055" spans="1:4" x14ac:dyDescent="0.2">
      <c r="A2055" s="5">
        <v>1994</v>
      </c>
      <c r="B2055" s="138">
        <f>'Cap Outlay Deprec 26'!K16</f>
        <v>6697076</v>
      </c>
      <c r="C2055" s="2" t="s">
        <v>573</v>
      </c>
      <c r="D2055" s="2" t="str">
        <f t="shared" si="31"/>
        <v>Error?</v>
      </c>
    </row>
    <row r="2056" spans="1:4" x14ac:dyDescent="0.2">
      <c r="A2056" s="5">
        <v>1995</v>
      </c>
      <c r="B2056" s="138">
        <f>'Cap Outlay Deprec 26'!L5</f>
        <v>43000</v>
      </c>
      <c r="C2056" s="2" t="s">
        <v>573</v>
      </c>
      <c r="D2056" s="2" t="str">
        <f t="shared" si="31"/>
        <v>Error?</v>
      </c>
    </row>
    <row r="2057" spans="1:4" x14ac:dyDescent="0.2">
      <c r="A2057" s="5">
        <v>1996</v>
      </c>
      <c r="B2057" s="138">
        <f>'Cap Outlay Deprec 26'!L8</f>
        <v>4234132</v>
      </c>
      <c r="C2057" s="2" t="s">
        <v>573</v>
      </c>
      <c r="D2057" s="2" t="str">
        <f t="shared" si="31"/>
        <v>Error?</v>
      </c>
    </row>
    <row r="2058" spans="1:4" x14ac:dyDescent="0.2">
      <c r="A2058" s="5">
        <v>1997</v>
      </c>
      <c r="B2058" s="138">
        <f>'Cap Outlay Deprec 26'!L10</f>
        <v>287453</v>
      </c>
      <c r="C2058" s="2" t="s">
        <v>573</v>
      </c>
      <c r="D2058" s="2" t="str">
        <f t="shared" si="31"/>
        <v>Error?</v>
      </c>
    </row>
    <row r="2059" spans="1:4" x14ac:dyDescent="0.2">
      <c r="A2059" s="5">
        <v>1998</v>
      </c>
      <c r="B2059" s="138">
        <f>'Cap Outlay Deprec 26'!L12</f>
        <v>352470</v>
      </c>
      <c r="C2059" s="2" t="s">
        <v>573</v>
      </c>
      <c r="D2059" s="2" t="str">
        <f t="shared" si="31"/>
        <v>Error?</v>
      </c>
    </row>
    <row r="2060" spans="1:4" x14ac:dyDescent="0.2">
      <c r="A2060" s="5">
        <v>1999</v>
      </c>
      <c r="B2060" s="138">
        <f>'Cap Outlay Deprec 26'!L13</f>
        <v>189272</v>
      </c>
      <c r="C2060" s="2" t="s">
        <v>573</v>
      </c>
      <c r="D2060" s="2" t="str">
        <f t="shared" si="31"/>
        <v>Error?</v>
      </c>
    </row>
    <row r="2061" spans="1:4" x14ac:dyDescent="0.2">
      <c r="A2061" s="5">
        <v>2000</v>
      </c>
      <c r="B2061" s="138">
        <f>'Cap Outlay Deprec 26'!L16</f>
        <v>5129532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358079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359429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300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9938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825606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2333701</v>
      </c>
      <c r="C2551" s="2" t="s">
        <v>573</v>
      </c>
      <c r="D2551" s="2" t="str">
        <f t="shared" si="38"/>
        <v>Error?</v>
      </c>
    </row>
    <row r="2552" spans="1:4" x14ac:dyDescent="0.2">
      <c r="A2552" s="10">
        <v>2491</v>
      </c>
      <c r="D2552" s="2" t="str">
        <f t="shared" si="38"/>
        <v>OK</v>
      </c>
    </row>
    <row r="2553" spans="1:4" x14ac:dyDescent="0.2">
      <c r="A2553" s="5">
        <v>2492</v>
      </c>
      <c r="B2553" s="138">
        <f>'Acct Summary 7-8'!C6</f>
        <v>3580709</v>
      </c>
      <c r="C2553" s="2" t="s">
        <v>573</v>
      </c>
      <c r="D2553" s="2" t="str">
        <f t="shared" si="38"/>
        <v>Error?</v>
      </c>
    </row>
    <row r="2554" spans="1:4" x14ac:dyDescent="0.2">
      <c r="A2554" s="5">
        <v>2493</v>
      </c>
      <c r="B2554" s="138">
        <f>'Acct Summary 7-8'!C7</f>
        <v>749428</v>
      </c>
      <c r="C2554" s="2" t="s">
        <v>573</v>
      </c>
      <c r="D2554" s="2" t="str">
        <f t="shared" si="38"/>
        <v>Error?</v>
      </c>
    </row>
    <row r="2555" spans="1:4" x14ac:dyDescent="0.2">
      <c r="A2555" s="5">
        <v>2494</v>
      </c>
      <c r="B2555" s="138">
        <f>'Acct Summary 7-8'!C8</f>
        <v>6663838</v>
      </c>
      <c r="C2555" s="2" t="s">
        <v>573</v>
      </c>
      <c r="D2555" s="2" t="str">
        <f t="shared" si="38"/>
        <v>Error?</v>
      </c>
    </row>
    <row r="2556" spans="1:4" x14ac:dyDescent="0.2">
      <c r="A2556" s="5">
        <v>2495</v>
      </c>
      <c r="B2556" s="138">
        <f>'Acct Summary 7-8'!C12</f>
        <v>4351895</v>
      </c>
      <c r="C2556" s="2" t="s">
        <v>573</v>
      </c>
      <c r="D2556" s="2" t="str">
        <f t="shared" si="38"/>
        <v>Error?</v>
      </c>
    </row>
    <row r="2557" spans="1:4" x14ac:dyDescent="0.2">
      <c r="A2557" s="5">
        <v>2496</v>
      </c>
      <c r="B2557" s="138">
        <f>'Acct Summary 7-8'!C13</f>
        <v>1872545</v>
      </c>
      <c r="C2557" s="2" t="s">
        <v>573</v>
      </c>
      <c r="D2557" s="2" t="str">
        <f t="shared" si="38"/>
        <v>Error?</v>
      </c>
    </row>
    <row r="2558" spans="1:4" x14ac:dyDescent="0.2">
      <c r="A2558" s="5">
        <v>2497</v>
      </c>
      <c r="B2558" s="138">
        <f>'Acct Summary 7-8'!C14</f>
        <v>4179</v>
      </c>
      <c r="C2558" s="2" t="s">
        <v>573</v>
      </c>
      <c r="D2558" s="2" t="str">
        <f t="shared" si="38"/>
        <v>Error?</v>
      </c>
    </row>
    <row r="2559" spans="1:4" x14ac:dyDescent="0.2">
      <c r="A2559" s="5">
        <v>2498</v>
      </c>
      <c r="B2559" s="138">
        <f>'Acct Summary 7-8'!C15</f>
        <v>359429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6588048</v>
      </c>
      <c r="C2561" s="2" t="s">
        <v>573</v>
      </c>
      <c r="D2561" s="2" t="str">
        <f t="shared" si="39"/>
        <v>Error?</v>
      </c>
    </row>
    <row r="2562" spans="1:4" x14ac:dyDescent="0.2">
      <c r="A2562" s="5">
        <v>2501</v>
      </c>
      <c r="B2562" s="138">
        <f>'Acct Summary 7-8'!C20</f>
        <v>75790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343813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343813</v>
      </c>
      <c r="C2568" s="2" t="s">
        <v>573</v>
      </c>
      <c r="D2568" s="2" t="str">
        <f t="shared" si="39"/>
        <v>Error?</v>
      </c>
    </row>
    <row r="2569" spans="1:4" x14ac:dyDescent="0.2">
      <c r="A2569" s="5">
        <v>2508</v>
      </c>
      <c r="B2569" s="138">
        <f>'Acct Summary 7-8'!D13</f>
        <v>377206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377206</v>
      </c>
      <c r="C2573" s="2" t="s">
        <v>573</v>
      </c>
      <c r="D2573" s="2" t="str">
        <f t="shared" si="39"/>
        <v>Error?</v>
      </c>
    </row>
    <row r="2574" spans="1:4" x14ac:dyDescent="0.2">
      <c r="A2574" s="5">
        <v>2513</v>
      </c>
      <c r="B2574" s="138">
        <f>'Acct Summary 7-8'!D20</f>
        <v>-33393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769153</v>
      </c>
      <c r="C2591" s="2" t="s">
        <v>573</v>
      </c>
      <c r="D2591" s="2" t="str">
        <f t="shared" si="39"/>
        <v>Error?</v>
      </c>
    </row>
    <row r="2592" spans="1:4" x14ac:dyDescent="0.2">
      <c r="A2592" s="10">
        <v>2531</v>
      </c>
      <c r="D2592" s="2" t="str">
        <f t="shared" si="39"/>
        <v>OK</v>
      </c>
    </row>
    <row r="2593" spans="1:4" x14ac:dyDescent="0.2">
      <c r="A2593" s="5">
        <v>2532</v>
      </c>
      <c r="B2593" s="138">
        <f>'Acct Summary 7-8'!F6</f>
        <v>555049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1324202</v>
      </c>
      <c r="C2595" s="2" t="s">
        <v>573</v>
      </c>
      <c r="D2595" s="2" t="str">
        <f t="shared" si="39"/>
        <v>Error?</v>
      </c>
    </row>
    <row r="2596" spans="1:4" x14ac:dyDescent="0.2">
      <c r="A2596" s="5">
        <v>2535</v>
      </c>
      <c r="B2596" s="138">
        <f>'Acct Summary 7-8'!F13</f>
        <v>891283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891283</v>
      </c>
      <c r="C2600" s="2" t="s">
        <v>573</v>
      </c>
      <c r="D2600" s="2" t="str">
        <f t="shared" si="39"/>
        <v>Error?</v>
      </c>
    </row>
    <row r="2601" spans="1:4" x14ac:dyDescent="0.2">
      <c r="A2601" s="5">
        <v>2540</v>
      </c>
      <c r="B2601" s="138">
        <f>'Acct Summary 7-8'!F20</f>
        <v>432919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293065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293065</v>
      </c>
      <c r="C2606" s="2" t="s">
        <v>573</v>
      </c>
      <c r="D2606" s="2" t="str">
        <f t="shared" si="39"/>
        <v>Error?</v>
      </c>
    </row>
    <row r="2607" spans="1:4" x14ac:dyDescent="0.2">
      <c r="A2607" s="5">
        <v>2546</v>
      </c>
      <c r="B2607" s="138">
        <f>'Acct Summary 7-8'!G12</f>
        <v>94955</v>
      </c>
      <c r="C2607" s="2" t="s">
        <v>573</v>
      </c>
      <c r="D2607" s="2" t="str">
        <f t="shared" si="39"/>
        <v>Error?</v>
      </c>
    </row>
    <row r="2608" spans="1:4" x14ac:dyDescent="0.2">
      <c r="A2608" s="5">
        <v>2547</v>
      </c>
      <c r="B2608" s="138">
        <f>'Acct Summary 7-8'!G13</f>
        <v>219173</v>
      </c>
      <c r="C2608" s="2" t="s">
        <v>573</v>
      </c>
      <c r="D2608" s="2" t="str">
        <f t="shared" si="39"/>
        <v>Error?</v>
      </c>
    </row>
    <row r="2609" spans="1:4" x14ac:dyDescent="0.2">
      <c r="A2609" s="5">
        <v>2548</v>
      </c>
      <c r="B2609" s="138">
        <f>'Acct Summary 7-8'!G14</f>
        <v>320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314448</v>
      </c>
      <c r="C2612" s="2" t="s">
        <v>573</v>
      </c>
      <c r="D2612" s="2" t="str">
        <f t="shared" si="39"/>
        <v>Error?</v>
      </c>
    </row>
    <row r="2613" spans="1:4" x14ac:dyDescent="0.2">
      <c r="A2613" s="5">
        <v>2552</v>
      </c>
      <c r="B2613" s="138">
        <f>'Acct Summary 7-8'!G20</f>
        <v>-21383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559339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559339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593347</v>
      </c>
      <c r="C2634" s="2" t="s">
        <v>573</v>
      </c>
      <c r="D2634" s="2" t="str">
        <f t="shared" si="40"/>
        <v>Error?</v>
      </c>
    </row>
    <row r="2635" spans="1:4" x14ac:dyDescent="0.2">
      <c r="A2635" s="5">
        <v>2574</v>
      </c>
      <c r="B2635" s="138">
        <f>'Acct Summary 7-8'!E17</f>
        <v>593347</v>
      </c>
      <c r="C2635" s="2" t="s">
        <v>573</v>
      </c>
      <c r="D2635" s="2" t="str">
        <f t="shared" si="40"/>
        <v>Error?</v>
      </c>
    </row>
    <row r="2636" spans="1:4" x14ac:dyDescent="0.2">
      <c r="A2636" s="5">
        <v>2575</v>
      </c>
      <c r="B2636" s="138">
        <f>'Acct Summary 7-8'!E20</f>
        <v>-34008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659238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659238</v>
      </c>
      <c r="C2658" s="2" t="s">
        <v>573</v>
      </c>
      <c r="D2658" s="2" t="str">
        <f t="shared" si="40"/>
        <v>Error?</v>
      </c>
    </row>
    <row r="2659" spans="1:4" x14ac:dyDescent="0.2">
      <c r="A2659" s="5">
        <v>2598</v>
      </c>
      <c r="B2659" s="138">
        <f>'Acct Summary 7-8'!H13</f>
        <v>535036</v>
      </c>
      <c r="C2659" s="2" t="s">
        <v>573</v>
      </c>
      <c r="D2659" s="2" t="str">
        <f t="shared" si="40"/>
        <v>Error?</v>
      </c>
    </row>
    <row r="2660" spans="1:4" x14ac:dyDescent="0.2">
      <c r="A2660" s="5">
        <v>2599</v>
      </c>
      <c r="B2660" s="138">
        <f>'Acct Summary 7-8'!H15</f>
        <v>300</v>
      </c>
      <c r="C2660" s="2" t="s">
        <v>573</v>
      </c>
      <c r="D2660" s="2" t="str">
        <f t="shared" si="40"/>
        <v>Error?</v>
      </c>
    </row>
    <row r="2661" spans="1:4" x14ac:dyDescent="0.2">
      <c r="A2661" s="5">
        <v>2600</v>
      </c>
      <c r="B2661" s="138">
        <f>'Acct Summary 7-8'!H17</f>
        <v>535336</v>
      </c>
      <c r="C2661" s="2" t="s">
        <v>573</v>
      </c>
      <c r="D2661" s="2" t="str">
        <f t="shared" si="40"/>
        <v>Error?</v>
      </c>
    </row>
    <row r="2662" spans="1:4" x14ac:dyDescent="0.2">
      <c r="A2662" s="5">
        <v>2601</v>
      </c>
      <c r="B2662" s="138">
        <f>'Acct Summary 7-8'!H20</f>
        <v>123902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6000</v>
      </c>
      <c r="D2718" s="2" t="str">
        <f t="shared" si="41"/>
        <v>Error?</v>
      </c>
    </row>
    <row r="2719" spans="1:4" x14ac:dyDescent="0.2">
      <c r="A2719" s="5">
        <v>2658</v>
      </c>
      <c r="B2719" s="138">
        <f>'Expenditures 15-22'!D51</f>
        <v>1441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7441</v>
      </c>
      <c r="C2724" s="2" t="s">
        <v>573</v>
      </c>
      <c r="D2724" s="2" t="str">
        <f t="shared" si="41"/>
        <v>Error?</v>
      </c>
    </row>
    <row r="2725" spans="1:4" x14ac:dyDescent="0.2">
      <c r="A2725" s="5">
        <v>2664</v>
      </c>
      <c r="B2725" s="138">
        <f>'Expenditures 15-22'!D247</f>
        <v>85</v>
      </c>
      <c r="D2725" s="2" t="str">
        <f t="shared" si="41"/>
        <v>Error?</v>
      </c>
    </row>
    <row r="2726" spans="1:4" x14ac:dyDescent="0.2">
      <c r="A2726" s="5">
        <v>2665</v>
      </c>
      <c r="B2726" s="138">
        <f>'Expenditures 15-22'!K247</f>
        <v>85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1350</v>
      </c>
      <c r="C2789" s="2" t="s">
        <v>573</v>
      </c>
      <c r="D2789" s="2" t="str">
        <f t="shared" si="42"/>
        <v>Error?</v>
      </c>
    </row>
    <row r="2790" spans="1:4" x14ac:dyDescent="0.2">
      <c r="A2790" s="5">
        <v>2729</v>
      </c>
      <c r="B2790" s="138">
        <f>'Expenditures 15-22'!E102</f>
        <v>1350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23205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1849421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379807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1849421</v>
      </c>
      <c r="D2912" s="2" t="str">
        <f t="shared" si="44"/>
        <v>Error?</v>
      </c>
    </row>
    <row r="2913" spans="1:4" x14ac:dyDescent="0.2">
      <c r="A2913" s="5">
        <v>2852</v>
      </c>
      <c r="B2913" s="138">
        <f>'Assets-Liab 5-6'!I41</f>
        <v>1849421</v>
      </c>
      <c r="C2913" s="2" t="s">
        <v>573</v>
      </c>
      <c r="D2913" s="2" t="str">
        <f t="shared" si="44"/>
        <v>Error?</v>
      </c>
    </row>
    <row r="2914" spans="1:4" x14ac:dyDescent="0.2">
      <c r="A2914" s="5">
        <v>2853</v>
      </c>
      <c r="B2914" s="138">
        <f>'Assets-Liab 5-6'!L33</f>
        <v>379807</v>
      </c>
      <c r="D2914" s="2" t="str">
        <f t="shared" si="44"/>
        <v>Error?</v>
      </c>
    </row>
    <row r="2915" spans="1:4" x14ac:dyDescent="0.2">
      <c r="A2915" s="10">
        <v>2854</v>
      </c>
      <c r="D2915" s="2" t="str">
        <f t="shared" si="44"/>
        <v>OK</v>
      </c>
    </row>
    <row r="2916" spans="1:4" x14ac:dyDescent="0.2">
      <c r="A2916" s="5">
        <v>2855</v>
      </c>
      <c r="B2916" s="138">
        <f>'Assets-Liab 5-6'!L34</f>
        <v>379807</v>
      </c>
      <c r="C2916" s="2" t="s">
        <v>573</v>
      </c>
      <c r="D2916" s="2" t="str">
        <f t="shared" si="44"/>
        <v>Error?</v>
      </c>
    </row>
    <row r="2917" spans="1:4" x14ac:dyDescent="0.2">
      <c r="A2917" s="5">
        <v>2856</v>
      </c>
      <c r="B2917" s="138">
        <f>'Assets-Liab 5-6'!L41</f>
        <v>379807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1350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358079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359429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111681</v>
      </c>
      <c r="D3055" s="2" t="str">
        <f t="shared" si="46"/>
        <v>Error?</v>
      </c>
    </row>
    <row r="3056" spans="1:4" x14ac:dyDescent="0.2">
      <c r="A3056" s="5">
        <v>2995</v>
      </c>
      <c r="B3056" s="138">
        <f>'Expenditures 15-22'!D10</f>
        <v>45047</v>
      </c>
      <c r="D3056" s="2" t="str">
        <f t="shared" si="46"/>
        <v>Error?</v>
      </c>
    </row>
    <row r="3057" spans="1:4" x14ac:dyDescent="0.2">
      <c r="A3057" s="5">
        <v>2996</v>
      </c>
      <c r="B3057" s="138">
        <f>'Expenditures 15-22'!E10</f>
        <v>4849</v>
      </c>
      <c r="D3057" s="2" t="str">
        <f t="shared" si="46"/>
        <v>Error?</v>
      </c>
    </row>
    <row r="3058" spans="1:4" x14ac:dyDescent="0.2">
      <c r="A3058" s="5">
        <v>2997</v>
      </c>
      <c r="B3058" s="138">
        <f>'Expenditures 15-22'!F10</f>
        <v>46833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208410</v>
      </c>
      <c r="C3062" s="2" t="s">
        <v>573</v>
      </c>
      <c r="D3062" s="2" t="str">
        <f t="shared" si="46"/>
        <v>Error?</v>
      </c>
    </row>
    <row r="3063" spans="1:4" x14ac:dyDescent="0.2">
      <c r="A3063" s="10">
        <v>3002</v>
      </c>
      <c r="D3063" s="2" t="str">
        <f t="shared" si="46"/>
        <v>OK</v>
      </c>
    </row>
    <row r="3064" spans="1:4" x14ac:dyDescent="0.2">
      <c r="A3064" s="5">
        <v>3003</v>
      </c>
      <c r="B3064" s="138">
        <f>'Expenditures 15-22'!D219</f>
        <v>11412</v>
      </c>
      <c r="D3064" s="2" t="str">
        <f t="shared" si="46"/>
        <v>Error?</v>
      </c>
    </row>
    <row r="3065" spans="1:4" x14ac:dyDescent="0.2">
      <c r="A3065" s="5">
        <v>3004</v>
      </c>
      <c r="B3065" s="138">
        <f>'Expenditures 15-22'!K219</f>
        <v>11412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40304</v>
      </c>
      <c r="C3225" s="2" t="s">
        <v>573</v>
      </c>
      <c r="D3225" s="2" t="str">
        <f t="shared" si="49"/>
        <v>Error?</v>
      </c>
    </row>
    <row r="3226" spans="1:4" x14ac:dyDescent="0.2">
      <c r="A3226" s="5">
        <v>3165</v>
      </c>
      <c r="B3226" s="138">
        <f>'Acct Summary 7-8'!I8</f>
        <v>40304</v>
      </c>
      <c r="C3226" s="2" t="s">
        <v>573</v>
      </c>
      <c r="D3226" s="2" t="str">
        <f t="shared" si="49"/>
        <v>Error?</v>
      </c>
    </row>
    <row r="3227" spans="1:4" x14ac:dyDescent="0.2">
      <c r="A3227" s="5">
        <v>3166</v>
      </c>
      <c r="B3227" s="138">
        <f>'Acct Summary 7-8'!I20</f>
        <v>40304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75790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-33393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432919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-21383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-34008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2550151</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2550151</v>
      </c>
      <c r="C3299" s="2" t="s">
        <v>573</v>
      </c>
      <c r="D3299" s="2" t="str">
        <f t="shared" si="50"/>
        <v>Error?</v>
      </c>
    </row>
    <row r="3300" spans="1:4" x14ac:dyDescent="0.2">
      <c r="A3300" s="5">
        <v>3239</v>
      </c>
      <c r="B3300" s="138">
        <f>'Acct Summary 7-8'!H78</f>
        <v>2674053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40304</v>
      </c>
      <c r="C3320" s="2" t="s">
        <v>573</v>
      </c>
      <c r="D3320" s="2" t="str">
        <f t="shared" si="50"/>
        <v>Error?</v>
      </c>
    </row>
    <row r="3321" spans="1:4" x14ac:dyDescent="0.2">
      <c r="A3321" s="5">
        <v>3260</v>
      </c>
      <c r="B3321" s="138">
        <f>'Acct Summary 7-8'!I79</f>
        <v>1809117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1849421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532392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168528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500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701828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29915</v>
      </c>
      <c r="D3387" s="2" t="str">
        <f t="shared" si="51"/>
        <v>Error?</v>
      </c>
    </row>
    <row r="3388" spans="1:4" x14ac:dyDescent="0.2">
      <c r="A3388" s="5">
        <v>3327</v>
      </c>
      <c r="B3388" s="138">
        <f>'Expenditures 15-22'!D217</f>
        <v>49544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29915</v>
      </c>
      <c r="C3390" s="2" t="s">
        <v>573</v>
      </c>
      <c r="D3390" s="2" t="str">
        <f t="shared" si="51"/>
        <v>Error?</v>
      </c>
    </row>
    <row r="3391" spans="1:4" x14ac:dyDescent="0.2">
      <c r="A3391" s="5">
        <v>3330</v>
      </c>
      <c r="B3391" s="138">
        <f>'Expenditures 15-22'!K217</f>
        <v>49544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1051519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486573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179853</v>
      </c>
      <c r="D3417" s="2" t="str">
        <f t="shared" si="52"/>
        <v>Error?</v>
      </c>
    </row>
    <row r="3418" spans="1:4" x14ac:dyDescent="0.2">
      <c r="A3418" s="10">
        <v>3357</v>
      </c>
      <c r="D3418" s="2" t="str">
        <f t="shared" si="52"/>
        <v>OK</v>
      </c>
    </row>
    <row r="3419" spans="1:4" x14ac:dyDescent="0.2">
      <c r="A3419" s="5">
        <v>3358</v>
      </c>
      <c r="B3419" s="138">
        <f>'Assets-Liab 5-6'!F4</f>
        <v>1517206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763652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3409943</v>
      </c>
      <c r="D3425" s="2" t="str">
        <f t="shared" si="52"/>
        <v>Error?</v>
      </c>
    </row>
    <row r="3426" spans="1:4" x14ac:dyDescent="0.2">
      <c r="A3426" s="10">
        <v>3365</v>
      </c>
      <c r="D3426" s="2" t="str">
        <f t="shared" si="52"/>
        <v>OK</v>
      </c>
    </row>
    <row r="3427" spans="1:4" x14ac:dyDescent="0.2">
      <c r="A3427" s="5">
        <v>3366</v>
      </c>
      <c r="B3427" s="138">
        <f>'Assets-Liab 5-6'!I4</f>
        <v>1049421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379807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96724</v>
      </c>
      <c r="C3446" s="2" t="s">
        <v>573</v>
      </c>
      <c r="D3446" s="2" t="str">
        <f t="shared" si="52"/>
        <v>Error?</v>
      </c>
    </row>
    <row r="3447" spans="1:4" x14ac:dyDescent="0.2">
      <c r="A3447" s="5">
        <v>3386</v>
      </c>
      <c r="B3447" s="138">
        <f>'Tax Sched 23'!D16</f>
        <v>96724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160006</v>
      </c>
      <c r="C3449" s="2" t="s">
        <v>573</v>
      </c>
      <c r="D3449" s="2" t="str">
        <f t="shared" si="52"/>
        <v>Error?</v>
      </c>
    </row>
    <row r="3450" spans="1:4" x14ac:dyDescent="0.2">
      <c r="A3450" s="5">
        <v>3389</v>
      </c>
      <c r="B3450" s="138">
        <f>'Tax Sched 23'!E16</f>
        <v>160006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23205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23205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23205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194625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194625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194625</v>
      </c>
      <c r="D3567" s="2" t="str">
        <f t="shared" si="54"/>
        <v>Error?</v>
      </c>
    </row>
    <row r="3568" spans="1:4" x14ac:dyDescent="0.2">
      <c r="A3568" s="5">
        <v>3507</v>
      </c>
      <c r="B3568" s="138">
        <f>'Assets-Liab 5-6'!K41</f>
        <v>194625</v>
      </c>
      <c r="C3568" s="2" t="s">
        <v>573</v>
      </c>
      <c r="D3568" s="2" t="str">
        <f t="shared" si="54"/>
        <v>Error?</v>
      </c>
    </row>
    <row r="3569" spans="1:4" x14ac:dyDescent="0.2">
      <c r="A3569" s="5">
        <v>3508</v>
      </c>
      <c r="B3569" s="138">
        <f>'Acct Summary 7-8'!K4</f>
        <v>36271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36271</v>
      </c>
      <c r="C3571" s="2" t="s">
        <v>573</v>
      </c>
      <c r="D3571" s="2" t="str">
        <f t="shared" si="54"/>
        <v>Error?</v>
      </c>
    </row>
    <row r="3572" spans="1:4" x14ac:dyDescent="0.2">
      <c r="A3572" s="5">
        <v>3511</v>
      </c>
      <c r="B3572" s="138">
        <f>'Acct Summary 7-8'!K13</f>
        <v>9000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9000</v>
      </c>
      <c r="C3575" s="2" t="s">
        <v>573</v>
      </c>
      <c r="D3575" s="2" t="str">
        <f t="shared" si="54"/>
        <v>Error?</v>
      </c>
    </row>
    <row r="3576" spans="1:4" x14ac:dyDescent="0.2">
      <c r="A3576" s="5">
        <v>3515</v>
      </c>
      <c r="B3576" s="138">
        <f>'Acct Summary 7-8'!K20</f>
        <v>27271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27271</v>
      </c>
      <c r="C3588" s="2" t="s">
        <v>573</v>
      </c>
      <c r="D3588" s="2" t="str">
        <f t="shared" si="55"/>
        <v>Error?</v>
      </c>
    </row>
    <row r="3589" spans="1:4" x14ac:dyDescent="0.2">
      <c r="A3589" s="5">
        <v>3528</v>
      </c>
      <c r="B3589" s="138">
        <f>'Acct Summary 7-8'!K79</f>
        <v>167354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194625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9000</v>
      </c>
      <c r="D3632" s="2" t="str">
        <f t="shared" si="55"/>
        <v>Error?</v>
      </c>
    </row>
    <row r="3633" spans="1:4" x14ac:dyDescent="0.2">
      <c r="A3633" s="5">
        <v>3572</v>
      </c>
      <c r="B3633" s="138">
        <f>'Expenditures 15-22'!E350</f>
        <v>9000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9000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9000</v>
      </c>
      <c r="C3669" s="2" t="s">
        <v>573</v>
      </c>
      <c r="D3669" s="2" t="str">
        <f t="shared" si="56"/>
        <v>Error?</v>
      </c>
    </row>
    <row r="3670" spans="1:4" x14ac:dyDescent="0.2">
      <c r="A3670" s="5">
        <v>3609</v>
      </c>
      <c r="B3670" s="138">
        <f>'Expenditures 15-22'!K350</f>
        <v>9000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9000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9000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27271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300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36829</v>
      </c>
      <c r="C3725" s="2" t="s">
        <v>573</v>
      </c>
      <c r="D3725" s="2" t="str">
        <f t="shared" si="57"/>
        <v>Error?</v>
      </c>
    </row>
    <row r="3726" spans="1:4" x14ac:dyDescent="0.2">
      <c r="A3726" s="5">
        <v>3665</v>
      </c>
      <c r="B3726" s="138">
        <f>'Tax Sched 23'!D13</f>
        <v>36829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38823</v>
      </c>
      <c r="C3728" s="2" t="s">
        <v>573</v>
      </c>
      <c r="D3728" s="2" t="str">
        <f t="shared" si="57"/>
        <v>Error?</v>
      </c>
    </row>
    <row r="3729" spans="1:4" x14ac:dyDescent="0.2">
      <c r="A3729" s="5">
        <v>3668</v>
      </c>
      <c r="B3729" s="138">
        <f>'Tax Sched 23'!E13</f>
        <v>38823</v>
      </c>
      <c r="D3729" s="2" t="str">
        <f t="shared" si="57"/>
        <v>Error?</v>
      </c>
    </row>
    <row r="3730" spans="1:4" x14ac:dyDescent="0.2">
      <c r="A3730" s="5">
        <v>3669</v>
      </c>
      <c r="B3730" s="138">
        <f>'ICR Computation 30'!E10</f>
        <v>131996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266132.40999999997</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266132.40999999997</v>
      </c>
      <c r="D4111" s="2" t="str">
        <f t="shared" si="63"/>
        <v>Error?</v>
      </c>
    </row>
    <row r="4112" spans="1:4" x14ac:dyDescent="0.2">
      <c r="A4112" s="10">
        <v>4051</v>
      </c>
      <c r="D4112" s="2" t="str">
        <f t="shared" si="63"/>
        <v>OK</v>
      </c>
    </row>
    <row r="4113" spans="1:4" x14ac:dyDescent="0.2">
      <c r="A4113" s="5">
        <v>4052</v>
      </c>
      <c r="B4113" s="138">
        <f>'Acct Summary 7-8'!C9</f>
        <v>2880870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9544708</v>
      </c>
      <c r="C4122" s="2" t="s">
        <v>573</v>
      </c>
      <c r="D4122" s="2" t="str">
        <f t="shared" si="63"/>
        <v>Error?</v>
      </c>
    </row>
    <row r="4123" spans="1:4" x14ac:dyDescent="0.2">
      <c r="A4123" s="5">
        <v>4062</v>
      </c>
      <c r="B4123" s="138">
        <f>'Acct Summary 7-8'!D10</f>
        <v>343813</v>
      </c>
      <c r="C4123" s="2" t="s">
        <v>573</v>
      </c>
      <c r="D4123" s="2" t="str">
        <f t="shared" si="63"/>
        <v>Error?</v>
      </c>
    </row>
    <row r="4124" spans="1:4" x14ac:dyDescent="0.2">
      <c r="A4124" s="5">
        <v>4063</v>
      </c>
      <c r="B4124" s="138">
        <f>'Acct Summary 7-8'!E10</f>
        <v>559339</v>
      </c>
      <c r="C4124" s="2" t="s">
        <v>573</v>
      </c>
      <c r="D4124" s="2" t="str">
        <f t="shared" si="63"/>
        <v>Error?</v>
      </c>
    </row>
    <row r="4125" spans="1:4" x14ac:dyDescent="0.2">
      <c r="A4125" s="5">
        <v>4064</v>
      </c>
      <c r="B4125" s="138">
        <f>'Acct Summary 7-8'!F10</f>
        <v>1324202</v>
      </c>
      <c r="C4125" s="2" t="s">
        <v>573</v>
      </c>
      <c r="D4125" s="2" t="str">
        <f t="shared" si="63"/>
        <v>Error?</v>
      </c>
    </row>
    <row r="4126" spans="1:4" x14ac:dyDescent="0.2">
      <c r="A4126" s="5">
        <v>4065</v>
      </c>
      <c r="B4126" s="138">
        <f>'Acct Summary 7-8'!G10</f>
        <v>293065</v>
      </c>
      <c r="C4126" s="2" t="s">
        <v>573</v>
      </c>
      <c r="D4126" s="2" t="str">
        <f t="shared" si="63"/>
        <v>Error?</v>
      </c>
    </row>
    <row r="4127" spans="1:4" x14ac:dyDescent="0.2">
      <c r="A4127" s="5">
        <v>4066</v>
      </c>
      <c r="B4127" s="138">
        <f>'Acct Summary 7-8'!H10</f>
        <v>659238</v>
      </c>
      <c r="C4127" s="2" t="s">
        <v>573</v>
      </c>
      <c r="D4127" s="2" t="str">
        <f t="shared" si="63"/>
        <v>Error?</v>
      </c>
    </row>
    <row r="4128" spans="1:4" x14ac:dyDescent="0.2">
      <c r="A4128" s="5">
        <v>4067</v>
      </c>
      <c r="B4128" s="138">
        <f>'Acct Summary 7-8'!I10</f>
        <v>40304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36271</v>
      </c>
      <c r="C4130" s="2" t="s">
        <v>573</v>
      </c>
      <c r="D4130" s="2" t="str">
        <f t="shared" si="63"/>
        <v>Error?</v>
      </c>
    </row>
    <row r="4131" spans="1:4" x14ac:dyDescent="0.2">
      <c r="A4131" s="5">
        <v>4070</v>
      </c>
      <c r="B4131" s="138">
        <f>'Acct Summary 7-8'!C18</f>
        <v>2880870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9468918</v>
      </c>
      <c r="C4136" s="2" t="s">
        <v>573</v>
      </c>
      <c r="D4136" s="2" t="str">
        <f t="shared" si="63"/>
        <v>Error?</v>
      </c>
    </row>
    <row r="4137" spans="1:4" x14ac:dyDescent="0.2">
      <c r="A4137" s="5">
        <v>4076</v>
      </c>
      <c r="B4137" s="138">
        <f>'Acct Summary 7-8'!D19</f>
        <v>377206</v>
      </c>
      <c r="C4137" s="2" t="s">
        <v>573</v>
      </c>
      <c r="D4137" s="2" t="str">
        <f t="shared" si="63"/>
        <v>Error?</v>
      </c>
    </row>
    <row r="4138" spans="1:4" x14ac:dyDescent="0.2">
      <c r="A4138" s="5">
        <v>4077</v>
      </c>
      <c r="B4138" s="138">
        <f>'Acct Summary 7-8'!E19</f>
        <v>593347</v>
      </c>
      <c r="C4138" s="2" t="s">
        <v>573</v>
      </c>
      <c r="D4138" s="2" t="str">
        <f t="shared" si="63"/>
        <v>Error?</v>
      </c>
    </row>
    <row r="4139" spans="1:4" x14ac:dyDescent="0.2">
      <c r="A4139" s="5">
        <v>4078</v>
      </c>
      <c r="B4139" s="138">
        <f>'Acct Summary 7-8'!F19</f>
        <v>891283</v>
      </c>
      <c r="C4139" s="2" t="s">
        <v>573</v>
      </c>
      <c r="D4139" s="2" t="str">
        <f t="shared" si="63"/>
        <v>Error?</v>
      </c>
    </row>
    <row r="4140" spans="1:4" x14ac:dyDescent="0.2">
      <c r="A4140" s="5">
        <v>4079</v>
      </c>
      <c r="B4140" s="138">
        <f>'Acct Summary 7-8'!G19</f>
        <v>314448</v>
      </c>
      <c r="C4140" s="2" t="s">
        <v>573</v>
      </c>
      <c r="D4140" s="2" t="str">
        <f t="shared" si="63"/>
        <v>Error?</v>
      </c>
    </row>
    <row r="4141" spans="1:4" x14ac:dyDescent="0.2">
      <c r="A4141" s="5">
        <v>4080</v>
      </c>
      <c r="B4141" s="138">
        <f>'Acct Summary 7-8'!H19</f>
        <v>535336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9000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4975000</v>
      </c>
      <c r="C4171" s="2" t="s">
        <v>573</v>
      </c>
      <c r="D4171" s="2" t="str">
        <f t="shared" si="64"/>
        <v>Error?</v>
      </c>
    </row>
    <row r="4172" spans="1:4" x14ac:dyDescent="0.2">
      <c r="A4172" s="5">
        <v>4111</v>
      </c>
      <c r="B4172" s="138">
        <f>'Short-Term Long-Term Debt 24'!J49</f>
        <v>4795147</v>
      </c>
      <c r="C4172" s="2" t="s">
        <v>573</v>
      </c>
      <c r="D4172" s="2" t="str">
        <f t="shared" si="64"/>
        <v>Error?</v>
      </c>
    </row>
    <row r="4173" spans="1:4" x14ac:dyDescent="0.2">
      <c r="A4173" s="5">
        <v>4112</v>
      </c>
      <c r="B4173" s="138">
        <f>'Short-Term Long-Term Debt 24'!H49</f>
        <v>415000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375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2415</v>
      </c>
      <c r="C4268" s="2" t="s">
        <v>573</v>
      </c>
      <c r="D4268" s="2" t="str">
        <f t="shared" si="65"/>
        <v>Error?</v>
      </c>
    </row>
    <row r="4269" spans="1:5" x14ac:dyDescent="0.2">
      <c r="A4269" s="12">
        <v>4208</v>
      </c>
      <c r="B4269" s="138">
        <f>'FP Info 3'!J16</f>
        <v>4097082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27723</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10994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55701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16774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16774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17644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54147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2603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13932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77646216</v>
      </c>
      <c r="D4995" s="2" t="str">
        <f t="shared" si="77"/>
        <v>Error?</v>
      </c>
    </row>
    <row r="4996" spans="1:4" x14ac:dyDescent="0.2">
      <c r="A4996" s="12">
        <v>4935</v>
      </c>
      <c r="B4996" s="138">
        <f>'FP Info 3'!H31</f>
        <v>10715177.808</v>
      </c>
      <c r="D4996" s="2" t="str">
        <f t="shared" si="77"/>
        <v>Error?</v>
      </c>
    </row>
    <row r="4997" spans="1:4" x14ac:dyDescent="0.2">
      <c r="A4997" s="12">
        <v>4936</v>
      </c>
      <c r="B4997" s="138">
        <f>'FP Info 3'!H37</f>
        <v>4975000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36829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1279636</v>
      </c>
      <c r="D5061" s="2" t="str">
        <f t="shared" si="78"/>
        <v>Error?</v>
      </c>
    </row>
    <row r="5062" spans="1:4" x14ac:dyDescent="0.2">
      <c r="A5062" s="10">
        <v>5001</v>
      </c>
      <c r="D5062" s="2" t="str">
        <f t="shared" si="78"/>
        <v>OK</v>
      </c>
    </row>
    <row r="5063" spans="1:4" x14ac:dyDescent="0.2">
      <c r="A5063" s="5">
        <v>5002</v>
      </c>
      <c r="B5063" s="138">
        <f>'Revenues 9-14'!C7</f>
        <v>28619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1345084</v>
      </c>
      <c r="C5066" s="2" t="s">
        <v>573</v>
      </c>
      <c r="D5066" s="2" t="str">
        <f t="shared" si="78"/>
        <v>Error?</v>
      </c>
    </row>
    <row r="5067" spans="1:4" x14ac:dyDescent="0.2">
      <c r="A5067" s="5">
        <v>5006</v>
      </c>
      <c r="B5067" s="138">
        <f>'Revenues 9-14'!C14</f>
        <v>8176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700201</v>
      </c>
      <c r="D5069" s="2" t="str">
        <f t="shared" si="78"/>
        <v>Error?</v>
      </c>
    </row>
    <row r="5070" spans="1:4" x14ac:dyDescent="0.2">
      <c r="A5070" s="5">
        <v>5009</v>
      </c>
      <c r="B5070" s="138">
        <f>'Revenues 9-14'!C17</f>
        <v>6249</v>
      </c>
      <c r="D5070" s="2" t="str">
        <f t="shared" si="78"/>
        <v>Error?</v>
      </c>
    </row>
    <row r="5071" spans="1:4" x14ac:dyDescent="0.2">
      <c r="A5071" s="5">
        <v>5010</v>
      </c>
      <c r="B5071" s="138">
        <f>'Revenues 9-14'!C18</f>
        <v>714626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1137</v>
      </c>
      <c r="C5090" s="2" t="s">
        <v>573</v>
      </c>
      <c r="D5090" s="2" t="str">
        <f t="shared" si="78"/>
        <v>Error?</v>
      </c>
    </row>
    <row r="5091" spans="1:4" x14ac:dyDescent="0.2">
      <c r="A5091" s="5">
        <v>5030</v>
      </c>
      <c r="B5091" s="138">
        <f>'Revenues 9-14'!C70</f>
        <v>15564</v>
      </c>
      <c r="D5091" s="2" t="str">
        <f t="shared" si="78"/>
        <v>Error?</v>
      </c>
    </row>
    <row r="5092" spans="1:4" x14ac:dyDescent="0.2">
      <c r="A5092" s="5">
        <v>5031</v>
      </c>
      <c r="B5092" s="138">
        <f>'Revenues 9-14'!C71</f>
        <v>2735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3810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78538</v>
      </c>
      <c r="C5096" s="2" t="s">
        <v>573</v>
      </c>
      <c r="D5096" s="2" t="str">
        <f t="shared" si="78"/>
        <v>Error?</v>
      </c>
    </row>
    <row r="5097" spans="1:4" x14ac:dyDescent="0.2">
      <c r="A5097" s="5">
        <v>5036</v>
      </c>
      <c r="B5097" s="138">
        <f>'Revenues 9-14'!C77</f>
        <v>41808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15053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39213</v>
      </c>
      <c r="D5101" s="2" t="str">
        <f t="shared" si="78"/>
        <v>Error?</v>
      </c>
    </row>
    <row r="5102" spans="1:4" x14ac:dyDescent="0.2">
      <c r="A5102" s="5">
        <v>5041</v>
      </c>
      <c r="B5102" s="138">
        <f>'Revenues 9-14'!C82</f>
        <v>96074</v>
      </c>
      <c r="C5102" s="2" t="s">
        <v>573</v>
      </c>
      <c r="D5102" s="2" t="str">
        <f t="shared" si="78"/>
        <v>Error?</v>
      </c>
    </row>
    <row r="5103" spans="1:4" x14ac:dyDescent="0.2">
      <c r="A5103" s="5">
        <v>5042</v>
      </c>
      <c r="B5103" s="138">
        <f>'Revenues 9-14'!C84</f>
        <v>27105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299</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27404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38675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3623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25265</v>
      </c>
      <c r="D5119" s="2" t="str">
        <f t="shared" ref="D5119:D5182" si="79">IF(ISBLANK(B5119),"OK",IF(A5119-B5119=0,"OK","Error?"))</f>
        <v>Error?</v>
      </c>
    </row>
    <row r="5120" spans="1:4" x14ac:dyDescent="0.2">
      <c r="A5120" s="5">
        <v>5059</v>
      </c>
      <c r="B5120" s="138">
        <f>'Revenues 9-14'!C108</f>
        <v>70838</v>
      </c>
      <c r="C5120" s="2" t="s">
        <v>573</v>
      </c>
      <c r="D5120" s="2" t="str">
        <f t="shared" si="79"/>
        <v>Error?</v>
      </c>
    </row>
    <row r="5121" spans="1:4" x14ac:dyDescent="0.2">
      <c r="A5121" s="5">
        <v>5060</v>
      </c>
      <c r="B5121" s="138">
        <f>'Revenues 9-14'!C109</f>
        <v>2333701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3539712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3539712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16949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16949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4827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4319</v>
      </c>
      <c r="D5167" s="2" t="str">
        <f t="shared" si="79"/>
        <v>Error?</v>
      </c>
    </row>
    <row r="5168" spans="1:4" x14ac:dyDescent="0.2">
      <c r="A5168" s="5">
        <v>5107</v>
      </c>
      <c r="B5168" s="138">
        <f>'Revenues 9-14'!C148</f>
        <v>12299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40997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3580709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169788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73757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243545</v>
      </c>
      <c r="C5246" s="2" t="s">
        <v>573</v>
      </c>
      <c r="D5246" s="2" t="str">
        <f t="shared" si="80"/>
        <v>Error?</v>
      </c>
    </row>
    <row r="5247" spans="1:4" x14ac:dyDescent="0.2">
      <c r="A5247" s="5">
        <v>5186</v>
      </c>
      <c r="B5247" s="138">
        <f>'Revenues 9-14'!C200</f>
        <v>299756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17644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327479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9212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9212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749428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749428</v>
      </c>
      <c r="C5326" s="2" t="s">
        <v>573</v>
      </c>
      <c r="D5326" s="2" t="str">
        <f t="shared" si="82"/>
        <v>Error?</v>
      </c>
    </row>
    <row r="5327" spans="1:5" x14ac:dyDescent="0.2">
      <c r="A5327" s="5">
        <v>5266</v>
      </c>
      <c r="B5327" s="138">
        <f>'Revenues 9-14'!C268</f>
        <v>6663838</v>
      </c>
      <c r="C5327" s="2" t="s">
        <v>573</v>
      </c>
      <c r="D5327" s="2" t="str">
        <f t="shared" si="82"/>
        <v>Error?</v>
      </c>
    </row>
    <row r="5328" spans="1:5" x14ac:dyDescent="0.2">
      <c r="A5328" s="5">
        <v>5267</v>
      </c>
      <c r="B5328" s="138">
        <f>'Revenues 9-14'!D5</f>
        <v>268298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268298</v>
      </c>
      <c r="C5334" s="2" t="s">
        <v>573</v>
      </c>
      <c r="D5334" s="2" t="str">
        <f t="shared" si="82"/>
        <v>Error?</v>
      </c>
    </row>
    <row r="5335" spans="1:4" x14ac:dyDescent="0.2">
      <c r="A5335" s="5">
        <v>5274</v>
      </c>
      <c r="B5335" s="138">
        <f>'Revenues 9-14'!D14</f>
        <v>1629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56188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57817</v>
      </c>
      <c r="C5339" s="2" t="s">
        <v>573</v>
      </c>
      <c r="D5339" s="2" t="str">
        <f t="shared" si="82"/>
        <v>Error?</v>
      </c>
    </row>
    <row r="5340" spans="1:4" x14ac:dyDescent="0.2">
      <c r="A5340" s="5">
        <v>5279</v>
      </c>
      <c r="B5340" s="138">
        <f>'Revenues 9-14'!D65</f>
        <v>409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409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7795</v>
      </c>
      <c r="D5349" s="2" t="str">
        <f t="shared" si="82"/>
        <v>Error?</v>
      </c>
    </row>
    <row r="5350" spans="1:4" x14ac:dyDescent="0.2">
      <c r="A5350" s="5">
        <v>5289</v>
      </c>
      <c r="B5350" s="138">
        <f>'Revenues 9-14'!D96</f>
        <v>800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8484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210</v>
      </c>
      <c r="D5354" s="2" t="str">
        <f t="shared" si="82"/>
        <v>Error?</v>
      </c>
    </row>
    <row r="5355" spans="1:4" x14ac:dyDescent="0.2">
      <c r="A5355" s="5">
        <v>5294</v>
      </c>
      <c r="B5355" s="138">
        <f>'Revenues 9-14'!D108</f>
        <v>17289</v>
      </c>
      <c r="C5355" s="2" t="s">
        <v>573</v>
      </c>
      <c r="D5355" s="2" t="str">
        <f t="shared" si="82"/>
        <v>Error?</v>
      </c>
    </row>
    <row r="5356" spans="1:4" x14ac:dyDescent="0.2">
      <c r="A5356" s="5">
        <v>5295</v>
      </c>
      <c r="B5356" s="138">
        <f>'Revenues 9-14'!D109</f>
        <v>343813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343813</v>
      </c>
      <c r="C5508" s="2" t="s">
        <v>573</v>
      </c>
      <c r="D5508" s="2" t="str">
        <f t="shared" si="85"/>
        <v>Error?</v>
      </c>
    </row>
    <row r="5509" spans="1:4" x14ac:dyDescent="0.2">
      <c r="A5509" s="5">
        <v>5448</v>
      </c>
      <c r="B5509" s="138">
        <f>'Revenues 9-14'!E5</f>
        <v>555649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555649</v>
      </c>
      <c r="C5513" s="2" t="s">
        <v>573</v>
      </c>
      <c r="D5513" s="2" t="str">
        <f t="shared" si="85"/>
        <v>Error?</v>
      </c>
    </row>
    <row r="5514" spans="1:4" x14ac:dyDescent="0.2">
      <c r="A5514" s="5">
        <v>5453</v>
      </c>
      <c r="B5514" s="138">
        <f>'Revenues 9-14'!E14</f>
        <v>3383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3383</v>
      </c>
      <c r="C5518" s="2" t="s">
        <v>573</v>
      </c>
      <c r="D5518" s="2" t="str">
        <f t="shared" si="85"/>
        <v>Error?</v>
      </c>
    </row>
    <row r="5519" spans="1:4" x14ac:dyDescent="0.2">
      <c r="A5519" s="5">
        <v>5458</v>
      </c>
      <c r="B5519" s="138">
        <f>'Revenues 9-14'!E65</f>
        <v>307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559339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559339</v>
      </c>
      <c r="C5552" s="2" t="s">
        <v>573</v>
      </c>
      <c r="D5552" s="2" t="str">
        <f t="shared" si="85"/>
        <v>Error?</v>
      </c>
    </row>
    <row r="5553" spans="1:4" x14ac:dyDescent="0.2">
      <c r="A5553" s="5">
        <v>5492</v>
      </c>
      <c r="B5553" s="138">
        <f>'Revenues 9-14'!F5</f>
        <v>143094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143094</v>
      </c>
      <c r="C5557" s="2" t="s">
        <v>573</v>
      </c>
      <c r="D5557" s="2" t="str">
        <f t="shared" si="85"/>
        <v>Error?</v>
      </c>
    </row>
    <row r="5558" spans="1:4" x14ac:dyDescent="0.2">
      <c r="A5558" s="5">
        <v>5497</v>
      </c>
      <c r="B5558" s="138">
        <f>'Revenues 9-14'!F14</f>
        <v>869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601239</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602108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13869</v>
      </c>
      <c r="D5565" s="2" t="str">
        <f t="shared" si="85"/>
        <v>Error?</v>
      </c>
    </row>
    <row r="5566" spans="1:4" x14ac:dyDescent="0.2">
      <c r="A5566" s="5">
        <v>5505</v>
      </c>
      <c r="B5566" s="138">
        <f>'Revenues 9-14'!F45</f>
        <v>9702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23571</v>
      </c>
      <c r="C5579" s="2" t="s">
        <v>573</v>
      </c>
      <c r="D5579" s="2" t="str">
        <f t="shared" si="86"/>
        <v>Error?</v>
      </c>
    </row>
    <row r="5580" spans="1:4" x14ac:dyDescent="0.2">
      <c r="A5580" s="5">
        <v>5519</v>
      </c>
      <c r="B5580" s="138">
        <f>'Revenues 9-14'!F65</f>
        <v>380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380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769153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407034</v>
      </c>
      <c r="D5615" s="2" t="str">
        <f t="shared" si="86"/>
        <v>Error?</v>
      </c>
    </row>
    <row r="5616" spans="1:4" x14ac:dyDescent="0.2">
      <c r="A5616" s="10">
        <v>5555</v>
      </c>
      <c r="D5616" s="2" t="str">
        <f t="shared" si="86"/>
        <v>OK</v>
      </c>
    </row>
    <row r="5617" spans="1:5" x14ac:dyDescent="0.2">
      <c r="A5617" s="5">
        <v>5556</v>
      </c>
      <c r="B5617" s="138">
        <f>'Revenues 9-14'!F153</f>
        <v>148015</v>
      </c>
      <c r="D5617" s="2" t="str">
        <f t="shared" si="86"/>
        <v>Error?</v>
      </c>
    </row>
    <row r="5618" spans="1:5" x14ac:dyDescent="0.2">
      <c r="A5618" s="5">
        <v>5557</v>
      </c>
      <c r="B5618" s="138">
        <f>'Revenues 9-14'!F155</f>
        <v>555049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555049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555049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1324202</v>
      </c>
      <c r="C5720" s="2" t="s">
        <v>573</v>
      </c>
      <c r="D5720" s="2" t="str">
        <f t="shared" si="88"/>
        <v>Error?</v>
      </c>
    </row>
    <row r="5721" spans="1:4" x14ac:dyDescent="0.2">
      <c r="A5721" s="5">
        <v>5660</v>
      </c>
      <c r="B5721" s="138">
        <f>'Revenues 9-14'!G5</f>
        <v>96724</v>
      </c>
      <c r="D5721" s="2" t="str">
        <f t="shared" si="88"/>
        <v>Error?</v>
      </c>
    </row>
    <row r="5722" spans="1:4" x14ac:dyDescent="0.2">
      <c r="A5722" s="5">
        <v>5661</v>
      </c>
      <c r="B5722" s="138">
        <f>'Revenues 9-14'!G7</f>
        <v>0</v>
      </c>
      <c r="D5722" s="2" t="str">
        <f t="shared" si="88"/>
        <v>Error?</v>
      </c>
    </row>
    <row r="5723" spans="1:4" x14ac:dyDescent="0.2">
      <c r="A5723" s="5">
        <v>5662</v>
      </c>
      <c r="B5723" s="138">
        <f>'Revenues 9-14'!G8</f>
        <v>96724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193448</v>
      </c>
      <c r="C5725" s="2" t="s">
        <v>573</v>
      </c>
      <c r="D5725" s="2" t="str">
        <f t="shared" si="88"/>
        <v>Error?</v>
      </c>
    </row>
    <row r="5726" spans="1:4" x14ac:dyDescent="0.2">
      <c r="A5726" s="5">
        <v>5665</v>
      </c>
      <c r="B5726" s="138">
        <f>'Revenues 9-14'!G14</f>
        <v>1172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96172</v>
      </c>
      <c r="C5730" s="2" t="s">
        <v>573</v>
      </c>
      <c r="D5730" s="2" t="str">
        <f t="shared" si="88"/>
        <v>Error?</v>
      </c>
    </row>
    <row r="5731" spans="1:4" x14ac:dyDescent="0.2">
      <c r="A5731" s="5">
        <v>5670</v>
      </c>
      <c r="B5731" s="138">
        <f>'Revenues 9-14'!G65</f>
        <v>3445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3445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293065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1230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1230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658008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659238</v>
      </c>
      <c r="C5915" s="2" t="s">
        <v>573</v>
      </c>
      <c r="D5915" s="2" t="str">
        <f t="shared" si="91"/>
        <v>Error?</v>
      </c>
    </row>
    <row r="5916" spans="1:4" x14ac:dyDescent="0.2">
      <c r="A5916" s="5">
        <v>5855</v>
      </c>
      <c r="B5916" s="138">
        <f>'Revenues 9-14'!I5</f>
        <v>35775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35775</v>
      </c>
      <c r="C5918" s="2" t="s">
        <v>573</v>
      </c>
      <c r="D5918" s="2" t="str">
        <f t="shared" si="91"/>
        <v>Error?</v>
      </c>
    </row>
    <row r="5919" spans="1:4" x14ac:dyDescent="0.2">
      <c r="A5919" s="5">
        <v>5858</v>
      </c>
      <c r="B5919" s="138">
        <f>'Revenues 9-14'!I14</f>
        <v>217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217</v>
      </c>
      <c r="C5923" s="2" t="s">
        <v>573</v>
      </c>
      <c r="D5923" s="2" t="str">
        <f t="shared" si="91"/>
        <v>Error?</v>
      </c>
    </row>
    <row r="5924" spans="1:4" x14ac:dyDescent="0.2">
      <c r="A5924" s="5">
        <v>5863</v>
      </c>
      <c r="B5924" s="138">
        <f>'Revenues 9-14'!I65</f>
        <v>4312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4312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40304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35775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35775</v>
      </c>
      <c r="C5987" s="2" t="s">
        <v>573</v>
      </c>
      <c r="D5987" s="2" t="str">
        <f t="shared" si="92"/>
        <v>Error?</v>
      </c>
    </row>
    <row r="5988" spans="1:4" x14ac:dyDescent="0.2">
      <c r="A5988" s="5">
        <v>5927</v>
      </c>
      <c r="B5988" s="138">
        <f>'Revenues 9-14'!K14</f>
        <v>217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217</v>
      </c>
      <c r="C5992" s="2" t="s">
        <v>573</v>
      </c>
      <c r="D5992" s="2" t="str">
        <f t="shared" si="92"/>
        <v>Error?</v>
      </c>
    </row>
    <row r="5993" spans="1:4" x14ac:dyDescent="0.2">
      <c r="A5993" s="5">
        <v>5932</v>
      </c>
      <c r="B5993" s="138">
        <f>'Revenues 9-14'!K65</f>
        <v>279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36271</v>
      </c>
      <c r="C6023" s="2" t="s">
        <v>573</v>
      </c>
      <c r="D6023" s="2" t="str">
        <f t="shared" si="93"/>
        <v>Error?</v>
      </c>
    </row>
    <row r="6024" spans="1:5" x14ac:dyDescent="0.2">
      <c r="A6024" s="5">
        <v>5963</v>
      </c>
      <c r="B6024" s="138">
        <f>'Revenues 9-14'!G109</f>
        <v>293065</v>
      </c>
      <c r="C6024" s="2" t="s">
        <v>573</v>
      </c>
      <c r="D6024" s="2" t="str">
        <f t="shared" si="93"/>
        <v>Error?</v>
      </c>
    </row>
    <row r="6025" spans="1:5" x14ac:dyDescent="0.2">
      <c r="A6025" s="5">
        <v>5964</v>
      </c>
      <c r="B6025" s="138">
        <f>'Revenues 9-14'!H109</f>
        <v>659238</v>
      </c>
      <c r="C6025" s="2" t="s">
        <v>573</v>
      </c>
      <c r="D6025" s="2" t="str">
        <f t="shared" si="93"/>
        <v>Error?</v>
      </c>
    </row>
    <row r="6026" spans="1:5" x14ac:dyDescent="0.2">
      <c r="A6026" s="5">
        <v>5965</v>
      </c>
      <c r="B6026" s="138">
        <f>'Revenues 9-14'!I109</f>
        <v>40304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36271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56429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28429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839.4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800000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1094</v>
      </c>
      <c r="D6099" s="2" t="str">
        <f t="shared" si="94"/>
        <v>Error?</v>
      </c>
      <c r="E6099" s="2" t="s">
        <v>190</v>
      </c>
    </row>
    <row r="6100" spans="1:5" x14ac:dyDescent="0.2">
      <c r="A6100">
        <v>6039</v>
      </c>
      <c r="B6100" s="138">
        <f>'Assets-Liab 5-6'!D9</f>
        <v>120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1149</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1121384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300000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500000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1121384</v>
      </c>
      <c r="D6215" s="2" t="str">
        <f t="shared" si="96"/>
        <v>Error?</v>
      </c>
      <c r="E6215" s="2" t="s">
        <v>190</v>
      </c>
    </row>
    <row r="6216" spans="1:5" x14ac:dyDescent="0.2">
      <c r="A6216">
        <v>6155</v>
      </c>
      <c r="B6216" s="138">
        <f>'Assets-Liab 5-6'!J41</f>
        <v>1121384</v>
      </c>
      <c r="D6216" s="2" t="str">
        <f t="shared" si="96"/>
        <v>Error?</v>
      </c>
      <c r="E6216" s="2" t="s">
        <v>190</v>
      </c>
    </row>
    <row r="6217" spans="1:5" x14ac:dyDescent="0.2">
      <c r="A6217">
        <v>6156</v>
      </c>
      <c r="B6217" s="138">
        <f>'Assets-Liab 5-6'!J4</f>
        <v>1121384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490679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490679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490679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495878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495878</v>
      </c>
      <c r="D6229" s="2" t="str">
        <f t="shared" si="96"/>
        <v>Error?</v>
      </c>
      <c r="E6229" s="2" t="s">
        <v>190</v>
      </c>
    </row>
    <row r="6230" spans="1:5" x14ac:dyDescent="0.2">
      <c r="A6230">
        <v>6169</v>
      </c>
      <c r="B6230" s="138">
        <f>'Acct Summary 7-8'!J20</f>
        <v>-5199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-5199</v>
      </c>
      <c r="D6263" s="2" t="str">
        <f t="shared" si="96"/>
        <v>Error?</v>
      </c>
      <c r="E6263" s="2" t="s">
        <v>190</v>
      </c>
    </row>
    <row r="6264" spans="1:5" x14ac:dyDescent="0.2">
      <c r="A6264">
        <v>6203</v>
      </c>
      <c r="B6264" s="138">
        <f>'Acct Summary 7-8'!J79</f>
        <v>1126583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1121384</v>
      </c>
      <c r="D6266" s="2" t="str">
        <f t="shared" si="96"/>
        <v>Error?</v>
      </c>
      <c r="E6266" s="2" t="s">
        <v>190</v>
      </c>
    </row>
    <row r="6267" spans="1:5" x14ac:dyDescent="0.2">
      <c r="A6267">
        <v>6206</v>
      </c>
      <c r="B6267" s="138">
        <f>'Acct Summary 7-8'!C82</f>
        <v>75790</v>
      </c>
      <c r="D6267" s="2" t="str">
        <f t="shared" si="96"/>
        <v>Error?</v>
      </c>
      <c r="E6267" s="2" t="s">
        <v>190</v>
      </c>
    </row>
    <row r="6268" spans="1:5" x14ac:dyDescent="0.2">
      <c r="A6268">
        <v>6207</v>
      </c>
      <c r="B6268" s="138">
        <f>'Acct Summary 7-8'!D82</f>
        <v>-33393</v>
      </c>
      <c r="D6268" s="2" t="str">
        <f t="shared" si="96"/>
        <v>Error?</v>
      </c>
      <c r="E6268" s="2" t="s">
        <v>190</v>
      </c>
    </row>
    <row r="6269" spans="1:5" x14ac:dyDescent="0.2">
      <c r="A6269">
        <v>6208</v>
      </c>
      <c r="B6269" s="138">
        <f>'Acct Summary 7-8'!E82</f>
        <v>-34008</v>
      </c>
      <c r="D6269" s="2" t="str">
        <f t="shared" si="96"/>
        <v>Error?</v>
      </c>
      <c r="E6269" s="2" t="s">
        <v>190</v>
      </c>
    </row>
    <row r="6270" spans="1:5" x14ac:dyDescent="0.2">
      <c r="A6270">
        <v>6209</v>
      </c>
      <c r="B6270" s="138">
        <f>'Acct Summary 7-8'!F82</f>
        <v>432919</v>
      </c>
      <c r="D6270" s="2" t="str">
        <f t="shared" si="96"/>
        <v>Error?</v>
      </c>
      <c r="E6270" s="2" t="s">
        <v>190</v>
      </c>
    </row>
    <row r="6271" spans="1:5" x14ac:dyDescent="0.2">
      <c r="A6271">
        <v>6210</v>
      </c>
      <c r="B6271" s="138">
        <f>'Acct Summary 7-8'!G82</f>
        <v>-21383</v>
      </c>
      <c r="D6271" s="2" t="str">
        <f t="shared" ref="D6271:D6334" si="97">IF(ISBLANK(B6271),"OK",IF(A6271-B6271=0,"OK","Error?"))</f>
        <v>Error?</v>
      </c>
      <c r="E6271" s="2" t="s">
        <v>190</v>
      </c>
    </row>
    <row r="6272" spans="1:5" x14ac:dyDescent="0.2">
      <c r="A6272">
        <v>6211</v>
      </c>
      <c r="B6272" s="138">
        <f>'Acct Summary 7-8'!H82</f>
        <v>2674053</v>
      </c>
      <c r="D6272" s="2" t="str">
        <f t="shared" si="97"/>
        <v>Error?</v>
      </c>
      <c r="E6272" s="2" t="s">
        <v>190</v>
      </c>
    </row>
    <row r="6273" spans="1:5" x14ac:dyDescent="0.2">
      <c r="A6273">
        <v>6212</v>
      </c>
      <c r="B6273" s="138">
        <f>'Acct Summary 7-8'!I82</f>
        <v>40304</v>
      </c>
      <c r="D6273" s="2" t="str">
        <f t="shared" si="97"/>
        <v>Error?</v>
      </c>
      <c r="E6273" s="2" t="s">
        <v>190</v>
      </c>
    </row>
    <row r="6274" spans="1:5" x14ac:dyDescent="0.2">
      <c r="A6274">
        <v>6213</v>
      </c>
      <c r="B6274" s="138">
        <f>'Acct Summary 7-8'!J82</f>
        <v>-5199</v>
      </c>
      <c r="D6274" s="2" t="str">
        <f t="shared" si="97"/>
        <v>Error?</v>
      </c>
      <c r="E6274" s="2" t="s">
        <v>190</v>
      </c>
    </row>
    <row r="6275" spans="1:5" x14ac:dyDescent="0.2">
      <c r="A6275">
        <v>6214</v>
      </c>
      <c r="B6275" s="138">
        <f>'Acct Summary 7-8'!K82</f>
        <v>27271</v>
      </c>
      <c r="D6275" s="2" t="str">
        <f t="shared" si="97"/>
        <v>Error?</v>
      </c>
      <c r="E6275" s="2" t="s">
        <v>190</v>
      </c>
    </row>
    <row r="6276" spans="1:5" x14ac:dyDescent="0.2">
      <c r="A6276">
        <v>6215</v>
      </c>
      <c r="B6276" s="138">
        <f>'Acct Summary 7-8'!C83</f>
        <v>7.2692360444383486E-2</v>
      </c>
      <c r="D6276" s="2" t="str">
        <f t="shared" si="97"/>
        <v>Error?</v>
      </c>
      <c r="E6276" s="2" t="s">
        <v>190</v>
      </c>
    </row>
    <row r="6277" spans="1:5" x14ac:dyDescent="0.2">
      <c r="A6277">
        <v>6216</v>
      </c>
      <c r="B6277" s="138">
        <f>'Acct Summary 7-8'!D83</f>
        <v>-0.17886583856920185</v>
      </c>
      <c r="D6277" s="2" t="str">
        <f t="shared" si="97"/>
        <v>Error?</v>
      </c>
      <c r="E6277" s="2" t="s">
        <v>190</v>
      </c>
    </row>
    <row r="6278" spans="1:5" x14ac:dyDescent="0.2">
      <c r="A6278">
        <v>6217</v>
      </c>
      <c r="B6278" s="138">
        <f>'Acct Summary 7-8'!E83</f>
        <v>-0.18908775499991659</v>
      </c>
      <c r="D6278" s="2" t="str">
        <f t="shared" si="97"/>
        <v>Error?</v>
      </c>
      <c r="E6278" s="2" t="s">
        <v>190</v>
      </c>
    </row>
    <row r="6279" spans="1:5" x14ac:dyDescent="0.2">
      <c r="A6279">
        <v>6218</v>
      </c>
      <c r="B6279" s="138">
        <f>'Acct Summary 7-8'!F83</f>
        <v>0.42511599589534099</v>
      </c>
      <c r="D6279" s="2" t="str">
        <f t="shared" si="97"/>
        <v>Error?</v>
      </c>
      <c r="E6279" s="2" t="s">
        <v>190</v>
      </c>
    </row>
    <row r="6280" spans="1:5" x14ac:dyDescent="0.2">
      <c r="A6280">
        <v>6219</v>
      </c>
      <c r="B6280" s="138">
        <f>'Acct Summary 7-8'!G83</f>
        <v>-2.8000974265765033E-2</v>
      </c>
      <c r="D6280" s="2" t="str">
        <f t="shared" si="97"/>
        <v>Error?</v>
      </c>
      <c r="E6280" s="2" t="s">
        <v>190</v>
      </c>
    </row>
    <row r="6281" spans="1:5" x14ac:dyDescent="0.2">
      <c r="A6281">
        <v>6220</v>
      </c>
      <c r="B6281" s="138">
        <f>'Acct Summary 7-8'!H83</f>
        <v>0.78419287360521861</v>
      </c>
      <c r="D6281" s="2" t="str">
        <f t="shared" si="97"/>
        <v>Error?</v>
      </c>
      <c r="E6281" s="2" t="s">
        <v>190</v>
      </c>
    </row>
    <row r="6282" spans="1:5" x14ac:dyDescent="0.2">
      <c r="A6282">
        <v>6221</v>
      </c>
      <c r="B6282" s="138">
        <f>'Acct Summary 7-8'!I83</f>
        <v>2.1792766492864525E-2</v>
      </c>
      <c r="D6282" s="2" t="str">
        <f t="shared" si="97"/>
        <v>Error?</v>
      </c>
      <c r="E6282" s="2" t="s">
        <v>190</v>
      </c>
    </row>
    <row r="6283" spans="1:5" x14ac:dyDescent="0.2">
      <c r="A6283">
        <v>6222</v>
      </c>
      <c r="B6283" s="138">
        <f>'Acct Summary 7-8'!J83</f>
        <v>-4.6362352236165314E-3</v>
      </c>
      <c r="D6283" s="2" t="str">
        <f t="shared" si="97"/>
        <v>Error?</v>
      </c>
      <c r="E6283" s="2" t="s">
        <v>190</v>
      </c>
    </row>
    <row r="6284" spans="1:5" x14ac:dyDescent="0.2">
      <c r="A6284">
        <v>6223</v>
      </c>
      <c r="B6284" s="138">
        <f>'Acct Summary 7-8'!K83</f>
        <v>0.14012074502247912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483589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483589</v>
      </c>
      <c r="D6301" s="2" t="str">
        <f t="shared" si="97"/>
        <v>Error?</v>
      </c>
      <c r="E6301" s="2" t="s">
        <v>190</v>
      </c>
    </row>
    <row r="6302" spans="1:5" x14ac:dyDescent="0.2">
      <c r="A6302">
        <v>6241</v>
      </c>
      <c r="B6302" s="138">
        <f>'Revenues 9-14'!J14</f>
        <v>2932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2932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4158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4158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3275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490679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4827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495878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490679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300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300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117309</v>
      </c>
      <c r="D7147" s="2" t="str">
        <f t="shared" si="110"/>
        <v>Error?</v>
      </c>
    </row>
    <row r="7148" spans="1:4" x14ac:dyDescent="0.2">
      <c r="A7148">
        <v>7087</v>
      </c>
      <c r="B7148" s="138">
        <f>'Expenditures 15-22'!F322</f>
        <v>5107</v>
      </c>
      <c r="D7148" s="2" t="str">
        <f t="shared" si="110"/>
        <v>Error?</v>
      </c>
    </row>
    <row r="7149" spans="1:4" x14ac:dyDescent="0.2">
      <c r="A7149">
        <v>7088</v>
      </c>
      <c r="B7149" s="138">
        <f>'Expenditures 15-22'!G322</f>
        <v>17086</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139502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356376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356376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356376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117309</v>
      </c>
      <c r="D7201" s="2" t="str">
        <f t="shared" si="111"/>
        <v>Error?</v>
      </c>
    </row>
    <row r="7202" spans="1:4" x14ac:dyDescent="0.2">
      <c r="A7202">
        <v>7141</v>
      </c>
      <c r="B7202" s="138">
        <f>'Expenditures 15-22'!F330</f>
        <v>5107</v>
      </c>
      <c r="D7202" s="2" t="str">
        <f t="shared" si="111"/>
        <v>Error?</v>
      </c>
    </row>
    <row r="7203" spans="1:4" x14ac:dyDescent="0.2">
      <c r="A7203">
        <v>7142</v>
      </c>
      <c r="B7203" s="138">
        <f>'Expenditures 15-22'!G330</f>
        <v>17086</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495878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356376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117309</v>
      </c>
      <c r="D7218" s="2" t="str">
        <f t="shared" si="111"/>
        <v>Error?</v>
      </c>
    </row>
    <row r="7219" spans="1:4" x14ac:dyDescent="0.2">
      <c r="A7219">
        <v>7158</v>
      </c>
      <c r="B7219" s="138">
        <f>'Expenditures 15-22'!F342</f>
        <v>5107</v>
      </c>
      <c r="D7219" s="2" t="str">
        <f t="shared" si="111"/>
        <v>Error?</v>
      </c>
    </row>
    <row r="7220" spans="1:4" x14ac:dyDescent="0.2">
      <c r="A7220">
        <v>7159</v>
      </c>
      <c r="B7220" s="138">
        <f>'Expenditures 15-22'!G342</f>
        <v>17086</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495878</v>
      </c>
      <c r="D7224" s="2" t="str">
        <f t="shared" si="111"/>
        <v>Error?</v>
      </c>
    </row>
    <row r="7225" spans="1:4" x14ac:dyDescent="0.2">
      <c r="A7225">
        <v>7164</v>
      </c>
      <c r="B7225" s="138">
        <f>'Expenditures 15-22'!K343</f>
        <v>-5199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347699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701779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855</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3275</v>
      </c>
      <c r="D7712" s="2" t="str">
        <f t="shared" si="126"/>
        <v>Error?</v>
      </c>
      <c r="E7712" s="2" t="s">
        <v>827</v>
      </c>
    </row>
    <row r="7713" spans="1:6" x14ac:dyDescent="0.2">
      <c r="A7713">
        <v>7652</v>
      </c>
      <c r="B7713" s="138">
        <f>'Rest Tax Levies-Tort Im 25'!J8</f>
        <v>658008</v>
      </c>
      <c r="D7713" s="2" t="str">
        <f t="shared" si="126"/>
        <v>Error?</v>
      </c>
      <c r="E7713" s="2" t="s">
        <v>827</v>
      </c>
    </row>
    <row r="7714" spans="1:6" x14ac:dyDescent="0.2">
      <c r="A7714">
        <v>7653</v>
      </c>
      <c r="B7714" s="138">
        <f>'Rest Tax Levies-Tort Im 25'!K9</f>
        <v>12299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658863</v>
      </c>
      <c r="D7718" s="2" t="str">
        <f t="shared" si="126"/>
        <v>Error?</v>
      </c>
      <c r="E7718" s="2" t="s">
        <v>827</v>
      </c>
    </row>
    <row r="7719" spans="1:6" x14ac:dyDescent="0.2">
      <c r="A7719">
        <v>7658</v>
      </c>
      <c r="B7719" s="138">
        <f>'Rest Tax Levies-Tort Im 25'!K12</f>
        <v>15574</v>
      </c>
      <c r="D7719" s="2" t="str">
        <f t="shared" si="126"/>
        <v>Error?</v>
      </c>
      <c r="E7719" s="2" t="s">
        <v>827</v>
      </c>
    </row>
    <row r="7720" spans="1:6" x14ac:dyDescent="0.2">
      <c r="A7720">
        <v>7659</v>
      </c>
      <c r="B7720" s="138">
        <f>'Rest Tax Levies-Tort Im 25'!H14</f>
        <v>28619</v>
      </c>
      <c r="D7720" s="2" t="str">
        <f t="shared" si="126"/>
        <v>Error?</v>
      </c>
      <c r="E7720" s="2" t="s">
        <v>827</v>
      </c>
    </row>
    <row r="7721" spans="1:6" x14ac:dyDescent="0.2">
      <c r="A7721">
        <v>7660</v>
      </c>
      <c r="B7721" s="138">
        <f>'Rest Tax Levies-Tort Im 25'!K14</f>
        <v>15574</v>
      </c>
      <c r="D7721" s="2" t="str">
        <f t="shared" si="126"/>
        <v>Error?</v>
      </c>
      <c r="E7721" s="2" t="s">
        <v>827</v>
      </c>
    </row>
    <row r="7722" spans="1:6" x14ac:dyDescent="0.2">
      <c r="A7722">
        <v>7661</v>
      </c>
      <c r="B7722" s="138">
        <f>'Rest Tax Levies-Tort Im 25'!J15</f>
        <v>535036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535036</v>
      </c>
      <c r="D7730" s="2" t="str">
        <f t="shared" si="126"/>
        <v>Error?</v>
      </c>
      <c r="E7730" s="2" t="s">
        <v>827</v>
      </c>
    </row>
    <row r="7731" spans="1:6" x14ac:dyDescent="0.2">
      <c r="A7731">
        <v>7670</v>
      </c>
      <c r="B7731" s="138">
        <f>'Revenues 9-14'!H103</f>
        <v>658008</v>
      </c>
      <c r="D7731" s="2" t="str">
        <f t="shared" si="126"/>
        <v>Error?</v>
      </c>
      <c r="E7731" s="2" t="s">
        <v>827</v>
      </c>
    </row>
    <row r="7732" spans="1:6" x14ac:dyDescent="0.2">
      <c r="A7732">
        <v>7671</v>
      </c>
      <c r="B7732" s="138">
        <f>'Rest Tax Levies-Tort Im 25'!J24</f>
        <v>825606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825606</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284509.38</v>
      </c>
      <c r="D7797" s="2" t="str">
        <f t="shared" si="127"/>
        <v>Error?</v>
      </c>
      <c r="E7797" s="4" t="s">
        <v>1904</v>
      </c>
    </row>
    <row r="7798" spans="1:5" x14ac:dyDescent="0.2">
      <c r="A7798">
        <v>7737</v>
      </c>
      <c r="B7798" s="138">
        <f>'Contracts Paid in CY 29'!F141</f>
        <v>204408.38</v>
      </c>
      <c r="D7798" s="2" t="str">
        <f t="shared" si="127"/>
        <v>Error?</v>
      </c>
      <c r="E7798" s="4" t="s">
        <v>1904</v>
      </c>
    </row>
    <row r="7799" spans="1:5" x14ac:dyDescent="0.2">
      <c r="A7799">
        <v>7738</v>
      </c>
      <c r="B7799" s="138">
        <f>'Contracts Paid in CY 29'!G141</f>
        <v>71101</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5" t="s">
        <v>1191</v>
      </c>
      <c r="B2" s="2385"/>
      <c r="C2" s="2385"/>
      <c r="D2" s="2385"/>
      <c r="E2" s="2385"/>
      <c r="F2" s="2385"/>
      <c r="G2" s="2385"/>
      <c r="H2" s="2385"/>
      <c r="I2" s="2385"/>
      <c r="J2" s="2385"/>
      <c r="K2" s="2385"/>
      <c r="L2" s="2385"/>
    </row>
    <row r="3" spans="1:29" ht="13.5" customHeight="1" x14ac:dyDescent="0.2">
      <c r="A3" s="2416" t="s">
        <v>1190</v>
      </c>
      <c r="B3" s="2416"/>
      <c r="C3" s="2416"/>
      <c r="D3" s="2416"/>
      <c r="E3" s="2416"/>
      <c r="F3" s="2416"/>
      <c r="G3" s="2416"/>
      <c r="H3" s="2416"/>
      <c r="I3" s="2416"/>
      <c r="J3" s="2416"/>
      <c r="K3" s="2416"/>
      <c r="L3" s="2416"/>
    </row>
    <row r="4" spans="1:29" ht="13.5" customHeight="1" x14ac:dyDescent="0.2">
      <c r="A4" s="2385" t="s">
        <v>1989</v>
      </c>
      <c r="B4" s="2406"/>
      <c r="C4" s="2406"/>
      <c r="D4" s="2406"/>
      <c r="E4" s="2406"/>
      <c r="F4" s="2406"/>
      <c r="G4" s="2406"/>
      <c r="H4" s="2406"/>
      <c r="I4" s="2406"/>
      <c r="J4" s="2406"/>
      <c r="K4" s="2406"/>
      <c r="L4" s="240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7" t="str">
        <f>COVER!A17</f>
        <v>Trico CUSD 176</v>
      </c>
      <c r="B7" s="2408"/>
      <c r="C7" s="2408"/>
      <c r="D7" s="2409"/>
      <c r="E7" s="2410">
        <f>COVER!A13</f>
        <v>30039176026</v>
      </c>
      <c r="F7" s="2411"/>
      <c r="G7" s="2417" t="str">
        <f>COVER!T23</f>
        <v>066-003998</v>
      </c>
      <c r="H7" s="2418"/>
      <c r="I7" s="2418"/>
      <c r="J7" s="2418"/>
      <c r="K7" s="2418"/>
      <c r="L7" s="241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0"/>
      <c r="B9" s="2421"/>
      <c r="C9" s="2421"/>
      <c r="D9" s="2421"/>
      <c r="E9" s="2421"/>
      <c r="F9" s="2422"/>
      <c r="G9" s="2391" t="str">
        <f>COVER!T13</f>
        <v>Kemper CPA Group, LLP</v>
      </c>
      <c r="H9" s="2423"/>
      <c r="I9" s="2423"/>
      <c r="J9" s="2423"/>
      <c r="K9" s="2423"/>
      <c r="L9" s="2424"/>
    </row>
    <row r="10" spans="1:29" ht="13.5" customHeight="1" x14ac:dyDescent="0.2">
      <c r="A10" s="2397" t="str">
        <f>COVER!A38</f>
        <v>Larry Lovel</v>
      </c>
      <c r="B10" s="2398"/>
      <c r="C10" s="2398"/>
      <c r="D10" s="2398"/>
      <c r="E10" s="2398"/>
      <c r="F10" s="2399"/>
      <c r="G10" s="2391" t="str">
        <f>COVER!T17</f>
        <v>3401 Professional Park Drive, PO BOX 129</v>
      </c>
      <c r="H10" s="2392"/>
      <c r="I10" s="2392"/>
      <c r="J10" s="2392"/>
      <c r="K10" s="2392"/>
      <c r="L10" s="2393"/>
    </row>
    <row r="11" spans="1:29" ht="13.5" customHeight="1" x14ac:dyDescent="0.2">
      <c r="A11" s="1184" t="s">
        <v>1519</v>
      </c>
      <c r="B11" s="1185"/>
      <c r="C11" s="1186"/>
      <c r="D11" s="1191"/>
      <c r="E11" s="1186"/>
      <c r="F11" s="1190"/>
      <c r="G11" s="2391" t="str">
        <f>COVER!T19</f>
        <v>Marion</v>
      </c>
      <c r="H11" s="2392"/>
      <c r="I11" s="2392"/>
      <c r="J11" s="2392"/>
      <c r="K11" s="2392"/>
      <c r="L11" s="2393"/>
    </row>
    <row r="12" spans="1:29" ht="13.5" customHeight="1" x14ac:dyDescent="0.2">
      <c r="A12" s="2400" t="s">
        <v>1518</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1520</v>
      </c>
      <c r="H13" s="2387"/>
      <c r="I13" s="2403" t="str">
        <f>COVER!T25</f>
        <v xml:space="preserve">kwalker@kcpag.com </v>
      </c>
      <c r="J13" s="2404"/>
      <c r="K13" s="2404"/>
      <c r="L13" s="2405"/>
    </row>
    <row r="14" spans="1:29" ht="13.5" customHeight="1" x14ac:dyDescent="0.2">
      <c r="A14" s="2391" t="str">
        <f>COVER!A19</f>
        <v>16411 Highway 4, P.O. BOX 220</v>
      </c>
      <c r="B14" s="2392"/>
      <c r="C14" s="2392"/>
      <c r="D14" s="2392"/>
      <c r="E14" s="2392"/>
      <c r="F14" s="2393"/>
      <c r="G14" s="1195" t="s">
        <v>1185</v>
      </c>
      <c r="H14" s="1193"/>
      <c r="I14" s="1193"/>
      <c r="J14" s="1193"/>
      <c r="K14" s="1193"/>
      <c r="L14" s="1194"/>
    </row>
    <row r="15" spans="1:29" ht="13.5" customHeight="1" x14ac:dyDescent="0.2">
      <c r="A15" s="2391" t="str">
        <f>COVER!A21</f>
        <v>Campbell Hill</v>
      </c>
      <c r="B15" s="2392"/>
      <c r="C15" s="2392"/>
      <c r="D15" s="2392"/>
      <c r="E15" s="2392"/>
      <c r="F15" s="2393"/>
      <c r="G15" s="2388" t="str">
        <f>COVER!T15</f>
        <v>Kimberly Walker, CPA</v>
      </c>
      <c r="H15" s="2389"/>
      <c r="I15" s="2389"/>
      <c r="J15" s="2389"/>
      <c r="K15" s="2389"/>
      <c r="L15" s="2390"/>
    </row>
    <row r="16" spans="1:29" ht="12.2" customHeight="1" x14ac:dyDescent="0.2">
      <c r="A16" s="2413">
        <f>COVER!A25</f>
        <v>62916</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5" t="s">
        <v>1184</v>
      </c>
      <c r="H17" s="1193"/>
      <c r="I17" s="1193"/>
      <c r="J17" s="1193"/>
      <c r="K17" s="1197" t="s">
        <v>1183</v>
      </c>
      <c r="L17" s="1190"/>
      <c r="M17" s="1183"/>
    </row>
    <row r="18" spans="1:13" ht="12.2" customHeight="1" x14ac:dyDescent="0.2">
      <c r="A18" s="2397"/>
      <c r="B18" s="2398"/>
      <c r="C18" s="2398"/>
      <c r="D18" s="2398"/>
      <c r="E18" s="2398"/>
      <c r="F18" s="2399"/>
      <c r="G18" s="2407" t="str">
        <f>COVER!T21</f>
        <v>618-997-3055</v>
      </c>
      <c r="H18" s="2408"/>
      <c r="I18" s="2408"/>
      <c r="J18" s="2408"/>
      <c r="K18" s="2407" t="str">
        <f>COVER!X21</f>
        <v>618-997-5121</v>
      </c>
      <c r="L18" s="241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Trico CUSD 176</v>
      </c>
      <c r="B1" s="2406"/>
      <c r="C1" s="2406"/>
      <c r="D1" s="2406"/>
    </row>
    <row r="2" spans="1:11" s="1212" customFormat="1" ht="12.75" x14ac:dyDescent="0.2">
      <c r="A2" s="2430">
        <f>'Single Audit Cover'!E7</f>
        <v>30039176026</v>
      </c>
      <c r="B2" s="2431"/>
      <c r="C2" s="2431"/>
      <c r="D2" s="2431"/>
    </row>
    <row r="3" spans="1:11" s="1212" customFormat="1" ht="12.75" x14ac:dyDescent="0.2">
      <c r="A3" s="2429" t="s">
        <v>1513</v>
      </c>
      <c r="B3" s="2406"/>
      <c r="C3" s="2406"/>
      <c r="D3" s="240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7" sqref="D4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Trico CUSD 176</v>
      </c>
      <c r="B1" s="2433"/>
      <c r="C1" s="2433"/>
      <c r="D1" s="2433"/>
      <c r="E1" s="2433"/>
    </row>
    <row r="2" spans="1:5" x14ac:dyDescent="0.2">
      <c r="A2" s="2434">
        <f>'Single Audit Cover'!E7</f>
        <v>30039176026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749428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28429</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-55701</v>
      </c>
    </row>
    <row r="19" spans="1:4" ht="13.5" thickBot="1" x14ac:dyDescent="0.25">
      <c r="A19" s="1262" t="s">
        <v>1235</v>
      </c>
      <c r="D19" s="1263">
        <f>SUM(D10:D17)</f>
        <v>722156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722156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722156</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Trico CUSD 176</v>
      </c>
      <c r="C1" s="2437"/>
      <c r="D1" s="2437"/>
      <c r="E1" s="2437"/>
      <c r="F1" s="2437"/>
      <c r="G1" s="2437"/>
      <c r="H1" s="2437"/>
      <c r="I1" s="2437"/>
      <c r="J1" s="2437"/>
      <c r="K1" s="2437"/>
      <c r="L1" s="2437"/>
      <c r="M1" s="2437"/>
    </row>
    <row r="2" spans="2:14" ht="15" x14ac:dyDescent="0.2">
      <c r="B2" s="2438">
        <f>'Single Audit Cover'!E7</f>
        <v>30039176026</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Trico CUSD 176</v>
      </c>
      <c r="B1" s="2450"/>
      <c r="C1" s="2450"/>
      <c r="D1" s="2450"/>
      <c r="E1" s="2450"/>
      <c r="F1" s="2450"/>
    </row>
    <row r="2" spans="1:7" ht="13.5" customHeight="1" x14ac:dyDescent="0.2">
      <c r="A2" s="2438">
        <f>'Single Audit Cover'!E7</f>
        <v>30039176026</v>
      </c>
      <c r="B2" s="2438"/>
      <c r="C2" s="2438"/>
      <c r="D2" s="2438"/>
      <c r="E2" s="2438"/>
      <c r="F2" s="2438"/>
      <c r="G2" s="1272"/>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1728</v>
      </c>
      <c r="C6" s="317"/>
      <c r="D6" s="317"/>
    </row>
    <row r="7" spans="1:7" ht="60.95" customHeight="1" x14ac:dyDescent="0.2">
      <c r="A7" s="2449" t="s">
        <v>1729</v>
      </c>
      <c r="B7" s="2449"/>
      <c r="C7" s="2449"/>
      <c r="D7" s="2449"/>
      <c r="E7" s="2449"/>
      <c r="F7" s="244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9" t="s">
        <v>1731</v>
      </c>
      <c r="B13" s="2449"/>
      <c r="C13" s="2449"/>
      <c r="D13" s="2449"/>
      <c r="E13" s="2449"/>
      <c r="F13" s="2449"/>
    </row>
    <row r="14" spans="1:7" ht="9.75" customHeight="1" x14ac:dyDescent="0.2">
      <c r="C14" s="1257"/>
      <c r="D14" s="1257"/>
    </row>
    <row r="15" spans="1:7" ht="13.5" customHeight="1" x14ac:dyDescent="0.2">
      <c r="C15" s="1846" t="s">
        <v>1270</v>
      </c>
      <c r="D15" s="2447" t="s">
        <v>1269</v>
      </c>
      <c r="E15" s="2447"/>
      <c r="F15" s="2447"/>
    </row>
    <row r="16" spans="1:7" ht="13.5" customHeight="1" x14ac:dyDescent="0.2">
      <c r="A16" s="1279"/>
      <c r="B16" s="1273" t="s">
        <v>1268</v>
      </c>
      <c r="C16" s="1846" t="s">
        <v>1267</v>
      </c>
      <c r="D16" s="2448" t="s">
        <v>1588</v>
      </c>
      <c r="E16" s="2448"/>
      <c r="F16" s="2448"/>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97" colorId="8" zoomScale="110" zoomScaleNormal="110" workbookViewId="0">
      <selection activeCell="B15" sqref="B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t="s">
        <v>2067</v>
      </c>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2067</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t="s">
        <v>2141</v>
      </c>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2142</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Trico CUSD 176</v>
      </c>
      <c r="C1" s="2465"/>
      <c r="D1" s="2465"/>
      <c r="E1" s="2465"/>
      <c r="F1" s="2465"/>
      <c r="G1" s="2465"/>
      <c r="H1" s="2465"/>
      <c r="I1" s="2465"/>
      <c r="J1" s="1406"/>
    </row>
    <row r="2" spans="2:10" s="317" customFormat="1" ht="12.75" customHeight="1" x14ac:dyDescent="0.2">
      <c r="B2" s="2466">
        <f>'Single Audit Cover'!E7</f>
        <v>30039176026</v>
      </c>
      <c r="C2" s="2467"/>
      <c r="D2" s="2467"/>
      <c r="E2" s="2467"/>
      <c r="F2" s="2467"/>
      <c r="G2" s="2467"/>
      <c r="H2" s="2467"/>
      <c r="I2" s="2467"/>
      <c r="J2" s="1406"/>
    </row>
    <row r="3" spans="2:10" s="317" customFormat="1" ht="12.75" customHeight="1" x14ac:dyDescent="0.2">
      <c r="B3" s="2468" t="s">
        <v>1285</v>
      </c>
      <c r="C3" s="2469"/>
      <c r="D3" s="2469"/>
      <c r="E3" s="2469"/>
      <c r="F3" s="2469"/>
      <c r="G3" s="2469"/>
      <c r="H3" s="2469"/>
      <c r="I3" s="2469"/>
      <c r="J3" s="1407"/>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8" t="s">
        <v>1284</v>
      </c>
      <c r="C7" s="2469"/>
      <c r="D7" s="2469"/>
      <c r="E7" s="2469"/>
      <c r="F7" s="2469"/>
      <c r="G7" s="2469"/>
      <c r="H7" s="2469"/>
      <c r="I7" s="246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0"/>
      <c r="D11" s="247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1"/>
      <c r="E29" s="2471"/>
      <c r="F29" s="2471"/>
      <c r="G29" s="2471"/>
      <c r="H29" s="2471"/>
      <c r="I29" s="247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2" t="s">
        <v>1751</v>
      </c>
      <c r="D37" s="2473"/>
      <c r="E37" s="2473"/>
      <c r="F37" s="2474"/>
      <c r="G37" s="2472" t="s">
        <v>1592</v>
      </c>
      <c r="H37" s="2473"/>
      <c r="I37" s="2474"/>
    </row>
    <row r="38" spans="2:9" ht="16.5" customHeight="1" x14ac:dyDescent="0.2">
      <c r="B38" s="1428"/>
      <c r="C38" s="2460"/>
      <c r="D38" s="2461"/>
      <c r="E38" s="2461"/>
      <c r="F38" s="2462"/>
      <c r="G38" s="2475"/>
      <c r="H38" s="2476"/>
      <c r="I38" s="2477"/>
    </row>
    <row r="39" spans="2:9" ht="16.5" customHeight="1" x14ac:dyDescent="0.2">
      <c r="B39" s="1428"/>
      <c r="C39" s="2460"/>
      <c r="D39" s="2461"/>
      <c r="E39" s="2461"/>
      <c r="F39" s="2462"/>
      <c r="G39" s="2463"/>
      <c r="H39" s="2463"/>
      <c r="I39" s="2463"/>
    </row>
    <row r="40" spans="2:9" ht="16.5" customHeight="1" x14ac:dyDescent="0.2">
      <c r="B40" s="1428"/>
      <c r="C40" s="2460"/>
      <c r="D40" s="2461"/>
      <c r="E40" s="2461"/>
      <c r="F40" s="2462"/>
      <c r="G40" s="2463"/>
      <c r="H40" s="2463"/>
      <c r="I40" s="2463"/>
    </row>
    <row r="41" spans="2:9" ht="16.5" customHeight="1" x14ac:dyDescent="0.2">
      <c r="B41" s="1428"/>
      <c r="C41" s="2460"/>
      <c r="D41" s="2461"/>
      <c r="E41" s="2461"/>
      <c r="F41" s="2462"/>
      <c r="G41" s="2463"/>
      <c r="H41" s="2463"/>
      <c r="I41" s="2463"/>
    </row>
    <row r="42" spans="2:9" ht="16.5" customHeight="1" x14ac:dyDescent="0.2">
      <c r="B42" s="1428"/>
      <c r="C42" s="2460"/>
      <c r="D42" s="2461"/>
      <c r="E42" s="2461"/>
      <c r="F42" s="2462"/>
      <c r="G42" s="2463"/>
      <c r="H42" s="2463"/>
      <c r="I42" s="2463"/>
    </row>
    <row r="43" spans="2:9" ht="16.5" customHeight="1" x14ac:dyDescent="0.2">
      <c r="B43" s="1428"/>
      <c r="C43" s="2453" t="s">
        <v>1593</v>
      </c>
      <c r="D43" s="2454"/>
      <c r="E43" s="2454"/>
      <c r="F43" s="2455"/>
      <c r="G43" s="2456">
        <f>SUM(G38:I42)</f>
        <v>0</v>
      </c>
      <c r="H43" s="2456"/>
      <c r="I43" s="2456"/>
    </row>
    <row r="44" spans="2:9" ht="12.75" customHeight="1" x14ac:dyDescent="0.2"/>
    <row r="45" spans="2:9" ht="12.75" customHeight="1" x14ac:dyDescent="0.2">
      <c r="B45" s="1419" t="s">
        <v>1841</v>
      </c>
      <c r="D45" s="2457">
        <v>0</v>
      </c>
      <c r="E45" s="245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9"/>
      <c r="F49" s="2459"/>
      <c r="G49" s="245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topLeftCell="A2" zoomScaleNormal="110" zoomScaleSheetLayoutView="100" workbookViewId="0">
      <selection activeCell="Q17" sqref="Q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Trico CUSD 176</v>
      </c>
      <c r="C1" s="2464"/>
      <c r="D1" s="2464"/>
      <c r="E1" s="2464"/>
      <c r="F1" s="2464"/>
      <c r="G1" s="2464"/>
      <c r="H1" s="2464"/>
      <c r="I1" s="2464"/>
      <c r="J1" s="2464"/>
      <c r="K1" s="2464"/>
      <c r="L1" s="1371"/>
      <c r="M1" s="1371"/>
    </row>
    <row r="2" spans="1:13" ht="12" customHeight="1" x14ac:dyDescent="0.2">
      <c r="B2" s="2466">
        <f>'Single Audit Cover'!E7</f>
        <v>30039176026</v>
      </c>
      <c r="C2" s="2466"/>
      <c r="D2" s="2466"/>
      <c r="E2" s="2466"/>
      <c r="F2" s="2466"/>
      <c r="G2" s="2466"/>
      <c r="H2" s="2466"/>
      <c r="I2" s="2466"/>
      <c r="J2" s="2466"/>
      <c r="K2" s="2466"/>
      <c r="L2" s="1372"/>
      <c r="M2" s="1373"/>
    </row>
    <row r="3" spans="1:13" ht="10.35" customHeight="1" x14ac:dyDescent="0.2">
      <c r="B3" s="2482" t="s">
        <v>2161</v>
      </c>
      <c r="C3" s="2482"/>
      <c r="D3" s="2482"/>
      <c r="E3" s="2482"/>
      <c r="F3" s="2482"/>
      <c r="G3" s="2482"/>
      <c r="H3" s="2482"/>
      <c r="I3" s="2482"/>
      <c r="J3" s="2482"/>
      <c r="K3" s="2482"/>
      <c r="L3" s="1940"/>
      <c r="M3" s="1940"/>
    </row>
    <row r="4" spans="1:13" ht="14.25" customHeight="1" x14ac:dyDescent="0.2">
      <c r="B4" s="2483" t="str">
        <f>'[1]Single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53.25" customHeight="1" x14ac:dyDescent="0.2">
      <c r="B14" s="2478" t="s">
        <v>2162</v>
      </c>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54.75" customHeight="1" x14ac:dyDescent="0.2">
      <c r="B17" s="2478" t="s">
        <v>2163</v>
      </c>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t="s">
        <v>2165</v>
      </c>
      <c r="C20" s="2485"/>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t="s">
        <v>2164</v>
      </c>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t="s">
        <v>2166</v>
      </c>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54" customHeight="1" x14ac:dyDescent="0.2">
      <c r="B29" s="2479" t="s">
        <v>2167</v>
      </c>
      <c r="C29" s="2479"/>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30" customHeight="1" x14ac:dyDescent="0.2">
      <c r="B32" s="2480" t="s">
        <v>2168</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Trico CUSD 176</v>
      </c>
      <c r="C1" s="2490"/>
      <c r="D1" s="2490"/>
      <c r="E1" s="2490"/>
      <c r="F1" s="2490"/>
      <c r="G1" s="2490"/>
      <c r="H1" s="2490"/>
      <c r="I1" s="2490"/>
      <c r="J1" s="2490"/>
      <c r="K1" s="2490"/>
      <c r="L1" s="1449"/>
    </row>
    <row r="2" spans="1:12" ht="12.75" customHeight="1" x14ac:dyDescent="0.2">
      <c r="B2" s="2491">
        <f>'Single Audit Cover'!E7</f>
        <v>30039176026</v>
      </c>
      <c r="C2" s="2491"/>
      <c r="D2" s="2491"/>
      <c r="E2" s="2491"/>
      <c r="F2" s="2491"/>
      <c r="G2" s="2491"/>
      <c r="H2" s="2491"/>
      <c r="I2" s="2491"/>
      <c r="J2" s="2491"/>
      <c r="K2" s="2491"/>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1"/>
      <c r="G12" s="2471"/>
      <c r="H12" s="2471"/>
      <c r="I12" s="2471"/>
      <c r="J12" s="2471"/>
      <c r="K12" s="247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6"/>
      <c r="C20" s="2486"/>
      <c r="D20" s="2486"/>
      <c r="E20" s="2486"/>
      <c r="F20" s="2486"/>
      <c r="G20" s="2486"/>
      <c r="H20" s="2486"/>
      <c r="I20" s="2486"/>
      <c r="J20" s="2486"/>
      <c r="K20" s="248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6"/>
      <c r="C23" s="2486"/>
      <c r="D23" s="2486"/>
      <c r="E23" s="2486"/>
      <c r="F23" s="2486"/>
      <c r="G23" s="2486"/>
      <c r="H23" s="2486"/>
      <c r="I23" s="2486"/>
      <c r="J23" s="2486"/>
      <c r="K23" s="248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6"/>
      <c r="C26" s="2486"/>
      <c r="D26" s="2486"/>
      <c r="E26" s="2486"/>
      <c r="F26" s="2486"/>
      <c r="G26" s="2486"/>
      <c r="H26" s="2486"/>
      <c r="I26" s="2486"/>
      <c r="J26" s="2486"/>
      <c r="K26" s="248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6"/>
      <c r="C29" s="2486"/>
      <c r="D29" s="2486"/>
      <c r="E29" s="2486"/>
      <c r="F29" s="2486"/>
      <c r="G29" s="2486"/>
      <c r="H29" s="2486"/>
      <c r="I29" s="2486"/>
      <c r="J29" s="2486"/>
      <c r="K29" s="248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6"/>
      <c r="C32" s="2486"/>
      <c r="D32" s="2486"/>
      <c r="E32" s="2486"/>
      <c r="F32" s="2486"/>
      <c r="G32" s="2486"/>
      <c r="H32" s="2486"/>
      <c r="I32" s="2486"/>
      <c r="J32" s="2486"/>
      <c r="K32" s="248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6"/>
      <c r="C35" s="2486"/>
      <c r="D35" s="2486"/>
      <c r="E35" s="2486"/>
      <c r="F35" s="2486"/>
      <c r="G35" s="2486"/>
      <c r="H35" s="2486"/>
      <c r="I35" s="2486"/>
      <c r="J35" s="2486"/>
      <c r="K35" s="248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6"/>
      <c r="C38" s="2486"/>
      <c r="D38" s="2486"/>
      <c r="E38" s="2486"/>
      <c r="F38" s="2486"/>
      <c r="G38" s="2486"/>
      <c r="H38" s="2486"/>
      <c r="I38" s="2486"/>
      <c r="J38" s="2486"/>
      <c r="K38" s="248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6"/>
      <c r="C41" s="2486"/>
      <c r="D41" s="2486"/>
      <c r="E41" s="2486"/>
      <c r="F41" s="2486"/>
      <c r="G41" s="2486"/>
      <c r="H41" s="2486"/>
      <c r="I41" s="2486"/>
      <c r="J41" s="2486"/>
      <c r="K41" s="248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Trico CUSD 176</v>
      </c>
      <c r="C1" s="2464"/>
      <c r="D1" s="2464"/>
      <c r="E1" s="1469"/>
    </row>
    <row r="2" spans="2:5" s="1279" customFormat="1" ht="12.75" customHeight="1" x14ac:dyDescent="0.2">
      <c r="B2" s="2466">
        <f>'Single Audit Cover'!E7</f>
        <v>30039176026</v>
      </c>
      <c r="C2" s="2466"/>
      <c r="D2" s="2466"/>
      <c r="E2" s="1470"/>
    </row>
    <row r="3" spans="2:5" ht="12.75" customHeight="1" x14ac:dyDescent="0.2">
      <c r="B3" s="2482" t="s">
        <v>1766</v>
      </c>
      <c r="C3" s="2482"/>
      <c r="D3" s="2482"/>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t="s">
        <v>2160</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59" sqref="B5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77646216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3.7499999999999999E-3</v>
      </c>
      <c r="G10" s="356" t="s">
        <v>1005</v>
      </c>
      <c r="H10" s="355">
        <v>2E-3</v>
      </c>
      <c r="I10" s="356" t="s">
        <v>1006</v>
      </c>
      <c r="J10" s="1732">
        <f>ROUND(D10+F10+H10,5)</f>
        <v>2.4150000000000001E-2</v>
      </c>
      <c r="K10" s="222"/>
      <c r="L10" s="355">
        <v>5.0000000000000001E-4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8372157</v>
      </c>
      <c r="E16" s="356"/>
      <c r="F16" s="1733">
        <f>SUM('Acct Summary 7-8'!C17,'Acct Summary 7-8'!D17,'Acct Summary 7-8'!F17)</f>
        <v>7856537</v>
      </c>
      <c r="G16" s="356"/>
      <c r="H16" s="1733">
        <f>SUM(D16-F16)</f>
        <v>515620</v>
      </c>
      <c r="I16" s="222"/>
      <c r="J16" s="1733">
        <f>SUM('Acct Summary 7-8'!C81,'Acct Summary 7-8'!D81,'Acct Summary 7-8'!F81,'Acct Summary 7-8'!I81)</f>
        <v>4097082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10715177.808</v>
      </c>
      <c r="I31" s="368"/>
      <c r="J31" s="222"/>
      <c r="K31" s="222"/>
      <c r="L31" s="222"/>
      <c r="M31" s="222"/>
    </row>
    <row r="32" spans="1:13" ht="13.35" customHeight="1" x14ac:dyDescent="0.2">
      <c r="B32" s="369" t="s">
        <v>2067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4975000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t="s">
        <v>2159</v>
      </c>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Z17" sqref="Z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Trico CUSD 176</v>
      </c>
      <c r="E7" s="391"/>
      <c r="G7" s="252"/>
      <c r="H7" s="387"/>
      <c r="I7" s="387"/>
      <c r="J7" s="387"/>
      <c r="K7" s="387"/>
      <c r="L7" s="329"/>
      <c r="M7" s="329"/>
      <c r="N7" s="329"/>
      <c r="O7" s="329"/>
      <c r="P7" s="329"/>
    </row>
    <row r="8" spans="1:18" ht="12.75" x14ac:dyDescent="0.2">
      <c r="A8" s="329"/>
      <c r="B8" s="329"/>
      <c r="C8" s="389" t="s">
        <v>1125</v>
      </c>
      <c r="D8" s="392">
        <f>COVER!A13</f>
        <v>30039176026</v>
      </c>
      <c r="E8" s="393"/>
      <c r="G8" s="329"/>
      <c r="H8" s="329"/>
      <c r="I8" s="329"/>
      <c r="J8" s="329"/>
      <c r="K8" s="329"/>
      <c r="L8" s="329"/>
      <c r="M8" s="329"/>
      <c r="N8" s="329"/>
      <c r="O8" s="329"/>
      <c r="P8" s="329"/>
    </row>
    <row r="9" spans="1:18" ht="12.75" x14ac:dyDescent="0.2">
      <c r="A9" s="329"/>
      <c r="B9" s="329"/>
      <c r="C9" s="389" t="s">
        <v>713</v>
      </c>
      <c r="D9" s="394" t="str">
        <f>COVER!A15</f>
        <v>Perry/Randolph/Jackson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4097082</v>
      </c>
      <c r="I12" s="404"/>
      <c r="J12" s="404"/>
      <c r="K12" s="405">
        <f>TRUNC((H12/H13*100000),5)/100000</f>
        <v>0.48936994369999998</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8372157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7856537</v>
      </c>
      <c r="I17" s="404"/>
      <c r="J17" s="416"/>
      <c r="K17" s="405">
        <f>TRUNC((H17/H18*100000),5)/100000</f>
        <v>0.93841252609999992</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8372157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4104719</v>
      </c>
      <c r="I24" s="422"/>
      <c r="J24" s="422"/>
      <c r="K24" s="423">
        <f>TRUNC(((H24/H25*100000)/100000),2)</f>
        <v>188.08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21823.713889999999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1593882.69894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4975000</v>
      </c>
      <c r="I32" s="420"/>
      <c r="J32" s="420"/>
      <c r="K32" s="423">
        <f>TRUNC(100-((((H32/H33*100))*100)/100),2)</f>
        <v>53.57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10715177.808</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L31" sqref="L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1051519</v>
      </c>
      <c r="D4" s="466">
        <v>486573</v>
      </c>
      <c r="E4" s="466">
        <v>179853</v>
      </c>
      <c r="F4" s="466">
        <v>1517206</v>
      </c>
      <c r="G4" s="466">
        <v>763652</v>
      </c>
      <c r="H4" s="466">
        <v>3409943</v>
      </c>
      <c r="I4" s="466">
        <v>1049421</v>
      </c>
      <c r="J4" s="467">
        <v>1121384</v>
      </c>
      <c r="K4" s="466">
        <v>194625</v>
      </c>
      <c r="L4" s="466">
        <v>379807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800000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1094</v>
      </c>
      <c r="D9" s="467">
        <v>120</v>
      </c>
      <c r="E9" s="467"/>
      <c r="F9" s="467">
        <v>1149</v>
      </c>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1052613</v>
      </c>
      <c r="D13" s="1737">
        <f t="shared" ref="D13:L13" si="0">SUM(D4:D12)</f>
        <v>486693</v>
      </c>
      <c r="E13" s="1737">
        <f t="shared" si="0"/>
        <v>179853</v>
      </c>
      <c r="F13" s="1737">
        <f t="shared" si="0"/>
        <v>1518355</v>
      </c>
      <c r="G13" s="1737">
        <f t="shared" si="0"/>
        <v>763652</v>
      </c>
      <c r="H13" s="1737">
        <f t="shared" si="0"/>
        <v>3409943</v>
      </c>
      <c r="I13" s="1737">
        <f t="shared" si="0"/>
        <v>1849421</v>
      </c>
      <c r="J13" s="1737">
        <f t="shared" si="0"/>
        <v>1121384</v>
      </c>
      <c r="K13" s="1737">
        <f t="shared" si="0"/>
        <v>194625</v>
      </c>
      <c r="L13" s="1737">
        <f t="shared" si="0"/>
        <v>379807</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43000</v>
      </c>
      <c r="N16" s="484"/>
    </row>
    <row r="17" spans="1:14" s="485" customFormat="1" ht="12.75" customHeight="1" x14ac:dyDescent="0.2">
      <c r="A17" s="482" t="s">
        <v>1403</v>
      </c>
      <c r="B17" s="483">
        <v>230</v>
      </c>
      <c r="C17" s="477"/>
      <c r="D17" s="477"/>
      <c r="E17" s="477"/>
      <c r="F17" s="477"/>
      <c r="G17" s="477"/>
      <c r="H17" s="477"/>
      <c r="I17" s="477"/>
      <c r="J17" s="477"/>
      <c r="K17" s="477"/>
      <c r="L17" s="477"/>
      <c r="M17" s="467">
        <v>4234132</v>
      </c>
      <c r="N17" s="484"/>
    </row>
    <row r="18" spans="1:14" s="485" customFormat="1" ht="12.75" customHeight="1" x14ac:dyDescent="0.2">
      <c r="A18" s="482" t="s">
        <v>1404</v>
      </c>
      <c r="B18" s="483">
        <v>240</v>
      </c>
      <c r="C18" s="477"/>
      <c r="D18" s="477"/>
      <c r="E18" s="477"/>
      <c r="F18" s="477"/>
      <c r="G18" s="477"/>
      <c r="H18" s="477"/>
      <c r="I18" s="477"/>
      <c r="J18" s="477"/>
      <c r="K18" s="477"/>
      <c r="L18" s="477"/>
      <c r="M18" s="467">
        <v>287453</v>
      </c>
      <c r="N18" s="484"/>
    </row>
    <row r="19" spans="1:14" s="485" customFormat="1" ht="12.75" customHeight="1" x14ac:dyDescent="0.2">
      <c r="A19" s="482" t="s">
        <v>1405</v>
      </c>
      <c r="B19" s="483">
        <v>250</v>
      </c>
      <c r="C19" s="477"/>
      <c r="D19" s="477"/>
      <c r="E19" s="477"/>
      <c r="F19" s="477"/>
      <c r="G19" s="477"/>
      <c r="H19" s="477"/>
      <c r="I19" s="477"/>
      <c r="J19" s="477"/>
      <c r="K19" s="477"/>
      <c r="L19" s="477"/>
      <c r="M19" s="467">
        <v>541742</v>
      </c>
      <c r="N19" s="484"/>
    </row>
    <row r="20" spans="1:14" s="485" customFormat="1" ht="12.75" customHeight="1" x14ac:dyDescent="0.2">
      <c r="A20" s="482" t="s">
        <v>1406</v>
      </c>
      <c r="B20" s="483">
        <v>260</v>
      </c>
      <c r="C20" s="477"/>
      <c r="D20" s="477"/>
      <c r="E20" s="477"/>
      <c r="F20" s="477"/>
      <c r="G20" s="477"/>
      <c r="H20" s="477"/>
      <c r="I20" s="477"/>
      <c r="J20" s="477"/>
      <c r="K20" s="477"/>
      <c r="L20" s="477"/>
      <c r="M20" s="467">
        <v>23205</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179853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4795147</v>
      </c>
    </row>
    <row r="23" spans="1:14" ht="13.5" customHeight="1" thickBot="1" x14ac:dyDescent="0.25">
      <c r="A23" s="1736" t="s">
        <v>643</v>
      </c>
      <c r="B23" s="1741"/>
      <c r="C23" s="468"/>
      <c r="D23" s="468"/>
      <c r="E23" s="468"/>
      <c r="F23" s="468"/>
      <c r="G23" s="468"/>
      <c r="H23" s="468"/>
      <c r="I23" s="468"/>
      <c r="J23" s="468"/>
      <c r="K23" s="468"/>
      <c r="L23" s="468"/>
      <c r="M23" s="1688">
        <f>SUM(M15:M22)</f>
        <v>5129532</v>
      </c>
      <c r="N23" s="1688">
        <f>SUM(N21:N22)</f>
        <v>4975000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v>300000</v>
      </c>
      <c r="E25" s="478"/>
      <c r="F25" s="478">
        <v>500000</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10000</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379807</v>
      </c>
      <c r="M33" s="468"/>
      <c r="N33" s="469"/>
    </row>
    <row r="34" spans="1:14" ht="13.5" customHeight="1" thickBot="1" x14ac:dyDescent="0.25">
      <c r="A34" s="1738" t="s">
        <v>654</v>
      </c>
      <c r="B34" s="1739"/>
      <c r="C34" s="1740">
        <f>SUM(C25:C33)</f>
        <v>10000</v>
      </c>
      <c r="D34" s="1740">
        <f t="shared" ref="D34:K34" si="1">SUM(D25:D33)</f>
        <v>300000</v>
      </c>
      <c r="E34" s="1740">
        <f t="shared" si="1"/>
        <v>0</v>
      </c>
      <c r="F34" s="1740">
        <f t="shared" si="1"/>
        <v>500000</v>
      </c>
      <c r="G34" s="1740">
        <f t="shared" si="1"/>
        <v>0</v>
      </c>
      <c r="H34" s="1740">
        <f t="shared" si="1"/>
        <v>0</v>
      </c>
      <c r="I34" s="1740">
        <f t="shared" si="1"/>
        <v>0</v>
      </c>
      <c r="J34" s="1740">
        <f t="shared" si="1"/>
        <v>0</v>
      </c>
      <c r="K34" s="1740">
        <f t="shared" si="1"/>
        <v>0</v>
      </c>
      <c r="L34" s="1721">
        <f>SUM(L33)</f>
        <v>379807</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4975000</v>
      </c>
    </row>
    <row r="37" spans="1:14" ht="13.5" thickBot="1" x14ac:dyDescent="0.25">
      <c r="A37" s="1736" t="s">
        <v>653</v>
      </c>
      <c r="B37" s="1741"/>
      <c r="C37" s="477"/>
      <c r="D37" s="477"/>
      <c r="E37" s="477"/>
      <c r="F37" s="477"/>
      <c r="G37" s="477"/>
      <c r="H37" s="477"/>
      <c r="I37" s="477"/>
      <c r="J37" s="477"/>
      <c r="K37" s="477"/>
      <c r="L37" s="480"/>
      <c r="M37" s="468"/>
      <c r="N37" s="1688">
        <f>SUM(N36:N36)</f>
        <v>4975000</v>
      </c>
    </row>
    <row r="38" spans="1:14" s="329" customFormat="1" ht="13.5" customHeight="1" thickTop="1" x14ac:dyDescent="0.2">
      <c r="A38" s="496" t="s">
        <v>420</v>
      </c>
      <c r="B38" s="483">
        <v>714</v>
      </c>
      <c r="C38" s="466">
        <v>9938</v>
      </c>
      <c r="D38" s="466"/>
      <c r="E38" s="466"/>
      <c r="F38" s="466"/>
      <c r="G38" s="466"/>
      <c r="H38" s="466">
        <v>825606</v>
      </c>
      <c r="I38" s="466"/>
      <c r="J38" s="467"/>
      <c r="K38" s="466"/>
      <c r="L38" s="481"/>
      <c r="M38" s="497"/>
      <c r="N38" s="497"/>
    </row>
    <row r="39" spans="1:14" s="329" customFormat="1" ht="13.5" customHeight="1" x14ac:dyDescent="0.2">
      <c r="A39" s="496" t="s">
        <v>342</v>
      </c>
      <c r="B39" s="483">
        <v>730</v>
      </c>
      <c r="C39" s="466">
        <v>1032675</v>
      </c>
      <c r="D39" s="466">
        <v>186693</v>
      </c>
      <c r="E39" s="466">
        <v>179853</v>
      </c>
      <c r="F39" s="466">
        <v>1018355</v>
      </c>
      <c r="G39" s="466">
        <v>763652</v>
      </c>
      <c r="H39" s="466">
        <v>2584337</v>
      </c>
      <c r="I39" s="466">
        <v>1849421</v>
      </c>
      <c r="J39" s="467">
        <v>1121384</v>
      </c>
      <c r="K39" s="466">
        <v>194625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5129532</v>
      </c>
      <c r="N40" s="497"/>
    </row>
    <row r="41" spans="1:14" ht="13.5" customHeight="1" thickBot="1" x14ac:dyDescent="0.25">
      <c r="A41" s="1736" t="s">
        <v>655</v>
      </c>
      <c r="B41" s="1706"/>
      <c r="C41" s="1688">
        <f>(SUM(C34,C37,C38,C39))</f>
        <v>1052613</v>
      </c>
      <c r="D41" s="1688">
        <f t="shared" ref="D41:L41" si="2">SUM(D34,D37,D38:D39)</f>
        <v>486693</v>
      </c>
      <c r="E41" s="1688">
        <f t="shared" si="2"/>
        <v>179853</v>
      </c>
      <c r="F41" s="1688">
        <f t="shared" si="2"/>
        <v>1518355</v>
      </c>
      <c r="G41" s="1688">
        <f t="shared" si="2"/>
        <v>763652</v>
      </c>
      <c r="H41" s="1688">
        <f t="shared" si="2"/>
        <v>3409943</v>
      </c>
      <c r="I41" s="1688">
        <f t="shared" si="2"/>
        <v>1849421</v>
      </c>
      <c r="J41" s="1688">
        <f t="shared" si="2"/>
        <v>1121384</v>
      </c>
      <c r="K41" s="1688">
        <f t="shared" si="2"/>
        <v>194625</v>
      </c>
      <c r="L41" s="1688">
        <f t="shared" si="2"/>
        <v>379807</v>
      </c>
      <c r="M41" s="1688">
        <f>SUM(M40)</f>
        <v>5129532</v>
      </c>
      <c r="N41" s="1688">
        <f>SUM(N37)</f>
        <v>4975000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accompanying notes are an integral part of these financial statements.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2333701</v>
      </c>
      <c r="D4" s="1742">
        <f>'Revenues 9-14'!D109</f>
        <v>343813</v>
      </c>
      <c r="E4" s="1742">
        <f>'Revenues 9-14'!E109</f>
        <v>559339</v>
      </c>
      <c r="F4" s="1742">
        <f>'Revenues 9-14'!F109</f>
        <v>769153</v>
      </c>
      <c r="G4" s="1742">
        <f>'Revenues 9-14'!G109</f>
        <v>293065</v>
      </c>
      <c r="H4" s="1742">
        <f>'Revenues 9-14'!H109</f>
        <v>659238</v>
      </c>
      <c r="I4" s="1742">
        <f>'Revenues 9-14'!I109</f>
        <v>40304</v>
      </c>
      <c r="J4" s="1742">
        <f>'Revenues 9-14'!J109</f>
        <v>490679</v>
      </c>
      <c r="K4" s="1742">
        <f>'Revenues 9-14'!K109</f>
        <v>36271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3580709</v>
      </c>
      <c r="D6" s="1743">
        <f>'Revenues 9-14'!D170</f>
        <v>0</v>
      </c>
      <c r="E6" s="1743">
        <f>'Revenues 9-14'!E170</f>
        <v>0</v>
      </c>
      <c r="F6" s="1743">
        <f>'Revenues 9-14'!F170</f>
        <v>555049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749428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6663838</v>
      </c>
      <c r="D8" s="1688">
        <f t="shared" ref="D8:K8" si="0">SUM(D4:D7)</f>
        <v>343813</v>
      </c>
      <c r="E8" s="1688">
        <f t="shared" si="0"/>
        <v>559339</v>
      </c>
      <c r="F8" s="1688">
        <f t="shared" si="0"/>
        <v>1324202</v>
      </c>
      <c r="G8" s="1688">
        <f t="shared" si="0"/>
        <v>293065</v>
      </c>
      <c r="H8" s="1688">
        <f t="shared" si="0"/>
        <v>659238</v>
      </c>
      <c r="I8" s="1688">
        <f t="shared" si="0"/>
        <v>40304</v>
      </c>
      <c r="J8" s="1688">
        <f t="shared" si="0"/>
        <v>490679</v>
      </c>
      <c r="K8" s="1688">
        <f t="shared" si="0"/>
        <v>36271</v>
      </c>
      <c r="L8" s="347"/>
    </row>
    <row r="9" spans="1:13" ht="15.75" thickTop="1" x14ac:dyDescent="0.2">
      <c r="A9" s="514" t="s">
        <v>1653</v>
      </c>
      <c r="B9" s="515">
        <v>3998</v>
      </c>
      <c r="C9" s="481">
        <v>2880870</v>
      </c>
      <c r="D9" s="516"/>
      <c r="E9" s="481"/>
      <c r="F9" s="481"/>
      <c r="G9" s="517"/>
      <c r="H9" s="481"/>
      <c r="I9" s="509" t="s">
        <v>1169</v>
      </c>
      <c r="J9" s="478"/>
      <c r="K9" s="481"/>
      <c r="L9" s="347"/>
    </row>
    <row r="10" spans="1:13" s="519" customFormat="1" ht="13.5" thickBot="1" x14ac:dyDescent="0.25">
      <c r="A10" s="1736" t="s">
        <v>1173</v>
      </c>
      <c r="B10" s="1709"/>
      <c r="C10" s="1688">
        <f>SUM(C8:C9)</f>
        <v>9544708</v>
      </c>
      <c r="D10" s="1688">
        <f t="shared" ref="D10:K10" si="1">SUM(D8:D9)</f>
        <v>343813</v>
      </c>
      <c r="E10" s="1688">
        <f t="shared" si="1"/>
        <v>559339</v>
      </c>
      <c r="F10" s="1688">
        <f t="shared" si="1"/>
        <v>1324202</v>
      </c>
      <c r="G10" s="1688">
        <f t="shared" si="1"/>
        <v>293065</v>
      </c>
      <c r="H10" s="1688">
        <f t="shared" si="1"/>
        <v>659238</v>
      </c>
      <c r="I10" s="1688">
        <f t="shared" si="1"/>
        <v>40304</v>
      </c>
      <c r="J10" s="1688">
        <f t="shared" si="1"/>
        <v>490679</v>
      </c>
      <c r="K10" s="1688">
        <f t="shared" si="1"/>
        <v>36271</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4351895</v>
      </c>
      <c r="D12" s="520" t="s">
        <v>1169</v>
      </c>
      <c r="E12" s="468" t="s">
        <v>1169</v>
      </c>
      <c r="F12" s="468" t="s">
        <v>1169</v>
      </c>
      <c r="G12" s="1742">
        <f>'Expenditures 15-22'!K229</f>
        <v>94955</v>
      </c>
      <c r="H12" s="521"/>
      <c r="I12" s="468" t="s">
        <v>1169</v>
      </c>
      <c r="J12" s="468" t="s">
        <v>1169</v>
      </c>
      <c r="K12" s="521" t="s">
        <v>1169</v>
      </c>
      <c r="L12" s="347"/>
    </row>
    <row r="13" spans="1:13" ht="15.75" customHeight="1" x14ac:dyDescent="0.2">
      <c r="A13" s="1576" t="s">
        <v>457</v>
      </c>
      <c r="B13" s="1578">
        <v>2000</v>
      </c>
      <c r="C13" s="1743">
        <f>'Expenditures 15-22'!K74</f>
        <v>1872545</v>
      </c>
      <c r="D13" s="1743">
        <f>'Expenditures 15-22'!K129</f>
        <v>377206</v>
      </c>
      <c r="E13" s="469" t="s">
        <v>1169</v>
      </c>
      <c r="F13" s="1743">
        <f>'Expenditures 15-22'!K184</f>
        <v>891283</v>
      </c>
      <c r="G13" s="1743">
        <f>'Expenditures 15-22'!K279</f>
        <v>219173</v>
      </c>
      <c r="H13" s="1743">
        <f>'Expenditures 15-22'!K303</f>
        <v>535036</v>
      </c>
      <c r="I13" s="468" t="s">
        <v>1169</v>
      </c>
      <c r="J13" s="1743">
        <f>'Expenditures 15-22'!K330</f>
        <v>495878</v>
      </c>
      <c r="K13" s="1747">
        <f>'Expenditures 15-22'!K352</f>
        <v>9000</v>
      </c>
      <c r="L13" s="347"/>
    </row>
    <row r="14" spans="1:13" ht="15.75" customHeight="1" x14ac:dyDescent="0.2">
      <c r="A14" s="1576" t="s">
        <v>449</v>
      </c>
      <c r="B14" s="1578">
        <v>3000</v>
      </c>
      <c r="C14" s="1743">
        <f>'Expenditures 15-22'!K75</f>
        <v>4179</v>
      </c>
      <c r="D14" s="1743">
        <f>'Expenditures 15-22'!K130</f>
        <v>0</v>
      </c>
      <c r="E14" s="520" t="s">
        <v>1169</v>
      </c>
      <c r="F14" s="1743">
        <f>'Expenditures 15-22'!K185</f>
        <v>0</v>
      </c>
      <c r="G14" s="1743">
        <f>'Expenditures 15-22'!K280</f>
        <v>320</v>
      </c>
      <c r="H14" s="512"/>
      <c r="I14" s="468" t="s">
        <v>1169</v>
      </c>
      <c r="J14" s="468" t="s">
        <v>1169</v>
      </c>
      <c r="K14" s="512" t="s">
        <v>1169</v>
      </c>
      <c r="L14" s="347"/>
    </row>
    <row r="15" spans="1:13" ht="15.75" customHeight="1" x14ac:dyDescent="0.2">
      <c r="A15" s="1576" t="s">
        <v>107</v>
      </c>
      <c r="B15" s="1578">
        <v>4000</v>
      </c>
      <c r="C15" s="1743">
        <f>'Expenditures 15-22'!K102</f>
        <v>359429</v>
      </c>
      <c r="D15" s="1743">
        <f>'Expenditures 15-22'!K139</f>
        <v>0</v>
      </c>
      <c r="E15" s="1743">
        <f>'Expenditures 15-22'!K160</f>
        <v>0</v>
      </c>
      <c r="F15" s="1743">
        <f>'Expenditures 15-22'!K196</f>
        <v>0</v>
      </c>
      <c r="G15" s="1743">
        <f>'Expenditures 15-22'!K285</f>
        <v>0</v>
      </c>
      <c r="H15" s="1743">
        <f>'Expenditures 15-22'!K310</f>
        <v>300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593347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6588048</v>
      </c>
      <c r="D17" s="1688">
        <f t="shared" si="2"/>
        <v>377206</v>
      </c>
      <c r="E17" s="1688">
        <f t="shared" si="2"/>
        <v>593347</v>
      </c>
      <c r="F17" s="1688">
        <f t="shared" si="2"/>
        <v>891283</v>
      </c>
      <c r="G17" s="1688">
        <f t="shared" si="2"/>
        <v>314448</v>
      </c>
      <c r="H17" s="1688">
        <f t="shared" si="2"/>
        <v>535336</v>
      </c>
      <c r="I17" s="468"/>
      <c r="J17" s="1688">
        <f>SUM(J12:J16)</f>
        <v>495878</v>
      </c>
      <c r="K17" s="1688">
        <f>SUM(K12:K16)</f>
        <v>9000</v>
      </c>
      <c r="L17" s="347"/>
    </row>
    <row r="18" spans="1:12" ht="15" customHeight="1" thickTop="1" x14ac:dyDescent="0.2">
      <c r="A18" s="1744" t="s">
        <v>1654</v>
      </c>
      <c r="B18" s="1745">
        <v>4180</v>
      </c>
      <c r="C18" s="1742">
        <f t="shared" ref="C18:H18" si="3">C9</f>
        <v>2880870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9468918</v>
      </c>
      <c r="D19" s="1688">
        <f t="shared" si="4"/>
        <v>377206</v>
      </c>
      <c r="E19" s="1688">
        <f t="shared" si="4"/>
        <v>593347</v>
      </c>
      <c r="F19" s="1688">
        <f t="shared" si="4"/>
        <v>891283</v>
      </c>
      <c r="G19" s="1688">
        <f t="shared" si="4"/>
        <v>314448</v>
      </c>
      <c r="H19" s="1688">
        <f t="shared" si="4"/>
        <v>535336</v>
      </c>
      <c r="I19" s="468"/>
      <c r="J19" s="1688">
        <f>SUM(J17:J18)</f>
        <v>495878</v>
      </c>
      <c r="K19" s="1688">
        <f>SUM(K17:K18)</f>
        <v>9000</v>
      </c>
      <c r="L19" s="347"/>
    </row>
    <row r="20" spans="1:12" ht="16.5" thickTop="1" thickBot="1" x14ac:dyDescent="0.25">
      <c r="A20" s="2128" t="s">
        <v>1655</v>
      </c>
      <c r="B20" s="2129"/>
      <c r="C20" s="1746">
        <f>C8-C17</f>
        <v>75790</v>
      </c>
      <c r="D20" s="1746">
        <f t="shared" ref="D20:K20" si="5">D8-D17</f>
        <v>-33393</v>
      </c>
      <c r="E20" s="1746">
        <f t="shared" si="5"/>
        <v>-34008</v>
      </c>
      <c r="F20" s="1746">
        <f t="shared" si="5"/>
        <v>432919</v>
      </c>
      <c r="G20" s="1746">
        <f t="shared" si="5"/>
        <v>-21383</v>
      </c>
      <c r="H20" s="1746">
        <f t="shared" si="5"/>
        <v>123902</v>
      </c>
      <c r="I20" s="1746">
        <f t="shared" si="5"/>
        <v>40304</v>
      </c>
      <c r="J20" s="1746">
        <f t="shared" si="5"/>
        <v>-5199</v>
      </c>
      <c r="K20" s="1746">
        <f t="shared" si="5"/>
        <v>27271</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v>2500000</v>
      </c>
      <c r="I33" s="467"/>
      <c r="J33" s="467"/>
      <c r="K33" s="467"/>
      <c r="L33" s="524"/>
    </row>
    <row r="34" spans="1:12" s="485" customFormat="1" x14ac:dyDescent="0.2">
      <c r="A34" s="1489" t="s">
        <v>1001</v>
      </c>
      <c r="B34" s="525">
        <v>7220</v>
      </c>
      <c r="C34" s="467"/>
      <c r="D34" s="467"/>
      <c r="E34" s="467"/>
      <c r="F34" s="467"/>
      <c r="G34" s="477"/>
      <c r="H34" s="478">
        <v>50151</v>
      </c>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0</v>
      </c>
      <c r="E44" s="1703">
        <f t="shared" si="6"/>
        <v>0</v>
      </c>
      <c r="F44" s="1703">
        <f t="shared" si="6"/>
        <v>0</v>
      </c>
      <c r="G44" s="1703">
        <f t="shared" si="6"/>
        <v>0</v>
      </c>
      <c r="H44" s="1703">
        <f t="shared" si="6"/>
        <v>2550151</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0</v>
      </c>
      <c r="D77" s="1703">
        <f t="shared" si="8"/>
        <v>0</v>
      </c>
      <c r="E77" s="1703">
        <f t="shared" si="8"/>
        <v>0</v>
      </c>
      <c r="F77" s="1703">
        <f t="shared" si="8"/>
        <v>0</v>
      </c>
      <c r="G77" s="1703">
        <f t="shared" si="8"/>
        <v>0</v>
      </c>
      <c r="H77" s="1703">
        <f t="shared" si="8"/>
        <v>2550151</v>
      </c>
      <c r="I77" s="1703">
        <f t="shared" si="8"/>
        <v>0</v>
      </c>
      <c r="J77" s="1703">
        <f t="shared" si="8"/>
        <v>0</v>
      </c>
      <c r="K77" s="1703">
        <f t="shared" si="8"/>
        <v>0</v>
      </c>
      <c r="L77" s="347"/>
    </row>
    <row r="78" spans="1:12" ht="21.75" customHeight="1" thickTop="1" thickBot="1" x14ac:dyDescent="0.25">
      <c r="A78" s="2124" t="s">
        <v>597</v>
      </c>
      <c r="B78" s="2125"/>
      <c r="C78" s="1702">
        <f t="shared" ref="C78:K78" si="9">C20+C77</f>
        <v>75790</v>
      </c>
      <c r="D78" s="1702">
        <f t="shared" si="9"/>
        <v>-33393</v>
      </c>
      <c r="E78" s="1702">
        <f t="shared" si="9"/>
        <v>-34008</v>
      </c>
      <c r="F78" s="1702">
        <f t="shared" si="9"/>
        <v>432919</v>
      </c>
      <c r="G78" s="1702">
        <f t="shared" si="9"/>
        <v>-21383</v>
      </c>
      <c r="H78" s="1702">
        <f t="shared" si="9"/>
        <v>2674053</v>
      </c>
      <c r="I78" s="1702">
        <f t="shared" si="9"/>
        <v>40304</v>
      </c>
      <c r="J78" s="1702">
        <f t="shared" si="9"/>
        <v>-5199</v>
      </c>
      <c r="K78" s="1702">
        <f t="shared" si="9"/>
        <v>27271</v>
      </c>
      <c r="L78" s="533"/>
    </row>
    <row r="79" spans="1:12" ht="13.5" thickTop="1" x14ac:dyDescent="0.2">
      <c r="A79" s="1494" t="s">
        <v>1949</v>
      </c>
      <c r="B79" s="534"/>
      <c r="C79" s="478">
        <v>966823</v>
      </c>
      <c r="D79" s="535">
        <v>220086</v>
      </c>
      <c r="E79" s="535">
        <v>213861</v>
      </c>
      <c r="F79" s="535">
        <v>585436</v>
      </c>
      <c r="G79" s="535">
        <v>785035</v>
      </c>
      <c r="H79" s="535">
        <v>735890</v>
      </c>
      <c r="I79" s="535">
        <v>1809117</v>
      </c>
      <c r="J79" s="535">
        <v>1126583</v>
      </c>
      <c r="K79" s="535">
        <v>167354</v>
      </c>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1950</v>
      </c>
      <c r="B81" s="2123"/>
      <c r="C81" s="1688">
        <f>(SUM(C78:C80))</f>
        <v>1042613</v>
      </c>
      <c r="D81" s="1688">
        <f>SUM(D78:D80)</f>
        <v>186693</v>
      </c>
      <c r="E81" s="1688">
        <f t="shared" ref="E81:K81" si="10">SUM(E78:E80)</f>
        <v>179853</v>
      </c>
      <c r="F81" s="1688">
        <f t="shared" si="10"/>
        <v>1018355</v>
      </c>
      <c r="G81" s="1688">
        <f t="shared" si="10"/>
        <v>763652</v>
      </c>
      <c r="H81" s="1688">
        <f t="shared" si="10"/>
        <v>3409943</v>
      </c>
      <c r="I81" s="1688">
        <f t="shared" si="10"/>
        <v>1849421</v>
      </c>
      <c r="J81" s="1688">
        <f t="shared" si="10"/>
        <v>1121384</v>
      </c>
      <c r="K81" s="1688">
        <f t="shared" si="10"/>
        <v>194625</v>
      </c>
      <c r="L81" s="347"/>
    </row>
    <row r="82" spans="1:12" ht="0.75" customHeight="1" thickTop="1" thickBot="1" x14ac:dyDescent="0.25">
      <c r="A82" s="536" t="s">
        <v>343</v>
      </c>
      <c r="B82" s="537"/>
      <c r="C82" s="538">
        <f>(C81-C79)</f>
        <v>75790</v>
      </c>
      <c r="D82" s="538">
        <f t="shared" ref="D82:K82" si="11">(D81-D79)</f>
        <v>-33393</v>
      </c>
      <c r="E82" s="538">
        <f t="shared" si="11"/>
        <v>-34008</v>
      </c>
      <c r="F82" s="538">
        <f t="shared" si="11"/>
        <v>432919</v>
      </c>
      <c r="G82" s="538">
        <f t="shared" si="11"/>
        <v>-21383</v>
      </c>
      <c r="H82" s="538">
        <f t="shared" si="11"/>
        <v>2674053</v>
      </c>
      <c r="I82" s="538">
        <f t="shared" si="11"/>
        <v>40304</v>
      </c>
      <c r="J82" s="538">
        <f t="shared" si="11"/>
        <v>-5199</v>
      </c>
      <c r="K82" s="538">
        <f t="shared" si="11"/>
        <v>27271</v>
      </c>
    </row>
    <row r="83" spans="1:12" ht="14.25" hidden="1" thickTop="1" thickBot="1" x14ac:dyDescent="0.25">
      <c r="A83" s="539" t="s">
        <v>344</v>
      </c>
      <c r="B83" s="464"/>
      <c r="C83" s="540">
        <f>C82/C81</f>
        <v>7.2692360444383486E-2</v>
      </c>
      <c r="D83" s="540">
        <f t="shared" ref="D83:K83" si="12">D82/D81</f>
        <v>-0.17886583856920185</v>
      </c>
      <c r="E83" s="540">
        <f t="shared" si="12"/>
        <v>-0.18908775499991659</v>
      </c>
      <c r="F83" s="540">
        <f t="shared" si="12"/>
        <v>0.42511599589534099</v>
      </c>
      <c r="G83" s="540">
        <f t="shared" si="12"/>
        <v>-2.8000974265765033E-2</v>
      </c>
      <c r="H83" s="540">
        <f t="shared" si="12"/>
        <v>0.78419287360521861</v>
      </c>
      <c r="I83" s="540">
        <f t="shared" si="12"/>
        <v>2.1792766492864525E-2</v>
      </c>
      <c r="J83" s="540">
        <f t="shared" si="12"/>
        <v>-4.6362352236165314E-3</v>
      </c>
      <c r="K83" s="540">
        <f t="shared" si="12"/>
        <v>0.14012074502247912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accompanying notes are an integral part of these financial statements.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1279636</v>
      </c>
      <c r="D5" s="481">
        <v>268298</v>
      </c>
      <c r="E5" s="466">
        <v>555649</v>
      </c>
      <c r="F5" s="548">
        <v>143094</v>
      </c>
      <c r="G5" s="466">
        <v>96724</v>
      </c>
      <c r="H5" s="466"/>
      <c r="I5" s="466">
        <v>35775</v>
      </c>
      <c r="J5" s="467">
        <v>483589</v>
      </c>
      <c r="K5" s="466">
        <v>35775</v>
      </c>
    </row>
    <row r="6" spans="1:12" ht="15" x14ac:dyDescent="0.2">
      <c r="A6" s="463" t="s">
        <v>1662</v>
      </c>
      <c r="B6" s="470">
        <v>1130</v>
      </c>
      <c r="C6" s="466">
        <v>36829</v>
      </c>
      <c r="D6" s="466"/>
      <c r="E6" s="475"/>
      <c r="F6" s="475"/>
      <c r="G6" s="468"/>
      <c r="H6" s="468"/>
      <c r="I6" s="468"/>
      <c r="J6" s="468"/>
      <c r="K6" s="468"/>
    </row>
    <row r="7" spans="1:12" x14ac:dyDescent="0.2">
      <c r="A7" s="463" t="s">
        <v>110</v>
      </c>
      <c r="B7" s="549">
        <v>1140</v>
      </c>
      <c r="C7" s="466">
        <v>28619</v>
      </c>
      <c r="D7" s="466"/>
      <c r="E7" s="468"/>
      <c r="F7" s="467"/>
      <c r="G7" s="467"/>
      <c r="H7" s="467"/>
      <c r="I7" s="468"/>
      <c r="J7" s="468"/>
      <c r="K7" s="468"/>
    </row>
    <row r="8" spans="1:12" x14ac:dyDescent="0.2">
      <c r="A8" s="463" t="s">
        <v>413</v>
      </c>
      <c r="B8" s="470">
        <v>1150</v>
      </c>
      <c r="C8" s="475"/>
      <c r="D8" s="475"/>
      <c r="E8" s="477"/>
      <c r="F8" s="477"/>
      <c r="G8" s="481">
        <v>96724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1345084</v>
      </c>
      <c r="D12" s="1707">
        <f t="shared" si="0"/>
        <v>268298</v>
      </c>
      <c r="E12" s="1707">
        <f t="shared" si="0"/>
        <v>555649</v>
      </c>
      <c r="F12" s="1707">
        <f t="shared" si="0"/>
        <v>143094</v>
      </c>
      <c r="G12" s="1707">
        <f t="shared" si="0"/>
        <v>193448</v>
      </c>
      <c r="H12" s="1707">
        <f t="shared" si="0"/>
        <v>0</v>
      </c>
      <c r="I12" s="1707">
        <f t="shared" si="0"/>
        <v>35775</v>
      </c>
      <c r="J12" s="1707">
        <f t="shared" si="0"/>
        <v>483589</v>
      </c>
      <c r="K12" s="1688">
        <f t="shared" si="0"/>
        <v>35775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8176</v>
      </c>
      <c r="D14" s="466">
        <v>1629</v>
      </c>
      <c r="E14" s="466">
        <v>3383</v>
      </c>
      <c r="F14" s="466">
        <v>869</v>
      </c>
      <c r="G14" s="466">
        <v>1172</v>
      </c>
      <c r="H14" s="466"/>
      <c r="I14" s="466">
        <v>217</v>
      </c>
      <c r="J14" s="467">
        <v>2932</v>
      </c>
      <c r="K14" s="466">
        <v>217</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700201</v>
      </c>
      <c r="D16" s="466">
        <v>56188</v>
      </c>
      <c r="E16" s="466"/>
      <c r="F16" s="466">
        <v>601239</v>
      </c>
      <c r="G16" s="466">
        <v>95000</v>
      </c>
      <c r="H16" s="466"/>
      <c r="I16" s="466"/>
      <c r="J16" s="467"/>
      <c r="K16" s="466"/>
    </row>
    <row r="17" spans="1:11" ht="12.75" customHeight="1" x14ac:dyDescent="0.2">
      <c r="A17" s="463" t="s">
        <v>807</v>
      </c>
      <c r="B17" s="470">
        <v>1290</v>
      </c>
      <c r="C17" s="551">
        <v>6249</v>
      </c>
      <c r="D17" s="466"/>
      <c r="E17" s="466"/>
      <c r="F17" s="466"/>
      <c r="G17" s="466"/>
      <c r="H17" s="466"/>
      <c r="I17" s="466"/>
      <c r="J17" s="467"/>
      <c r="K17" s="466"/>
    </row>
    <row r="18" spans="1:11" ht="12.75" customHeight="1" thickBot="1" x14ac:dyDescent="0.25">
      <c r="A18" s="1708" t="s">
        <v>537</v>
      </c>
      <c r="B18" s="1709"/>
      <c r="C18" s="1710">
        <f>SUM(C14:C17)</f>
        <v>714626</v>
      </c>
      <c r="D18" s="1710">
        <f t="shared" ref="D18:K18" si="1">SUM(D14:D17)</f>
        <v>57817</v>
      </c>
      <c r="E18" s="1710">
        <f t="shared" si="1"/>
        <v>3383</v>
      </c>
      <c r="F18" s="1710">
        <f t="shared" si="1"/>
        <v>602108</v>
      </c>
      <c r="G18" s="1710">
        <f t="shared" si="1"/>
        <v>96172</v>
      </c>
      <c r="H18" s="1710">
        <f t="shared" si="1"/>
        <v>0</v>
      </c>
      <c r="I18" s="1710">
        <f t="shared" si="1"/>
        <v>217</v>
      </c>
      <c r="J18" s="1710">
        <f t="shared" si="1"/>
        <v>2932</v>
      </c>
      <c r="K18" s="1711">
        <f t="shared" si="1"/>
        <v>217</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13869</v>
      </c>
      <c r="G44" s="468"/>
      <c r="H44" s="468"/>
      <c r="I44" s="468"/>
      <c r="J44" s="468"/>
      <c r="K44" s="468"/>
    </row>
    <row r="45" spans="1:11" ht="12.75" customHeight="1" x14ac:dyDescent="0.2">
      <c r="A45" s="463" t="s">
        <v>240</v>
      </c>
      <c r="B45" s="470">
        <v>1415</v>
      </c>
      <c r="C45" s="468"/>
      <c r="D45" s="468"/>
      <c r="E45" s="468"/>
      <c r="F45" s="466">
        <v>9702</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23571</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1137</v>
      </c>
      <c r="D65" s="466">
        <v>409</v>
      </c>
      <c r="E65" s="466">
        <v>307</v>
      </c>
      <c r="F65" s="467">
        <v>380</v>
      </c>
      <c r="G65" s="466">
        <v>3445</v>
      </c>
      <c r="H65" s="466">
        <v>1230</v>
      </c>
      <c r="I65" s="466">
        <v>4312</v>
      </c>
      <c r="J65" s="467">
        <v>4158</v>
      </c>
      <c r="K65" s="466">
        <v>279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1137</v>
      </c>
      <c r="D67" s="1688">
        <f t="shared" ref="D67:K67" si="2">SUM(D65:D66)</f>
        <v>409</v>
      </c>
      <c r="E67" s="1688">
        <f t="shared" si="2"/>
        <v>307</v>
      </c>
      <c r="F67" s="1688">
        <f t="shared" si="2"/>
        <v>380</v>
      </c>
      <c r="G67" s="1688">
        <f t="shared" si="2"/>
        <v>3445</v>
      </c>
      <c r="H67" s="1688">
        <f t="shared" si="2"/>
        <v>1230</v>
      </c>
      <c r="I67" s="1688">
        <f t="shared" si="2"/>
        <v>4312</v>
      </c>
      <c r="J67" s="1688">
        <f t="shared" si="2"/>
        <v>4158</v>
      </c>
      <c r="K67" s="1688">
        <f t="shared" si="2"/>
        <v>279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56429</v>
      </c>
      <c r="D69" s="468"/>
      <c r="E69" s="468"/>
      <c r="F69" s="468"/>
      <c r="G69" s="468"/>
      <c r="H69" s="468"/>
      <c r="I69" s="468"/>
      <c r="J69" s="468"/>
      <c r="K69" s="468"/>
    </row>
    <row r="70" spans="1:11" ht="12.75" customHeight="1" x14ac:dyDescent="0.2">
      <c r="A70" s="463" t="s">
        <v>997</v>
      </c>
      <c r="B70" s="470">
        <v>1612</v>
      </c>
      <c r="C70" s="551">
        <v>15564</v>
      </c>
      <c r="D70" s="468"/>
      <c r="E70" s="468"/>
      <c r="F70" s="468"/>
      <c r="G70" s="468"/>
      <c r="H70" s="468"/>
      <c r="I70" s="468"/>
      <c r="J70" s="468"/>
      <c r="K70" s="468"/>
    </row>
    <row r="71" spans="1:11" ht="12.75" customHeight="1" x14ac:dyDescent="0.2">
      <c r="A71" s="463" t="s">
        <v>273</v>
      </c>
      <c r="B71" s="470">
        <v>1613</v>
      </c>
      <c r="C71" s="551">
        <v>2735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3810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78538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41808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15053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39213</v>
      </c>
      <c r="D81" s="466"/>
      <c r="E81" s="468"/>
      <c r="F81" s="468"/>
      <c r="G81" s="468"/>
      <c r="H81" s="468"/>
      <c r="I81" s="468"/>
      <c r="J81" s="468"/>
      <c r="K81" s="468"/>
    </row>
    <row r="82" spans="1:11" ht="12.75" customHeight="1" thickBot="1" x14ac:dyDescent="0.25">
      <c r="A82" s="1708" t="s">
        <v>241</v>
      </c>
      <c r="B82" s="1709"/>
      <c r="C82" s="1707">
        <f>SUM(C77:C81)</f>
        <v>96074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27105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299</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27404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7795</v>
      </c>
      <c r="E95" s="521"/>
      <c r="F95" s="521"/>
      <c r="G95" s="521"/>
      <c r="H95" s="521"/>
      <c r="I95" s="521"/>
      <c r="J95" s="521"/>
      <c r="K95" s="521"/>
    </row>
    <row r="96" spans="1:11" ht="12.75" customHeight="1" x14ac:dyDescent="0.2">
      <c r="A96" s="463" t="s">
        <v>391</v>
      </c>
      <c r="B96" s="470">
        <v>1920</v>
      </c>
      <c r="C96" s="551">
        <v>38675</v>
      </c>
      <c r="D96" s="551">
        <v>800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3623</v>
      </c>
      <c r="D99" s="466">
        <v>8484</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3275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658008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25265</v>
      </c>
      <c r="D107" s="466">
        <v>210</v>
      </c>
      <c r="E107" s="466"/>
      <c r="F107" s="466"/>
      <c r="G107" s="466"/>
      <c r="H107" s="466"/>
      <c r="I107" s="466"/>
      <c r="J107" s="467"/>
      <c r="K107" s="466"/>
    </row>
    <row r="108" spans="1:12" ht="12.75" customHeight="1" thickBot="1" x14ac:dyDescent="0.25">
      <c r="A108" s="1708" t="s">
        <v>487</v>
      </c>
      <c r="B108" s="1712"/>
      <c r="C108" s="1707">
        <f>SUM(C95:C107)</f>
        <v>70838</v>
      </c>
      <c r="D108" s="1707">
        <f t="shared" ref="D108:K108" si="3">SUM(D95:D107)</f>
        <v>17289</v>
      </c>
      <c r="E108" s="1707">
        <f t="shared" si="3"/>
        <v>0</v>
      </c>
      <c r="F108" s="1707">
        <f t="shared" si="3"/>
        <v>0</v>
      </c>
      <c r="G108" s="1707">
        <f t="shared" si="3"/>
        <v>0</v>
      </c>
      <c r="H108" s="1707">
        <f t="shared" si="3"/>
        <v>658008</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2333701</v>
      </c>
      <c r="D109" s="1715">
        <f t="shared" si="4"/>
        <v>343813</v>
      </c>
      <c r="E109" s="1715">
        <f t="shared" si="4"/>
        <v>559339</v>
      </c>
      <c r="F109" s="1715">
        <f t="shared" si="4"/>
        <v>769153</v>
      </c>
      <c r="G109" s="1715">
        <f t="shared" si="4"/>
        <v>293065</v>
      </c>
      <c r="H109" s="1715">
        <f t="shared" si="4"/>
        <v>659238</v>
      </c>
      <c r="I109" s="1715">
        <f t="shared" si="4"/>
        <v>40304</v>
      </c>
      <c r="J109" s="1715">
        <f t="shared" si="4"/>
        <v>490679</v>
      </c>
      <c r="K109" s="1702">
        <f t="shared" si="4"/>
        <v>36271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3539712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3539712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16949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16949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4827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4827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4319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12299</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407034</v>
      </c>
      <c r="G152" s="467"/>
      <c r="H152" s="468"/>
      <c r="I152" s="468"/>
      <c r="J152" s="468"/>
      <c r="K152" s="468"/>
    </row>
    <row r="153" spans="1:11" ht="12.75" customHeight="1" x14ac:dyDescent="0.2">
      <c r="A153" s="463" t="s">
        <v>1057</v>
      </c>
      <c r="B153" s="562">
        <v>3510</v>
      </c>
      <c r="C153" s="551"/>
      <c r="D153" s="466"/>
      <c r="E153" s="561"/>
      <c r="F153" s="466">
        <v>148015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555049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2603</v>
      </c>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40997</v>
      </c>
      <c r="D169" s="1722">
        <f t="shared" si="6"/>
        <v>0</v>
      </c>
      <c r="E169" s="1722">
        <f t="shared" si="6"/>
        <v>0</v>
      </c>
      <c r="F169" s="1722">
        <f t="shared" si="6"/>
        <v>555049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3580709</v>
      </c>
      <c r="D170" s="1715">
        <f t="shared" si="7"/>
        <v>0</v>
      </c>
      <c r="E170" s="1715">
        <f t="shared" si="7"/>
        <v>0</v>
      </c>
      <c r="F170" s="1715">
        <f t="shared" si="7"/>
        <v>555049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16774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16774</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169788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73757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243545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299756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27723</v>
      </c>
      <c r="D203" s="466"/>
      <c r="E203" s="468"/>
      <c r="F203" s="466"/>
      <c r="G203" s="466"/>
      <c r="H203" s="468"/>
      <c r="I203" s="468"/>
      <c r="J203" s="468"/>
      <c r="K203" s="468"/>
    </row>
    <row r="204" spans="1:11" ht="12.75" customHeight="1" thickBot="1" x14ac:dyDescent="0.25">
      <c r="A204" s="1708" t="s">
        <v>400</v>
      </c>
      <c r="B204" s="1709"/>
      <c r="C204" s="1707">
        <f>SUM(C200:C203)</f>
        <v>327479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17644</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17644</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9212</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9212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54147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10994</v>
      </c>
      <c r="D263" s="576"/>
      <c r="E263" s="468"/>
      <c r="F263" s="576"/>
      <c r="G263" s="576"/>
      <c r="H263" s="468"/>
      <c r="I263" s="468"/>
      <c r="J263" s="468"/>
      <c r="K263" s="468"/>
    </row>
    <row r="264" spans="1:11" ht="12.75" customHeight="1" thickTop="1" thickBot="1" x14ac:dyDescent="0.25">
      <c r="A264" s="463" t="s">
        <v>377</v>
      </c>
      <c r="B264" s="470">
        <v>4992</v>
      </c>
      <c r="C264" s="575">
        <v>55701</v>
      </c>
      <c r="D264" s="576"/>
      <c r="E264" s="468"/>
      <c r="F264" s="576"/>
      <c r="G264" s="576"/>
      <c r="H264" s="468"/>
      <c r="I264" s="468"/>
      <c r="J264" s="468"/>
      <c r="K264" s="468"/>
    </row>
    <row r="265" spans="1:11" s="593" customFormat="1" ht="12.75" customHeight="1" thickTop="1" thickBot="1" x14ac:dyDescent="0.25">
      <c r="A265" s="563" t="s">
        <v>75</v>
      </c>
      <c r="B265" s="557">
        <v>4999</v>
      </c>
      <c r="C265" s="575">
        <v>13932</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749428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749428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6663838</v>
      </c>
      <c r="D268" s="1715">
        <f t="shared" si="12"/>
        <v>343813</v>
      </c>
      <c r="E268" s="1715">
        <f t="shared" si="12"/>
        <v>559339</v>
      </c>
      <c r="F268" s="1715">
        <f t="shared" si="12"/>
        <v>1324202</v>
      </c>
      <c r="G268" s="1715">
        <f t="shared" si="12"/>
        <v>293065</v>
      </c>
      <c r="H268" s="1715">
        <f t="shared" si="12"/>
        <v>659238</v>
      </c>
      <c r="I268" s="1715">
        <f t="shared" si="12"/>
        <v>40304</v>
      </c>
      <c r="J268" s="1715">
        <f t="shared" si="12"/>
        <v>490679</v>
      </c>
      <c r="K268" s="1702">
        <f t="shared" si="12"/>
        <v>36271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65" header="0.26" footer="0.17"/>
  <pageSetup scale="73" firstPageNumber="9" fitToHeight="0" orientation="landscape" useFirstPageNumber="1" r:id="rId1"/>
  <headerFooter alignWithMargins="0">
    <oddHeader>&amp;L&amp;8Page &amp;P&amp;C&amp;"Arial,Bold"&amp;9STATEMENT OF REVENUES RECEIVED/REVENUES
FOR THE YEAR ENDING JUNE 30, 2019&amp;R&amp;8Page &amp;P</oddHeader>
    <oddFooter>&amp;L&amp;8The accompanying notes are an integral part of these financial statements.
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2073046</v>
      </c>
      <c r="D5" s="466">
        <v>683203</v>
      </c>
      <c r="E5" s="466">
        <v>79893</v>
      </c>
      <c r="F5" s="466">
        <v>142420</v>
      </c>
      <c r="G5" s="466">
        <v>17429</v>
      </c>
      <c r="H5" s="466">
        <v>500</v>
      </c>
      <c r="I5" s="467"/>
      <c r="J5" s="467"/>
      <c r="K5" s="1671">
        <f>SUM(C5:J5)</f>
        <v>2996491</v>
      </c>
      <c r="L5" s="466">
        <v>2071667</v>
      </c>
    </row>
    <row r="6" spans="1:14" x14ac:dyDescent="0.2">
      <c r="A6" s="1504" t="s">
        <v>1433</v>
      </c>
      <c r="B6" s="614" t="s">
        <v>1431</v>
      </c>
      <c r="C6" s="477"/>
      <c r="D6" s="477"/>
      <c r="E6" s="466"/>
      <c r="F6" s="477"/>
      <c r="G6" s="477"/>
      <c r="H6" s="477"/>
      <c r="I6" s="477"/>
      <c r="J6" s="477"/>
      <c r="K6" s="1671">
        <f>SUM(C6,E6)</f>
        <v>0</v>
      </c>
      <c r="L6" s="466">
        <v>13300</v>
      </c>
    </row>
    <row r="7" spans="1:14" x14ac:dyDescent="0.2">
      <c r="A7" s="1504" t="s">
        <v>163</v>
      </c>
      <c r="B7" s="614" t="s">
        <v>967</v>
      </c>
      <c r="C7" s="467"/>
      <c r="D7" s="467"/>
      <c r="E7" s="467"/>
      <c r="F7" s="467"/>
      <c r="G7" s="467"/>
      <c r="H7" s="467"/>
      <c r="I7" s="467"/>
      <c r="J7" s="467"/>
      <c r="K7" s="1671">
        <f t="shared" ref="K7:K32" si="0">SUM(C7:J7)</f>
        <v>0</v>
      </c>
      <c r="L7" s="466">
        <v>930285</v>
      </c>
    </row>
    <row r="8" spans="1:14" x14ac:dyDescent="0.2">
      <c r="A8" s="1504" t="s">
        <v>164</v>
      </c>
      <c r="B8" s="614">
        <v>1200</v>
      </c>
      <c r="C8" s="466">
        <v>532392</v>
      </c>
      <c r="D8" s="466">
        <v>168528</v>
      </c>
      <c r="E8" s="466">
        <v>120</v>
      </c>
      <c r="F8" s="466">
        <v>288</v>
      </c>
      <c r="G8" s="466"/>
      <c r="H8" s="466">
        <v>500</v>
      </c>
      <c r="I8" s="467"/>
      <c r="J8" s="467"/>
      <c r="K8" s="1671">
        <f t="shared" si="0"/>
        <v>701828</v>
      </c>
      <c r="L8" s="466">
        <v>656490</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111681</v>
      </c>
      <c r="D10" s="466">
        <v>45047</v>
      </c>
      <c r="E10" s="466">
        <v>4849</v>
      </c>
      <c r="F10" s="466">
        <v>46833</v>
      </c>
      <c r="G10" s="466"/>
      <c r="H10" s="466"/>
      <c r="I10" s="467"/>
      <c r="J10" s="467"/>
      <c r="K10" s="1671">
        <f t="shared" si="0"/>
        <v>208410</v>
      </c>
      <c r="L10" s="466">
        <v>210200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202061</v>
      </c>
      <c r="D13" s="466">
        <v>54641</v>
      </c>
      <c r="E13" s="466">
        <v>798</v>
      </c>
      <c r="F13" s="466">
        <v>7048</v>
      </c>
      <c r="G13" s="466">
        <v>3562</v>
      </c>
      <c r="H13" s="466"/>
      <c r="I13" s="467"/>
      <c r="J13" s="467"/>
      <c r="K13" s="1671">
        <f t="shared" si="0"/>
        <v>268110</v>
      </c>
      <c r="L13" s="466">
        <v>292532</v>
      </c>
    </row>
    <row r="14" spans="1:14" x14ac:dyDescent="0.2">
      <c r="A14" s="1504" t="s">
        <v>963</v>
      </c>
      <c r="B14" s="614">
        <v>1500</v>
      </c>
      <c r="C14" s="466">
        <v>93100</v>
      </c>
      <c r="D14" s="466">
        <v>28914</v>
      </c>
      <c r="E14" s="466">
        <v>39998</v>
      </c>
      <c r="F14" s="466">
        <v>15044</v>
      </c>
      <c r="G14" s="466"/>
      <c r="H14" s="466"/>
      <c r="I14" s="467"/>
      <c r="J14" s="467"/>
      <c r="K14" s="1671">
        <f t="shared" si="0"/>
        <v>177056</v>
      </c>
      <c r="L14" s="466">
        <v>176010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3012280</v>
      </c>
      <c r="D33" s="1670">
        <f t="shared" ref="D33:L33" si="1">SUM(D5:D32)</f>
        <v>980333</v>
      </c>
      <c r="E33" s="1670">
        <f t="shared" si="1"/>
        <v>125658</v>
      </c>
      <c r="F33" s="1670">
        <f t="shared" si="1"/>
        <v>211633</v>
      </c>
      <c r="G33" s="1670">
        <f t="shared" si="1"/>
        <v>20991</v>
      </c>
      <c r="H33" s="1670">
        <f t="shared" si="1"/>
        <v>1000</v>
      </c>
      <c r="I33" s="1670">
        <f t="shared" si="1"/>
        <v>0</v>
      </c>
      <c r="J33" s="1670">
        <f t="shared" si="1"/>
        <v>0</v>
      </c>
      <c r="K33" s="1670">
        <f t="shared" si="1"/>
        <v>4351895</v>
      </c>
      <c r="L33" s="1670">
        <f t="shared" si="1"/>
        <v>4350484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v>83772</v>
      </c>
      <c r="D37" s="466">
        <v>24531</v>
      </c>
      <c r="E37" s="466"/>
      <c r="F37" s="466">
        <v>342</v>
      </c>
      <c r="G37" s="466"/>
      <c r="H37" s="466"/>
      <c r="I37" s="467"/>
      <c r="J37" s="467"/>
      <c r="K37" s="1671">
        <f t="shared" si="2"/>
        <v>108645</v>
      </c>
      <c r="L37" s="466">
        <v>115765</v>
      </c>
    </row>
    <row r="38" spans="1:14" x14ac:dyDescent="0.2">
      <c r="A38" s="1504" t="s">
        <v>198</v>
      </c>
      <c r="B38" s="614">
        <v>2130</v>
      </c>
      <c r="C38" s="466">
        <v>25954</v>
      </c>
      <c r="D38" s="466">
        <v>4568</v>
      </c>
      <c r="E38" s="466">
        <v>354</v>
      </c>
      <c r="F38" s="466">
        <v>1135</v>
      </c>
      <c r="G38" s="466"/>
      <c r="H38" s="466"/>
      <c r="I38" s="467"/>
      <c r="J38" s="467"/>
      <c r="K38" s="1671">
        <f t="shared" si="2"/>
        <v>32011</v>
      </c>
      <c r="L38" s="466">
        <v>28312</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v>41199</v>
      </c>
      <c r="D40" s="466">
        <v>17527</v>
      </c>
      <c r="E40" s="466">
        <v>38</v>
      </c>
      <c r="F40" s="466">
        <v>364</v>
      </c>
      <c r="G40" s="466"/>
      <c r="H40" s="466"/>
      <c r="I40" s="467"/>
      <c r="J40" s="467"/>
      <c r="K40" s="1671">
        <f t="shared" si="2"/>
        <v>59128</v>
      </c>
      <c r="L40" s="466">
        <v>56085</v>
      </c>
    </row>
    <row r="41" spans="1:14" x14ac:dyDescent="0.2">
      <c r="A41" s="1504" t="s">
        <v>1669</v>
      </c>
      <c r="B41" s="614">
        <v>2190</v>
      </c>
      <c r="C41" s="466">
        <v>1222</v>
      </c>
      <c r="D41" s="466">
        <v>5748</v>
      </c>
      <c r="E41" s="466"/>
      <c r="F41" s="466"/>
      <c r="G41" s="466"/>
      <c r="H41" s="466"/>
      <c r="I41" s="467"/>
      <c r="J41" s="467"/>
      <c r="K41" s="1671">
        <f t="shared" si="2"/>
        <v>6970</v>
      </c>
      <c r="L41" s="466">
        <v>0</v>
      </c>
    </row>
    <row r="42" spans="1:14" ht="12.75" customHeight="1" thickBot="1" x14ac:dyDescent="0.25">
      <c r="A42" s="1668" t="s">
        <v>560</v>
      </c>
      <c r="B42" s="1669" t="s">
        <v>716</v>
      </c>
      <c r="C42" s="1670">
        <f>SUM(C36:C41)</f>
        <v>152147</v>
      </c>
      <c r="D42" s="1670">
        <f t="shared" ref="D42:L42" si="3">SUM(D36:D41)</f>
        <v>52374</v>
      </c>
      <c r="E42" s="1670">
        <f t="shared" si="3"/>
        <v>392</v>
      </c>
      <c r="F42" s="1670">
        <f t="shared" si="3"/>
        <v>1841</v>
      </c>
      <c r="G42" s="1670">
        <f t="shared" si="3"/>
        <v>0</v>
      </c>
      <c r="H42" s="1670">
        <f t="shared" si="3"/>
        <v>0</v>
      </c>
      <c r="I42" s="1670">
        <f t="shared" si="3"/>
        <v>0</v>
      </c>
      <c r="J42" s="1670">
        <f t="shared" si="3"/>
        <v>0</v>
      </c>
      <c r="K42" s="1670">
        <f t="shared" si="3"/>
        <v>206754</v>
      </c>
      <c r="L42" s="1670">
        <f t="shared" si="3"/>
        <v>200162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110916</v>
      </c>
      <c r="D44" s="481">
        <v>32032</v>
      </c>
      <c r="E44" s="481">
        <v>71886</v>
      </c>
      <c r="F44" s="481">
        <v>19965</v>
      </c>
      <c r="G44" s="481">
        <v>10019</v>
      </c>
      <c r="H44" s="481"/>
      <c r="I44" s="467"/>
      <c r="J44" s="467"/>
      <c r="K44" s="1672">
        <f>SUM(C44:J44)</f>
        <v>244818</v>
      </c>
      <c r="L44" s="481">
        <v>294407</v>
      </c>
    </row>
    <row r="45" spans="1:14" x14ac:dyDescent="0.2">
      <c r="A45" s="1504" t="s">
        <v>815</v>
      </c>
      <c r="B45" s="614">
        <v>2220</v>
      </c>
      <c r="C45" s="466">
        <v>62748</v>
      </c>
      <c r="D45" s="466">
        <v>6544</v>
      </c>
      <c r="E45" s="466">
        <v>1068</v>
      </c>
      <c r="F45" s="466">
        <v>8489</v>
      </c>
      <c r="G45" s="466">
        <v>1567</v>
      </c>
      <c r="H45" s="466"/>
      <c r="I45" s="467"/>
      <c r="J45" s="467"/>
      <c r="K45" s="1672">
        <f>SUM(C45:J45)</f>
        <v>80416</v>
      </c>
      <c r="L45" s="466">
        <v>87964</v>
      </c>
    </row>
    <row r="46" spans="1:14" x14ac:dyDescent="0.2">
      <c r="A46" s="1504" t="s">
        <v>816</v>
      </c>
      <c r="B46" s="614">
        <v>2230</v>
      </c>
      <c r="C46" s="466"/>
      <c r="D46" s="466"/>
      <c r="E46" s="466"/>
      <c r="F46" s="466">
        <v>2440</v>
      </c>
      <c r="G46" s="466"/>
      <c r="H46" s="466"/>
      <c r="I46" s="467"/>
      <c r="J46" s="467"/>
      <c r="K46" s="1672">
        <f>SUM(C46:J46)</f>
        <v>2440</v>
      </c>
      <c r="L46" s="466">
        <v>10240</v>
      </c>
    </row>
    <row r="47" spans="1:14" ht="12.75" customHeight="1" thickBot="1" x14ac:dyDescent="0.25">
      <c r="A47" s="1668" t="s">
        <v>561</v>
      </c>
      <c r="B47" s="1669" t="s">
        <v>32</v>
      </c>
      <c r="C47" s="1670">
        <f>SUM(C44:C46)</f>
        <v>173664</v>
      </c>
      <c r="D47" s="1670">
        <f t="shared" ref="D47:K47" si="4">SUM(D44:D46)</f>
        <v>38576</v>
      </c>
      <c r="E47" s="1670">
        <f t="shared" si="4"/>
        <v>72954</v>
      </c>
      <c r="F47" s="1670">
        <f t="shared" si="4"/>
        <v>30894</v>
      </c>
      <c r="G47" s="1670">
        <f t="shared" si="4"/>
        <v>11586</v>
      </c>
      <c r="H47" s="1670">
        <f t="shared" si="4"/>
        <v>0</v>
      </c>
      <c r="I47" s="1670">
        <f t="shared" si="4"/>
        <v>0</v>
      </c>
      <c r="J47" s="1670">
        <f t="shared" si="4"/>
        <v>0</v>
      </c>
      <c r="K47" s="1670">
        <f t="shared" si="4"/>
        <v>327674</v>
      </c>
      <c r="L47" s="1670">
        <f>SUM(L44:L46)</f>
        <v>392611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3465</v>
      </c>
      <c r="D49" s="481"/>
      <c r="E49" s="481">
        <v>34133</v>
      </c>
      <c r="F49" s="481">
        <v>2661</v>
      </c>
      <c r="G49" s="481"/>
      <c r="H49" s="481">
        <v>4348</v>
      </c>
      <c r="I49" s="467"/>
      <c r="J49" s="467"/>
      <c r="K49" s="1672">
        <f>SUM(C49:J49)</f>
        <v>44607</v>
      </c>
      <c r="L49" s="481">
        <v>47465</v>
      </c>
    </row>
    <row r="50" spans="1:14" x14ac:dyDescent="0.2">
      <c r="A50" s="1504" t="s">
        <v>818</v>
      </c>
      <c r="B50" s="614">
        <v>2320</v>
      </c>
      <c r="C50" s="466">
        <v>93638</v>
      </c>
      <c r="D50" s="466">
        <v>36854</v>
      </c>
      <c r="E50" s="466">
        <v>7750</v>
      </c>
      <c r="F50" s="466">
        <v>1561</v>
      </c>
      <c r="G50" s="466"/>
      <c r="H50" s="466"/>
      <c r="I50" s="467"/>
      <c r="J50" s="467"/>
      <c r="K50" s="1672">
        <f>SUM(C50:J50)</f>
        <v>139803</v>
      </c>
      <c r="L50" s="466">
        <v>140720</v>
      </c>
    </row>
    <row r="51" spans="1:14" x14ac:dyDescent="0.2">
      <c r="A51" s="1504" t="s">
        <v>42</v>
      </c>
      <c r="B51" s="614">
        <v>2330</v>
      </c>
      <c r="C51" s="466">
        <v>6000</v>
      </c>
      <c r="D51" s="466">
        <v>1441</v>
      </c>
      <c r="E51" s="466"/>
      <c r="F51" s="466"/>
      <c r="G51" s="466"/>
      <c r="H51" s="466"/>
      <c r="I51" s="467"/>
      <c r="J51" s="467"/>
      <c r="K51" s="1672">
        <f>SUM(C51:J51)</f>
        <v>7441</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103103</v>
      </c>
      <c r="D53" s="1670">
        <f t="shared" ref="D53:L53" si="5">SUM(D49:D52)</f>
        <v>38295</v>
      </c>
      <c r="E53" s="1670">
        <f t="shared" si="5"/>
        <v>41883</v>
      </c>
      <c r="F53" s="1670">
        <f t="shared" si="5"/>
        <v>4222</v>
      </c>
      <c r="G53" s="1670">
        <f t="shared" si="5"/>
        <v>0</v>
      </c>
      <c r="H53" s="1670">
        <f t="shared" si="5"/>
        <v>4348</v>
      </c>
      <c r="I53" s="1670">
        <f t="shared" si="5"/>
        <v>0</v>
      </c>
      <c r="J53" s="1670">
        <f t="shared" si="5"/>
        <v>0</v>
      </c>
      <c r="K53" s="1670">
        <f t="shared" si="5"/>
        <v>191851</v>
      </c>
      <c r="L53" s="1670">
        <f t="shared" si="5"/>
        <v>188185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381126</v>
      </c>
      <c r="D55" s="481">
        <v>118517</v>
      </c>
      <c r="E55" s="481">
        <v>5372</v>
      </c>
      <c r="F55" s="481">
        <v>1816</v>
      </c>
      <c r="G55" s="481"/>
      <c r="H55" s="481"/>
      <c r="I55" s="467"/>
      <c r="J55" s="467"/>
      <c r="K55" s="1672">
        <f>SUM(C55:J55)</f>
        <v>506831</v>
      </c>
      <c r="L55" s="481">
        <v>509500</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381126</v>
      </c>
      <c r="D57" s="1674">
        <f t="shared" ref="D57:K57" si="6">SUM(D55:D56)</f>
        <v>118517</v>
      </c>
      <c r="E57" s="1674">
        <f t="shared" si="6"/>
        <v>5372</v>
      </c>
      <c r="F57" s="1674">
        <f t="shared" si="6"/>
        <v>1816</v>
      </c>
      <c r="G57" s="1674">
        <f t="shared" si="6"/>
        <v>0</v>
      </c>
      <c r="H57" s="1674">
        <f t="shared" si="6"/>
        <v>0</v>
      </c>
      <c r="I57" s="1674">
        <f t="shared" si="6"/>
        <v>0</v>
      </c>
      <c r="J57" s="1674">
        <f t="shared" si="6"/>
        <v>0</v>
      </c>
      <c r="K57" s="1674">
        <f t="shared" si="6"/>
        <v>506831</v>
      </c>
      <c r="L57" s="1670">
        <f>SUM(L55:L56)</f>
        <v>509500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84280</v>
      </c>
      <c r="D60" s="466">
        <v>21844</v>
      </c>
      <c r="E60" s="466">
        <v>6740</v>
      </c>
      <c r="F60" s="466">
        <v>3454</v>
      </c>
      <c r="G60" s="466">
        <v>7021</v>
      </c>
      <c r="H60" s="466"/>
      <c r="I60" s="467"/>
      <c r="J60" s="467"/>
      <c r="K60" s="1672">
        <f t="shared" si="7"/>
        <v>123339</v>
      </c>
      <c r="L60" s="466">
        <v>124800</v>
      </c>
      <c r="M60" s="609"/>
      <c r="N60" s="609"/>
    </row>
    <row r="61" spans="1:14" s="343" customFormat="1" x14ac:dyDescent="0.2">
      <c r="A61" s="1504" t="s">
        <v>197</v>
      </c>
      <c r="B61" s="614">
        <v>2540</v>
      </c>
      <c r="C61" s="466">
        <v>170616</v>
      </c>
      <c r="D61" s="466">
        <v>45140</v>
      </c>
      <c r="E61" s="466"/>
      <c r="F61" s="466"/>
      <c r="G61" s="466"/>
      <c r="H61" s="466"/>
      <c r="I61" s="467"/>
      <c r="J61" s="467"/>
      <c r="K61" s="1672">
        <f t="shared" si="7"/>
        <v>215756</v>
      </c>
      <c r="L61" s="466">
        <v>213500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107719</v>
      </c>
      <c r="D63" s="466">
        <v>39853</v>
      </c>
      <c r="E63" s="466">
        <v>2683</v>
      </c>
      <c r="F63" s="466">
        <v>136717</v>
      </c>
      <c r="G63" s="466">
        <v>9698</v>
      </c>
      <c r="H63" s="466"/>
      <c r="I63" s="467"/>
      <c r="J63" s="467"/>
      <c r="K63" s="1672">
        <f t="shared" si="7"/>
        <v>296670</v>
      </c>
      <c r="L63" s="466">
        <v>294950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362615</v>
      </c>
      <c r="D65" s="1670">
        <f t="shared" ref="D65:L65" si="8">SUM(D59:D64)</f>
        <v>106837</v>
      </c>
      <c r="E65" s="1670">
        <f t="shared" si="8"/>
        <v>9423</v>
      </c>
      <c r="F65" s="1670">
        <f t="shared" si="8"/>
        <v>140171</v>
      </c>
      <c r="G65" s="1670">
        <f t="shared" si="8"/>
        <v>16719</v>
      </c>
      <c r="H65" s="1670">
        <f t="shared" si="8"/>
        <v>0</v>
      </c>
      <c r="I65" s="1670">
        <f t="shared" si="8"/>
        <v>0</v>
      </c>
      <c r="J65" s="1670">
        <f t="shared" si="8"/>
        <v>0</v>
      </c>
      <c r="K65" s="1670">
        <f t="shared" si="8"/>
        <v>635765</v>
      </c>
      <c r="L65" s="1670">
        <f t="shared" si="8"/>
        <v>633250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3670</v>
      </c>
      <c r="G73" s="573"/>
      <c r="H73" s="573"/>
      <c r="I73" s="531"/>
      <c r="J73" s="531"/>
      <c r="K73" s="1670">
        <f>SUM(C73:J73)</f>
        <v>3670</v>
      </c>
      <c r="L73" s="576">
        <v>300</v>
      </c>
      <c r="M73" s="609"/>
      <c r="N73" s="609"/>
    </row>
    <row r="74" spans="1:14" ht="12.75" customHeight="1" thickTop="1" thickBot="1" x14ac:dyDescent="0.25">
      <c r="A74" s="1668" t="s">
        <v>811</v>
      </c>
      <c r="B74" s="1676">
        <v>2000</v>
      </c>
      <c r="C74" s="1677">
        <f>SUM(C42,C47,C53,C57,C65,C72,C73)</f>
        <v>1172655</v>
      </c>
      <c r="D74" s="1677">
        <f t="shared" ref="D74:K74" si="10">SUM(D42,D47,D53,D57,D65,D72,D73)</f>
        <v>354599</v>
      </c>
      <c r="E74" s="1677">
        <f t="shared" si="10"/>
        <v>130024</v>
      </c>
      <c r="F74" s="1677">
        <f t="shared" si="10"/>
        <v>182614</v>
      </c>
      <c r="G74" s="1677">
        <f t="shared" si="10"/>
        <v>28305</v>
      </c>
      <c r="H74" s="1677">
        <f t="shared" si="10"/>
        <v>4348</v>
      </c>
      <c r="I74" s="1677">
        <f t="shared" si="10"/>
        <v>0</v>
      </c>
      <c r="J74" s="1677">
        <f t="shared" si="10"/>
        <v>0</v>
      </c>
      <c r="K74" s="1677">
        <f t="shared" si="10"/>
        <v>1872545</v>
      </c>
      <c r="L74" s="1677">
        <f>SUM(L42,L47,L53,L57,L65,L72,L73)</f>
        <v>1924008</v>
      </c>
    </row>
    <row r="75" spans="1:14" s="259" customFormat="1" ht="15.75" customHeight="1" thickTop="1" thickBot="1" x14ac:dyDescent="0.25">
      <c r="A75" s="1610" t="s">
        <v>47</v>
      </c>
      <c r="B75" s="1611" t="s">
        <v>575</v>
      </c>
      <c r="C75" s="573">
        <v>4179</v>
      </c>
      <c r="D75" s="573"/>
      <c r="E75" s="573"/>
      <c r="F75" s="573"/>
      <c r="G75" s="573"/>
      <c r="H75" s="573"/>
      <c r="I75" s="531"/>
      <c r="J75" s="531"/>
      <c r="K75" s="1670">
        <f>SUM(C75:J75)</f>
        <v>4179</v>
      </c>
      <c r="L75" s="576">
        <v>4440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1350</v>
      </c>
      <c r="F79" s="616"/>
      <c r="G79" s="616"/>
      <c r="H79" s="466">
        <v>358079</v>
      </c>
      <c r="I79" s="477"/>
      <c r="J79" s="477"/>
      <c r="K79" s="1671">
        <f t="shared" si="11"/>
        <v>359429</v>
      </c>
      <c r="L79" s="466">
        <v>354550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1350</v>
      </c>
      <c r="F84" s="616"/>
      <c r="G84" s="616"/>
      <c r="H84" s="1670">
        <f>SUM(H78:H83)</f>
        <v>358079</v>
      </c>
      <c r="I84" s="477"/>
      <c r="J84" s="477"/>
      <c r="K84" s="1670">
        <f>SUM(K78:K83)</f>
        <v>359429</v>
      </c>
      <c r="L84" s="1670">
        <f>SUM(L78:L83)</f>
        <v>354550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1350</v>
      </c>
      <c r="F102" s="616"/>
      <c r="G102" s="616"/>
      <c r="H102" s="1677">
        <f>SUM(H84,H92,H100,H101)</f>
        <v>358079</v>
      </c>
      <c r="I102" s="477"/>
      <c r="J102" s="477"/>
      <c r="K102" s="1677">
        <f>SUM(K84,K92,K100,K101)</f>
        <v>359429</v>
      </c>
      <c r="L102" s="1677">
        <f>SUM(L84,L92,L100,L101)</f>
        <v>354550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4189114</v>
      </c>
      <c r="D114" s="1670">
        <f t="shared" ref="D114:K114" si="13">SUM(D33,D74,D75,D102,D112,D113)</f>
        <v>1334932</v>
      </c>
      <c r="E114" s="1670">
        <f t="shared" si="13"/>
        <v>257032</v>
      </c>
      <c r="F114" s="1670">
        <f t="shared" si="13"/>
        <v>394247</v>
      </c>
      <c r="G114" s="1670">
        <f t="shared" si="13"/>
        <v>49296</v>
      </c>
      <c r="H114" s="1670">
        <f>SUM(H33,H74,H75,H102,H112,H113)</f>
        <v>363427</v>
      </c>
      <c r="I114" s="1670">
        <f t="shared" si="13"/>
        <v>0</v>
      </c>
      <c r="J114" s="1670">
        <f t="shared" si="13"/>
        <v>0</v>
      </c>
      <c r="K114" s="1670">
        <f t="shared" si="13"/>
        <v>6588048</v>
      </c>
      <c r="L114" s="1670">
        <f>SUM(L33,L74,L75,L102,L112,L113)</f>
        <v>6633482</v>
      </c>
    </row>
    <row r="115" spans="1:14" ht="13.5" thickTop="1" x14ac:dyDescent="0.2">
      <c r="A115" s="2183" t="s">
        <v>996</v>
      </c>
      <c r="B115" s="2184"/>
      <c r="C115" s="618"/>
      <c r="D115" s="618"/>
      <c r="E115" s="618"/>
      <c r="F115" s="618"/>
      <c r="G115" s="618"/>
      <c r="H115" s="618"/>
      <c r="I115" s="618"/>
      <c r="J115" s="618"/>
      <c r="K115" s="1684">
        <f>'Revenues 9-14'!C268-'Expenditures 15-22'!K114</f>
        <v>75790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31344</v>
      </c>
      <c r="D124" s="466">
        <v>12</v>
      </c>
      <c r="E124" s="466">
        <v>75583</v>
      </c>
      <c r="F124" s="466">
        <v>240331</v>
      </c>
      <c r="G124" s="466">
        <v>29936</v>
      </c>
      <c r="H124" s="466"/>
      <c r="I124" s="467"/>
      <c r="J124" s="467"/>
      <c r="K124" s="1670">
        <f>SUM(C124:J124)</f>
        <v>377206</v>
      </c>
      <c r="L124" s="466">
        <v>393012</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31344</v>
      </c>
      <c r="D127" s="1670">
        <f t="shared" ref="D127:L127" si="14">SUM(D122:D126)</f>
        <v>12</v>
      </c>
      <c r="E127" s="1670">
        <f t="shared" si="14"/>
        <v>75583</v>
      </c>
      <c r="F127" s="1670">
        <f t="shared" si="14"/>
        <v>240331</v>
      </c>
      <c r="G127" s="1670">
        <f t="shared" si="14"/>
        <v>29936</v>
      </c>
      <c r="H127" s="1670">
        <f t="shared" si="14"/>
        <v>0</v>
      </c>
      <c r="I127" s="1670">
        <f t="shared" si="14"/>
        <v>0</v>
      </c>
      <c r="J127" s="1670">
        <f t="shared" si="14"/>
        <v>0</v>
      </c>
      <c r="K127" s="1670">
        <f t="shared" si="14"/>
        <v>377206</v>
      </c>
      <c r="L127" s="1670">
        <f t="shared" si="14"/>
        <v>393012</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31344</v>
      </c>
      <c r="D129" s="1677">
        <f t="shared" ref="D129:L129" si="15">SUM(D120,D127,D128)</f>
        <v>12</v>
      </c>
      <c r="E129" s="1677">
        <f t="shared" si="15"/>
        <v>75583</v>
      </c>
      <c r="F129" s="1677">
        <f t="shared" si="15"/>
        <v>240331</v>
      </c>
      <c r="G129" s="1677">
        <f t="shared" si="15"/>
        <v>29936</v>
      </c>
      <c r="H129" s="1677">
        <f t="shared" si="15"/>
        <v>0</v>
      </c>
      <c r="I129" s="1677">
        <f t="shared" si="15"/>
        <v>0</v>
      </c>
      <c r="J129" s="1677">
        <f t="shared" si="15"/>
        <v>0</v>
      </c>
      <c r="K129" s="1677">
        <f t="shared" si="15"/>
        <v>377206</v>
      </c>
      <c r="L129" s="1677">
        <f t="shared" si="15"/>
        <v>393012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3" t="s">
        <v>620</v>
      </c>
      <c r="B151" s="2155"/>
      <c r="C151" s="1670">
        <f>SUM(C129,C130,C139,C149,C150)</f>
        <v>31344</v>
      </c>
      <c r="D151" s="1670">
        <f t="shared" ref="D151:K151" si="16">SUM(D129,D130,D139,D149,D150)</f>
        <v>12</v>
      </c>
      <c r="E151" s="1670">
        <f t="shared" si="16"/>
        <v>75583</v>
      </c>
      <c r="F151" s="1670">
        <f t="shared" si="16"/>
        <v>240331</v>
      </c>
      <c r="G151" s="1670">
        <f t="shared" si="16"/>
        <v>29936</v>
      </c>
      <c r="H151" s="1670">
        <f t="shared" si="16"/>
        <v>0</v>
      </c>
      <c r="I151" s="1670">
        <f t="shared" si="16"/>
        <v>0</v>
      </c>
      <c r="J151" s="1670">
        <f t="shared" si="16"/>
        <v>0</v>
      </c>
      <c r="K151" s="1670">
        <f t="shared" si="16"/>
        <v>377206</v>
      </c>
      <c r="L151" s="1670">
        <f>SUM(L129,L130,L139,L149,L150)</f>
        <v>393012</v>
      </c>
    </row>
    <row r="152" spans="1:14" ht="12.75" customHeight="1" thickTop="1" x14ac:dyDescent="0.2">
      <c r="A152" s="2176" t="s">
        <v>1178</v>
      </c>
      <c r="B152" s="2177"/>
      <c r="C152" s="618"/>
      <c r="D152" s="618"/>
      <c r="E152" s="618"/>
      <c r="F152" s="618"/>
      <c r="G152" s="618"/>
      <c r="H152" s="618"/>
      <c r="I152" s="618"/>
      <c r="J152" s="616"/>
      <c r="K152" s="1684">
        <f>'Revenues 9-14'!D268-'Expenditures 15-22'!K151</f>
        <v>-33393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164415</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164415</v>
      </c>
    </row>
    <row r="169" spans="1:14" ht="15.75" customHeight="1" thickTop="1" x14ac:dyDescent="0.2">
      <c r="A169" s="669" t="s">
        <v>83</v>
      </c>
      <c r="B169" s="670" t="s">
        <v>38</v>
      </c>
      <c r="C169" s="616"/>
      <c r="D169" s="616"/>
      <c r="E169" s="616"/>
      <c r="F169" s="616"/>
      <c r="G169" s="616"/>
      <c r="H169" s="656">
        <v>178347</v>
      </c>
      <c r="I169" s="616"/>
      <c r="J169" s="616"/>
      <c r="K169" s="1671">
        <f>SUM(C169:H169)</f>
        <v>178347</v>
      </c>
      <c r="L169" s="656">
        <v>430000</v>
      </c>
    </row>
    <row r="170" spans="1:14" ht="33.75" customHeight="1" x14ac:dyDescent="0.2">
      <c r="A170" s="669" t="s">
        <v>1670</v>
      </c>
      <c r="B170" s="671" t="s">
        <v>31</v>
      </c>
      <c r="C170" s="616"/>
      <c r="D170" s="616"/>
      <c r="E170" s="616"/>
      <c r="F170" s="616"/>
      <c r="G170" s="616"/>
      <c r="H170" s="569">
        <v>415000</v>
      </c>
      <c r="I170" s="616"/>
      <c r="J170" s="616"/>
      <c r="K170" s="1671">
        <f>SUM(C170:J170)</f>
        <v>415000</v>
      </c>
      <c r="L170" s="569">
        <v>0</v>
      </c>
    </row>
    <row r="171" spans="1:14" ht="15.75" customHeight="1" x14ac:dyDescent="0.2">
      <c r="A171" s="621" t="s">
        <v>766</v>
      </c>
      <c r="B171" s="672" t="s">
        <v>84</v>
      </c>
      <c r="C171" s="616"/>
      <c r="D171" s="616"/>
      <c r="E171" s="466"/>
      <c r="F171" s="616"/>
      <c r="G171" s="616"/>
      <c r="H171" s="569"/>
      <c r="I171" s="477"/>
      <c r="J171" s="616"/>
      <c r="K171" s="1671">
        <f>SUM(C171:J171)</f>
        <v>0</v>
      </c>
      <c r="L171" s="569">
        <v>1000</v>
      </c>
    </row>
    <row r="172" spans="1:14" ht="12.75" customHeight="1" thickBot="1" x14ac:dyDescent="0.25">
      <c r="A172" s="1668" t="s">
        <v>638</v>
      </c>
      <c r="B172" s="1669" t="s">
        <v>492</v>
      </c>
      <c r="C172" s="616"/>
      <c r="D172" s="616"/>
      <c r="E172" s="1677">
        <f>SUM(E168,E169,E170,E171)</f>
        <v>0</v>
      </c>
      <c r="F172" s="616"/>
      <c r="G172" s="616"/>
      <c r="H172" s="1677">
        <f>SUM(H168,H169,H170,H171)</f>
        <v>593347</v>
      </c>
      <c r="I172" s="638"/>
      <c r="J172" s="616"/>
      <c r="K172" s="1677">
        <f>SUM(K168,K169,K170,K171)</f>
        <v>593347</v>
      </c>
      <c r="L172" s="1677">
        <f>SUM(L168,L169,L170,L171)</f>
        <v>595415</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593347</v>
      </c>
      <c r="I174" s="638"/>
      <c r="J174" s="616"/>
      <c r="K174" s="1677">
        <f>SUM(K160,K172,K173)</f>
        <v>593347</v>
      </c>
      <c r="L174" s="1677">
        <f>SUM(L160,L172,L173)</f>
        <v>595415</v>
      </c>
    </row>
    <row r="175" spans="1:14" ht="13.5" thickTop="1" x14ac:dyDescent="0.2">
      <c r="A175" s="2183" t="s">
        <v>996</v>
      </c>
      <c r="B175" s="2184"/>
      <c r="C175" s="616"/>
      <c r="D175" s="616"/>
      <c r="E175" s="616"/>
      <c r="F175" s="616"/>
      <c r="G175" s="616"/>
      <c r="H175" s="618"/>
      <c r="I175" s="616"/>
      <c r="J175" s="616"/>
      <c r="K175" s="1684">
        <f>'Revenues 9-14'!E268-'Expenditures 15-22'!K174</f>
        <v>-34008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374458</v>
      </c>
      <c r="D182" s="466">
        <v>105447</v>
      </c>
      <c r="E182" s="466">
        <v>48991</v>
      </c>
      <c r="F182" s="466">
        <v>191561</v>
      </c>
      <c r="G182" s="466">
        <v>170826</v>
      </c>
      <c r="H182" s="466"/>
      <c r="I182" s="467"/>
      <c r="J182" s="467"/>
      <c r="K182" s="1671">
        <f>SUM(C182:J182)</f>
        <v>891283</v>
      </c>
      <c r="L182" s="466">
        <v>894700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374458</v>
      </c>
      <c r="D184" s="1677">
        <f t="shared" ref="D184:J184" si="17">SUM(D180,D182,D183)</f>
        <v>105447</v>
      </c>
      <c r="E184" s="1677">
        <f t="shared" si="17"/>
        <v>48991</v>
      </c>
      <c r="F184" s="1677">
        <f t="shared" si="17"/>
        <v>191561</v>
      </c>
      <c r="G184" s="1677">
        <f t="shared" si="17"/>
        <v>170826</v>
      </c>
      <c r="H184" s="1677">
        <f t="shared" si="17"/>
        <v>0</v>
      </c>
      <c r="I184" s="1677">
        <f t="shared" si="17"/>
        <v>0</v>
      </c>
      <c r="J184" s="1677">
        <f t="shared" si="17"/>
        <v>0</v>
      </c>
      <c r="K184" s="1677">
        <f>SUM(K180,K182,K183)</f>
        <v>891283</v>
      </c>
      <c r="L184" s="1677">
        <f>SUM(L180, L182:L183)</f>
        <v>894700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374458</v>
      </c>
      <c r="D210" s="1670">
        <f>SUM(D184,D185)</f>
        <v>105447</v>
      </c>
      <c r="E210" s="1670">
        <f>SUM(E184,E185,E196)</f>
        <v>48991</v>
      </c>
      <c r="F210" s="1670">
        <f>SUM(F184,F185)</f>
        <v>191561</v>
      </c>
      <c r="G210" s="1670">
        <f>SUM(G184,G185)</f>
        <v>170826</v>
      </c>
      <c r="H210" s="1670">
        <f>SUM(H184,H185,H196,H208,H209)</f>
        <v>0</v>
      </c>
      <c r="I210" s="1670">
        <f>SUM(I184,I185)</f>
        <v>0</v>
      </c>
      <c r="J210" s="1670">
        <f>SUM(J184,J185)</f>
        <v>0</v>
      </c>
      <c r="K210" s="1671">
        <f>SUM(K184,K185,K196,K208,K209)</f>
        <v>891283</v>
      </c>
      <c r="L210" s="1670">
        <f>SUM(L184,L185,L196,L208,L209)</f>
        <v>894700</v>
      </c>
    </row>
    <row r="211" spans="1:14" ht="13.5" thickTop="1" x14ac:dyDescent="0.2">
      <c r="A211" s="2183" t="s">
        <v>996</v>
      </c>
      <c r="B211" s="2184"/>
      <c r="C211" s="618"/>
      <c r="D211" s="618"/>
      <c r="E211" s="618"/>
      <c r="F211" s="618"/>
      <c r="G211" s="618"/>
      <c r="H211" s="618"/>
      <c r="I211" s="616"/>
      <c r="J211" s="616"/>
      <c r="K211" s="1684">
        <f>'Revenues 9-14'!F268-'Expenditures 15-22'!K210</f>
        <v>432919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29915</v>
      </c>
      <c r="E215" s="616"/>
      <c r="F215" s="616"/>
      <c r="G215" s="616"/>
      <c r="H215" s="616"/>
      <c r="I215" s="616"/>
      <c r="J215" s="616"/>
      <c r="K215" s="1671">
        <f>D215</f>
        <v>29915</v>
      </c>
      <c r="L215" s="466">
        <v>20870</v>
      </c>
    </row>
    <row r="216" spans="1:14" x14ac:dyDescent="0.2">
      <c r="A216" s="1504" t="s">
        <v>163</v>
      </c>
      <c r="B216" s="614" t="s">
        <v>967</v>
      </c>
      <c r="C216" s="616"/>
      <c r="D216" s="467"/>
      <c r="E216" s="616"/>
      <c r="F216" s="616"/>
      <c r="G216" s="616"/>
      <c r="H216" s="616"/>
      <c r="I216" s="616"/>
      <c r="J216" s="616"/>
      <c r="K216" s="1671">
        <f t="shared" ref="K216:K228" si="19">D216</f>
        <v>0</v>
      </c>
      <c r="L216" s="466">
        <v>10350</v>
      </c>
    </row>
    <row r="217" spans="1:14" x14ac:dyDescent="0.2">
      <c r="A217" s="1504" t="s">
        <v>164</v>
      </c>
      <c r="B217" s="614">
        <v>1200</v>
      </c>
      <c r="C217" s="616"/>
      <c r="D217" s="466">
        <v>49544</v>
      </c>
      <c r="E217" s="616"/>
      <c r="F217" s="616"/>
      <c r="G217" s="616"/>
      <c r="H217" s="616"/>
      <c r="I217" s="616"/>
      <c r="J217" s="616"/>
      <c r="K217" s="1671">
        <f t="shared" si="19"/>
        <v>49544</v>
      </c>
      <c r="L217" s="466">
        <v>47600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11412</v>
      </c>
      <c r="E219" s="616"/>
      <c r="F219" s="616"/>
      <c r="G219" s="616"/>
      <c r="H219" s="616"/>
      <c r="I219" s="616"/>
      <c r="J219" s="616"/>
      <c r="K219" s="1671">
        <f t="shared" si="19"/>
        <v>11412</v>
      </c>
      <c r="L219" s="466">
        <v>760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2679</v>
      </c>
      <c r="E222" s="616"/>
      <c r="F222" s="616"/>
      <c r="G222" s="616"/>
      <c r="H222" s="616"/>
      <c r="I222" s="616"/>
      <c r="J222" s="616"/>
      <c r="K222" s="1671">
        <f t="shared" si="19"/>
        <v>2679</v>
      </c>
      <c r="L222" s="466">
        <v>3060</v>
      </c>
    </row>
    <row r="223" spans="1:14" x14ac:dyDescent="0.2">
      <c r="A223" s="1504" t="s">
        <v>963</v>
      </c>
      <c r="B223" s="614">
        <v>1500</v>
      </c>
      <c r="C223" s="616"/>
      <c r="D223" s="466">
        <v>1405</v>
      </c>
      <c r="E223" s="616"/>
      <c r="F223" s="616"/>
      <c r="G223" s="616"/>
      <c r="H223" s="616"/>
      <c r="I223" s="616"/>
      <c r="J223" s="616"/>
      <c r="K223" s="1671">
        <f t="shared" si="19"/>
        <v>1405</v>
      </c>
      <c r="L223" s="466">
        <v>1405</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94955</v>
      </c>
      <c r="E229" s="616"/>
      <c r="F229" s="616"/>
      <c r="G229" s="616"/>
      <c r="H229" s="616"/>
      <c r="I229" s="616"/>
      <c r="J229" s="616"/>
      <c r="K229" s="1670">
        <f>SUM(K215:K228)</f>
        <v>94955</v>
      </c>
      <c r="L229" s="1670">
        <f>SUM(L215:L228)</f>
        <v>84045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v>5467</v>
      </c>
      <c r="E233" s="616"/>
      <c r="F233" s="616"/>
      <c r="G233" s="616"/>
      <c r="H233" s="616"/>
      <c r="I233" s="616"/>
      <c r="J233" s="616"/>
      <c r="K233" s="1671">
        <f t="shared" si="20"/>
        <v>5467</v>
      </c>
      <c r="L233" s="466">
        <v>3560</v>
      </c>
    </row>
    <row r="234" spans="1:12" x14ac:dyDescent="0.2">
      <c r="A234" s="1504" t="s">
        <v>198</v>
      </c>
      <c r="B234" s="614">
        <v>2130</v>
      </c>
      <c r="C234" s="616"/>
      <c r="D234" s="466">
        <v>7946</v>
      </c>
      <c r="E234" s="616"/>
      <c r="F234" s="616"/>
      <c r="G234" s="616"/>
      <c r="H234" s="616"/>
      <c r="I234" s="616"/>
      <c r="J234" s="616"/>
      <c r="K234" s="1671">
        <f t="shared" si="20"/>
        <v>7946</v>
      </c>
      <c r="L234" s="466">
        <v>10000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v>536</v>
      </c>
      <c r="E236" s="616"/>
      <c r="F236" s="616"/>
      <c r="G236" s="616"/>
      <c r="H236" s="616"/>
      <c r="I236" s="616"/>
      <c r="J236" s="616"/>
      <c r="K236" s="1671">
        <f t="shared" si="20"/>
        <v>536</v>
      </c>
      <c r="L236" s="466">
        <v>600</v>
      </c>
    </row>
    <row r="237" spans="1:12" x14ac:dyDescent="0.2">
      <c r="A237" s="1504" t="s">
        <v>165</v>
      </c>
      <c r="B237" s="614">
        <v>2190</v>
      </c>
      <c r="C237" s="616"/>
      <c r="D237" s="466">
        <v>3363</v>
      </c>
      <c r="E237" s="616"/>
      <c r="F237" s="616"/>
      <c r="G237" s="616"/>
      <c r="H237" s="616"/>
      <c r="I237" s="616"/>
      <c r="J237" s="616"/>
      <c r="K237" s="1671">
        <f t="shared" si="20"/>
        <v>3363</v>
      </c>
      <c r="L237" s="466">
        <v>4250</v>
      </c>
    </row>
    <row r="238" spans="1:12" ht="12.75" customHeight="1" thickBot="1" x14ac:dyDescent="0.25">
      <c r="A238" s="1668" t="s">
        <v>560</v>
      </c>
      <c r="B238" s="1675" t="s">
        <v>716</v>
      </c>
      <c r="C238" s="616"/>
      <c r="D238" s="1670">
        <f>SUM(D232:D237)</f>
        <v>17312</v>
      </c>
      <c r="E238" s="616"/>
      <c r="F238" s="616"/>
      <c r="G238" s="616"/>
      <c r="H238" s="616"/>
      <c r="I238" s="616"/>
      <c r="J238" s="616"/>
      <c r="K238" s="1670">
        <f>SUM(K232:K237)</f>
        <v>17312</v>
      </c>
      <c r="L238" s="1670">
        <f>SUM(L232:L237)</f>
        <v>18410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10858</v>
      </c>
      <c r="E240" s="616"/>
      <c r="F240" s="616"/>
      <c r="G240" s="616"/>
      <c r="H240" s="616"/>
      <c r="I240" s="616"/>
      <c r="J240" s="616"/>
      <c r="K240" s="1672">
        <f>D240</f>
        <v>10858</v>
      </c>
      <c r="L240" s="481">
        <v>10540</v>
      </c>
    </row>
    <row r="241" spans="1:12" x14ac:dyDescent="0.2">
      <c r="A241" s="1504" t="s">
        <v>815</v>
      </c>
      <c r="B241" s="614">
        <v>2220</v>
      </c>
      <c r="C241" s="616"/>
      <c r="D241" s="466">
        <v>3612</v>
      </c>
      <c r="E241" s="616"/>
      <c r="F241" s="616"/>
      <c r="G241" s="616"/>
      <c r="H241" s="616"/>
      <c r="I241" s="616"/>
      <c r="J241" s="616"/>
      <c r="K241" s="1672">
        <f>D241</f>
        <v>3612</v>
      </c>
      <c r="L241" s="466">
        <v>4100</v>
      </c>
    </row>
    <row r="242" spans="1:12" x14ac:dyDescent="0.2">
      <c r="A242" s="1504" t="s">
        <v>816</v>
      </c>
      <c r="B242" s="614">
        <v>2230</v>
      </c>
      <c r="C242" s="616"/>
      <c r="D242" s="466"/>
      <c r="E242" s="616"/>
      <c r="F242" s="616"/>
      <c r="G242" s="616"/>
      <c r="H242" s="616"/>
      <c r="I242" s="616"/>
      <c r="J242" s="616"/>
      <c r="K242" s="1672">
        <f>D242</f>
        <v>0</v>
      </c>
      <c r="L242" s="466">
        <v>90</v>
      </c>
    </row>
    <row r="243" spans="1:12" ht="12.75" customHeight="1" thickBot="1" x14ac:dyDescent="0.25">
      <c r="A243" s="1694" t="s">
        <v>561</v>
      </c>
      <c r="B243" s="1695">
        <v>2200</v>
      </c>
      <c r="C243" s="616"/>
      <c r="D243" s="1670">
        <f>SUM(D240:D242)</f>
        <v>14470</v>
      </c>
      <c r="E243" s="616"/>
      <c r="F243" s="616"/>
      <c r="G243" s="616"/>
      <c r="H243" s="616"/>
      <c r="I243" s="616"/>
      <c r="J243" s="616"/>
      <c r="K243" s="1670">
        <f>SUM(K240:K242)</f>
        <v>14470</v>
      </c>
      <c r="L243" s="1670">
        <f>SUM(L240:L242)</f>
        <v>14730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471</v>
      </c>
      <c r="E245" s="616"/>
      <c r="F245" s="616"/>
      <c r="G245" s="616"/>
      <c r="H245" s="616"/>
      <c r="I245" s="616"/>
      <c r="J245" s="616"/>
      <c r="K245" s="1672">
        <f>D245</f>
        <v>471</v>
      </c>
      <c r="L245" s="481">
        <v>475</v>
      </c>
    </row>
    <row r="246" spans="1:12" x14ac:dyDescent="0.2">
      <c r="A246" s="1504" t="s">
        <v>818</v>
      </c>
      <c r="B246" s="614">
        <v>2320</v>
      </c>
      <c r="C246" s="616"/>
      <c r="D246" s="466">
        <v>1486</v>
      </c>
      <c r="E246" s="616"/>
      <c r="F246" s="616"/>
      <c r="G246" s="616"/>
      <c r="H246" s="616"/>
      <c r="I246" s="616"/>
      <c r="J246" s="616"/>
      <c r="K246" s="1672">
        <f t="shared" ref="K246:K256" si="21">D246</f>
        <v>1486</v>
      </c>
      <c r="L246" s="466">
        <v>1550</v>
      </c>
    </row>
    <row r="247" spans="1:12" x14ac:dyDescent="0.2">
      <c r="A247" s="1504" t="s">
        <v>819</v>
      </c>
      <c r="B247" s="614">
        <v>2330</v>
      </c>
      <c r="C247" s="616"/>
      <c r="D247" s="466">
        <v>85</v>
      </c>
      <c r="E247" s="616"/>
      <c r="F247" s="616"/>
      <c r="G247" s="616"/>
      <c r="H247" s="616"/>
      <c r="I247" s="616"/>
      <c r="J247" s="616"/>
      <c r="K247" s="1672">
        <f t="shared" si="21"/>
        <v>85</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2042</v>
      </c>
      <c r="E257" s="616"/>
      <c r="F257" s="616"/>
      <c r="G257" s="616"/>
      <c r="H257" s="616"/>
      <c r="I257" s="616"/>
      <c r="J257" s="616"/>
      <c r="K257" s="1670">
        <f>SUM(K245:K256)</f>
        <v>2042</v>
      </c>
      <c r="L257" s="1670">
        <f>SUM(L245:L256)</f>
        <v>2025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39287</v>
      </c>
      <c r="E259" s="616"/>
      <c r="F259" s="616"/>
      <c r="G259" s="616"/>
      <c r="H259" s="616"/>
      <c r="I259" s="616"/>
      <c r="J259" s="616"/>
      <c r="K259" s="1672">
        <f>D259</f>
        <v>39287</v>
      </c>
      <c r="L259" s="481">
        <v>40200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39287</v>
      </c>
      <c r="E261" s="616"/>
      <c r="F261" s="616"/>
      <c r="G261" s="616"/>
      <c r="H261" s="616"/>
      <c r="I261" s="616"/>
      <c r="J261" s="616"/>
      <c r="K261" s="1670">
        <f>SUM(K259:K260)</f>
        <v>39287</v>
      </c>
      <c r="L261" s="1670">
        <f>SUM(L259:L260)</f>
        <v>40200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16098</v>
      </c>
      <c r="E264" s="616"/>
      <c r="F264" s="616"/>
      <c r="G264" s="616"/>
      <c r="H264" s="616"/>
      <c r="I264" s="616"/>
      <c r="J264" s="616"/>
      <c r="K264" s="1672">
        <f t="shared" ref="K264:K269" si="22">D264</f>
        <v>16098</v>
      </c>
      <c r="L264" s="466">
        <v>16700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42767</v>
      </c>
      <c r="E266" s="616"/>
      <c r="F266" s="616"/>
      <c r="G266" s="616"/>
      <c r="H266" s="616"/>
      <c r="I266" s="616"/>
      <c r="J266" s="616"/>
      <c r="K266" s="1672">
        <f t="shared" si="22"/>
        <v>42767</v>
      </c>
      <c r="L266" s="466">
        <v>43700</v>
      </c>
    </row>
    <row r="267" spans="1:14" x14ac:dyDescent="0.2">
      <c r="A267" s="1504" t="s">
        <v>953</v>
      </c>
      <c r="B267" s="614">
        <v>2550</v>
      </c>
      <c r="C267" s="616"/>
      <c r="D267" s="466">
        <v>67019</v>
      </c>
      <c r="E267" s="616"/>
      <c r="F267" s="616"/>
      <c r="G267" s="616"/>
      <c r="H267" s="616"/>
      <c r="I267" s="616"/>
      <c r="J267" s="616"/>
      <c r="K267" s="1672">
        <f t="shared" si="22"/>
        <v>67019</v>
      </c>
      <c r="L267" s="466">
        <v>71600</v>
      </c>
    </row>
    <row r="268" spans="1:14" x14ac:dyDescent="0.2">
      <c r="A268" s="1504" t="s">
        <v>100</v>
      </c>
      <c r="B268" s="614">
        <v>2560</v>
      </c>
      <c r="C268" s="616"/>
      <c r="D268" s="466">
        <v>20178</v>
      </c>
      <c r="E268" s="616"/>
      <c r="F268" s="616"/>
      <c r="G268" s="616"/>
      <c r="H268" s="616"/>
      <c r="I268" s="616"/>
      <c r="J268" s="616"/>
      <c r="K268" s="1672">
        <f t="shared" si="22"/>
        <v>20178</v>
      </c>
      <c r="L268" s="466">
        <v>20350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146062</v>
      </c>
      <c r="E270" s="616"/>
      <c r="F270" s="616"/>
      <c r="G270" s="616"/>
      <c r="H270" s="616"/>
      <c r="I270" s="616"/>
      <c r="J270" s="616"/>
      <c r="K270" s="1670">
        <f>SUM(K263:K269)</f>
        <v>146062</v>
      </c>
      <c r="L270" s="1670">
        <f>SUM(L263:L269)</f>
        <v>152350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219173</v>
      </c>
      <c r="E279" s="616"/>
      <c r="F279" s="616"/>
      <c r="G279" s="616"/>
      <c r="H279" s="616"/>
      <c r="I279" s="616"/>
      <c r="J279" s="616"/>
      <c r="K279" s="1677">
        <f>SUM(K238,K243,K257,K261,K270,K277,K278)</f>
        <v>219173</v>
      </c>
      <c r="L279" s="1677">
        <f>SUM(L238,L243,L257,L261,L270,L277,L278)</f>
        <v>227715</v>
      </c>
    </row>
    <row r="280" spans="1:12" ht="15.75" customHeight="1" thickTop="1" thickBot="1" x14ac:dyDescent="0.25">
      <c r="A280" s="1624" t="s">
        <v>875</v>
      </c>
      <c r="B280" s="1613">
        <v>3000</v>
      </c>
      <c r="C280" s="616"/>
      <c r="D280" s="576">
        <v>320</v>
      </c>
      <c r="E280" s="616"/>
      <c r="F280" s="616"/>
      <c r="G280" s="616"/>
      <c r="H280" s="616"/>
      <c r="I280" s="616"/>
      <c r="J280" s="616"/>
      <c r="K280" s="1679">
        <f>D280</f>
        <v>320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4" t="s">
        <v>505</v>
      </c>
      <c r="B295" s="2175"/>
      <c r="C295" s="616"/>
      <c r="D295" s="1670">
        <f>SUM(D229,D279,D280,D285)</f>
        <v>314448</v>
      </c>
      <c r="E295" s="616"/>
      <c r="F295" s="616"/>
      <c r="G295" s="616"/>
      <c r="H295" s="1670">
        <f>H293</f>
        <v>0</v>
      </c>
      <c r="I295" s="616"/>
      <c r="J295" s="616"/>
      <c r="K295" s="1670">
        <f>SUM(K229,K279,K280,K285,K293,K294)</f>
        <v>314448</v>
      </c>
      <c r="L295" s="1670">
        <f>SUM(L229,L279,L280,L285,L293,L294)</f>
        <v>311760</v>
      </c>
    </row>
    <row r="296" spans="1:14" ht="13.5" thickTop="1" x14ac:dyDescent="0.2">
      <c r="A296" s="2183" t="s">
        <v>996</v>
      </c>
      <c r="B296" s="2184"/>
      <c r="C296" s="616"/>
      <c r="D296" s="618"/>
      <c r="E296" s="616"/>
      <c r="F296" s="616"/>
      <c r="G296" s="616"/>
      <c r="H296" s="687"/>
      <c r="I296" s="616"/>
      <c r="J296" s="616"/>
      <c r="K296" s="1684">
        <f>'Revenues 9-14'!G268-'Expenditures 15-22'!K295</f>
        <v>-21383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120674</v>
      </c>
      <c r="F301" s="466">
        <v>4971</v>
      </c>
      <c r="G301" s="466">
        <v>359891</v>
      </c>
      <c r="H301" s="466">
        <v>49500</v>
      </c>
      <c r="I301" s="467"/>
      <c r="J301" s="467"/>
      <c r="K301" s="1671">
        <f>SUM(C301:J301)</f>
        <v>535036</v>
      </c>
      <c r="L301" s="467">
        <v>470000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120674</v>
      </c>
      <c r="F303" s="1677">
        <f t="shared" si="23"/>
        <v>4971</v>
      </c>
      <c r="G303" s="1677">
        <f t="shared" si="23"/>
        <v>359891</v>
      </c>
      <c r="H303" s="1677">
        <f t="shared" si="23"/>
        <v>49500</v>
      </c>
      <c r="I303" s="1677">
        <f t="shared" si="23"/>
        <v>0</v>
      </c>
      <c r="J303" s="1677">
        <f t="shared" si="23"/>
        <v>0</v>
      </c>
      <c r="K303" s="1677">
        <f t="shared" si="23"/>
        <v>535036</v>
      </c>
      <c r="L303" s="1677">
        <f t="shared" si="23"/>
        <v>470000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v>300</v>
      </c>
      <c r="F309" s="616"/>
      <c r="G309" s="616"/>
      <c r="H309" s="467"/>
      <c r="I309" s="477"/>
      <c r="J309" s="616"/>
      <c r="K309" s="1671">
        <f>SUM(E309,H309)</f>
        <v>300</v>
      </c>
      <c r="L309" s="466">
        <v>0</v>
      </c>
    </row>
    <row r="310" spans="1:14" ht="12.75" customHeight="1" thickBot="1" x14ac:dyDescent="0.25">
      <c r="A310" s="1668" t="s">
        <v>1487</v>
      </c>
      <c r="B310" s="1675" t="s">
        <v>860</v>
      </c>
      <c r="C310" s="616"/>
      <c r="D310" s="616"/>
      <c r="E310" s="1670">
        <f>SUM(E306:E309)</f>
        <v>300</v>
      </c>
      <c r="F310" s="616"/>
      <c r="G310" s="616"/>
      <c r="H310" s="1670">
        <f>SUM(H306:H309)</f>
        <v>0</v>
      </c>
      <c r="I310" s="477"/>
      <c r="J310" s="616"/>
      <c r="K310" s="1670">
        <f>SUM(K306:K309)</f>
        <v>300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1" t="s">
        <v>277</v>
      </c>
      <c r="B312" s="2172"/>
      <c r="C312" s="1670">
        <f>SUM(C303)</f>
        <v>0</v>
      </c>
      <c r="D312" s="1670">
        <f>SUM(D303)</f>
        <v>0</v>
      </c>
      <c r="E312" s="1670">
        <f>SUM(E303,E310)</f>
        <v>120974</v>
      </c>
      <c r="F312" s="1670">
        <f>SUM(F303)</f>
        <v>4971</v>
      </c>
      <c r="G312" s="1670">
        <f>SUM(G303)</f>
        <v>359891</v>
      </c>
      <c r="H312" s="1670">
        <f>SUM(H303,H310)</f>
        <v>49500</v>
      </c>
      <c r="I312" s="1670">
        <f>SUM(I303)</f>
        <v>0</v>
      </c>
      <c r="J312" s="1670">
        <f>SUM(J303)</f>
        <v>0</v>
      </c>
      <c r="K312" s="1670">
        <f>SUM(K303,K310,K311)</f>
        <v>535336</v>
      </c>
      <c r="L312" s="1670">
        <f>SUM(L303,L310,L311)</f>
        <v>470000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123902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v>117309</v>
      </c>
      <c r="F322" s="467">
        <v>5107</v>
      </c>
      <c r="G322" s="467">
        <v>17086</v>
      </c>
      <c r="H322" s="467"/>
      <c r="I322" s="467"/>
      <c r="J322" s="467"/>
      <c r="K322" s="1671">
        <f t="shared" si="24"/>
        <v>139502</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v>356376</v>
      </c>
      <c r="D325" s="467"/>
      <c r="E325" s="467"/>
      <c r="F325" s="467"/>
      <c r="G325" s="467"/>
      <c r="H325" s="467"/>
      <c r="I325" s="467"/>
      <c r="J325" s="467"/>
      <c r="K325" s="1671">
        <f t="shared" si="24"/>
        <v>356376</v>
      </c>
      <c r="L325" s="467">
        <v>365700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356376</v>
      </c>
      <c r="D330" s="1670">
        <f t="shared" ref="D330:J330" si="25">SUM(D319:D329)</f>
        <v>0</v>
      </c>
      <c r="E330" s="1670">
        <f t="shared" si="25"/>
        <v>117309</v>
      </c>
      <c r="F330" s="1670">
        <f t="shared" si="25"/>
        <v>5107</v>
      </c>
      <c r="G330" s="1670">
        <f t="shared" si="25"/>
        <v>17086</v>
      </c>
      <c r="H330" s="1670">
        <f t="shared" si="25"/>
        <v>0</v>
      </c>
      <c r="I330" s="1670">
        <f t="shared" si="25"/>
        <v>0</v>
      </c>
      <c r="J330" s="1670">
        <f t="shared" si="25"/>
        <v>0</v>
      </c>
      <c r="K330" s="1670">
        <f>SUM(K319:K329)</f>
        <v>495878</v>
      </c>
      <c r="L330" s="1670">
        <f>SUM(L319:L329)</f>
        <v>365700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356376</v>
      </c>
      <c r="D342" s="1670">
        <f>SUM(D330)</f>
        <v>0</v>
      </c>
      <c r="E342" s="1670">
        <f>SUM(E330)</f>
        <v>117309</v>
      </c>
      <c r="F342" s="1670">
        <f>SUM(F330)</f>
        <v>5107</v>
      </c>
      <c r="G342" s="1670">
        <f>SUM(G330)</f>
        <v>17086</v>
      </c>
      <c r="H342" s="1670">
        <f>SUM(H330,H334,H340)</f>
        <v>0</v>
      </c>
      <c r="I342" s="1670">
        <f>SUM(I330)</f>
        <v>0</v>
      </c>
      <c r="J342" s="1670">
        <f>SUM(J330)</f>
        <v>0</v>
      </c>
      <c r="K342" s="1670">
        <f>SUM(K330,K334,K340)</f>
        <v>495878</v>
      </c>
      <c r="L342" s="1677">
        <f>SUM(L330,L340,L341)</f>
        <v>365700</v>
      </c>
    </row>
    <row r="343" spans="1:14" ht="12.75" customHeight="1" thickTop="1" x14ac:dyDescent="0.2">
      <c r="A343" s="2169" t="s">
        <v>996</v>
      </c>
      <c r="B343" s="2170"/>
      <c r="C343" s="616"/>
      <c r="D343" s="616"/>
      <c r="E343" s="616"/>
      <c r="F343" s="616"/>
      <c r="G343" s="616"/>
      <c r="H343" s="616"/>
      <c r="I343" s="616"/>
      <c r="J343" s="616"/>
      <c r="K343" s="1684">
        <f>'Revenues 9-14'!J268-'Expenditures 15-22'!K342</f>
        <v>-5199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10000</v>
      </c>
    </row>
    <row r="349" spans="1:14" x14ac:dyDescent="0.2">
      <c r="A349" s="1504" t="s">
        <v>197</v>
      </c>
      <c r="B349" s="614">
        <v>2540</v>
      </c>
      <c r="C349" s="466"/>
      <c r="D349" s="466"/>
      <c r="E349" s="466">
        <v>9000</v>
      </c>
      <c r="F349" s="466"/>
      <c r="G349" s="466"/>
      <c r="H349" s="466"/>
      <c r="I349" s="467"/>
      <c r="J349" s="467"/>
      <c r="K349" s="1671">
        <f>SUM(C349:J349)</f>
        <v>9000</v>
      </c>
      <c r="L349" s="466">
        <v>0</v>
      </c>
    </row>
    <row r="350" spans="1:14" ht="12.75" customHeight="1" thickBot="1" x14ac:dyDescent="0.25">
      <c r="A350" s="1668" t="s">
        <v>719</v>
      </c>
      <c r="B350" s="1669" t="s">
        <v>35</v>
      </c>
      <c r="C350" s="1670">
        <f>SUM(C348:C349)</f>
        <v>0</v>
      </c>
      <c r="D350" s="1670">
        <f t="shared" ref="D350:L350" si="26">SUM(D348:D349)</f>
        <v>0</v>
      </c>
      <c r="E350" s="1670">
        <f t="shared" si="26"/>
        <v>9000</v>
      </c>
      <c r="F350" s="1670">
        <f t="shared" si="26"/>
        <v>0</v>
      </c>
      <c r="G350" s="1670">
        <f t="shared" si="26"/>
        <v>0</v>
      </c>
      <c r="H350" s="1670">
        <f t="shared" si="26"/>
        <v>0</v>
      </c>
      <c r="I350" s="1670">
        <f t="shared" si="26"/>
        <v>0</v>
      </c>
      <c r="J350" s="1670">
        <f t="shared" si="26"/>
        <v>0</v>
      </c>
      <c r="K350" s="1670">
        <f t="shared" si="26"/>
        <v>9000</v>
      </c>
      <c r="L350" s="1670">
        <f t="shared" si="26"/>
        <v>10000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9000</v>
      </c>
      <c r="F352" s="1670">
        <f t="shared" si="27"/>
        <v>0</v>
      </c>
      <c r="G352" s="1670">
        <f t="shared" si="27"/>
        <v>0</v>
      </c>
      <c r="H352" s="1670">
        <f t="shared" si="27"/>
        <v>0</v>
      </c>
      <c r="I352" s="1670">
        <f t="shared" si="27"/>
        <v>0</v>
      </c>
      <c r="J352" s="1670">
        <f t="shared" si="27"/>
        <v>0</v>
      </c>
      <c r="K352" s="1670">
        <f t="shared" si="27"/>
        <v>9000</v>
      </c>
      <c r="L352" s="1670">
        <f t="shared" si="27"/>
        <v>10000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9000</v>
      </c>
      <c r="F367" s="1670">
        <f t="shared" si="28"/>
        <v>0</v>
      </c>
      <c r="G367" s="1670">
        <f t="shared" si="28"/>
        <v>0</v>
      </c>
      <c r="H367" s="1670">
        <f t="shared" si="28"/>
        <v>0</v>
      </c>
      <c r="I367" s="1670">
        <f t="shared" si="28"/>
        <v>0</v>
      </c>
      <c r="J367" s="1670">
        <f t="shared" si="28"/>
        <v>0</v>
      </c>
      <c r="K367" s="1670">
        <f t="shared" si="28"/>
        <v>9000</v>
      </c>
      <c r="L367" s="1670">
        <f t="shared" si="28"/>
        <v>10000</v>
      </c>
    </row>
    <row r="368" spans="1:14" ht="13.5" thickTop="1" x14ac:dyDescent="0.2">
      <c r="A368" s="2183" t="s">
        <v>996</v>
      </c>
      <c r="B368" s="2184"/>
      <c r="C368" s="654"/>
      <c r="D368" s="654"/>
      <c r="E368" s="626"/>
      <c r="F368" s="626"/>
      <c r="G368" s="626"/>
      <c r="H368" s="626"/>
      <c r="I368" s="626"/>
      <c r="J368" s="623"/>
      <c r="K368" s="1671">
        <f>'Revenues 9-14'!K268-'Expenditures 15-22'!K367</f>
        <v>27271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6"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accompanying notes are an integral part of these financial statements.
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purl.org/dc/elements/1.1/"/>
    <ds:schemaRef ds:uri="http://schemas.microsoft.com/sharepoint/v3"/>
    <ds:schemaRef ds:uri="http://purl.org/dc/dcmitype/"/>
    <ds:schemaRef ds:uri="4d435f69-8686-490b-bd6d-b153bf22ab50"/>
    <ds:schemaRef ds:uri="http://schemas.microsoft.com/office/infopath/2007/PartnerControls"/>
    <ds:schemaRef ds:uri="http://purl.org/dc/terms/"/>
    <ds:schemaRef ds:uri="http://www.w3.org/XML/1998/namespace"/>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 </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2019-10-14T22:40:53Z</cp:lastPrinted>
  <dcterms:created xsi:type="dcterms:W3CDTF">2003-10-29T19:06:34Z</dcterms:created>
  <dcterms:modified xsi:type="dcterms:W3CDTF">2020-01-15T21:33:35Z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