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94A46B7-90FD-492E-808F-6F35F8AA0C57}" xr6:coauthVersionLast="36" xr6:coauthVersionMax="36" xr10:uidLastSave="{00000000-0000-0000-0000-000000000000}"/>
  <bookViews>
    <workbookView xWindow="7935" yWindow="3510" windowWidth="17910" windowHeight="1141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 i="29" l="1"/>
  <c r="C4" i="3"/>
  <c r="M19" i="3" l="1"/>
  <c r="K22" i="179" l="1"/>
  <c r="J22" i="179"/>
  <c r="I22" i="179"/>
  <c r="H22" i="179"/>
  <c r="G22" i="179"/>
  <c r="F22" i="179"/>
  <c r="E22" i="179"/>
  <c r="K27" i="179"/>
  <c r="J27" i="179"/>
  <c r="I27" i="179"/>
  <c r="H27" i="179"/>
  <c r="G27" i="179"/>
  <c r="F27" i="179"/>
  <c r="E27" i="179"/>
  <c r="L21" i="179"/>
  <c r="K20" i="179"/>
  <c r="J20" i="179"/>
  <c r="I20" i="179"/>
  <c r="H20" i="179"/>
  <c r="G20" i="179"/>
  <c r="F20" i="179"/>
  <c r="E20" i="179"/>
  <c r="L19" i="179"/>
  <c r="L18" i="179"/>
  <c r="L17" i="179"/>
  <c r="C107" i="5"/>
  <c r="C219" i="5"/>
  <c r="K17" i="185"/>
  <c r="J17" i="185"/>
  <c r="I17" i="185"/>
  <c r="H17" i="185"/>
  <c r="G17" i="185"/>
  <c r="F17" i="185"/>
  <c r="E17" i="185"/>
  <c r="K27" i="184"/>
  <c r="J27" i="184"/>
  <c r="I27" i="184"/>
  <c r="H27" i="184"/>
  <c r="G27" i="184"/>
  <c r="F27" i="184"/>
  <c r="E27" i="184"/>
  <c r="K23" i="184"/>
  <c r="J23" i="184"/>
  <c r="I23" i="184"/>
  <c r="H23" i="184"/>
  <c r="G23" i="184"/>
  <c r="F23" i="184"/>
  <c r="E23" i="184"/>
  <c r="L21" i="184"/>
  <c r="K21" i="184"/>
  <c r="J21" i="184"/>
  <c r="I21" i="184"/>
  <c r="H21" i="184"/>
  <c r="G21" i="184"/>
  <c r="F21" i="184"/>
  <c r="E21" i="184"/>
  <c r="K16" i="184"/>
  <c r="J16" i="184"/>
  <c r="I16" i="184"/>
  <c r="H16" i="184"/>
  <c r="G16" i="184"/>
  <c r="F16" i="184"/>
  <c r="E16" i="184"/>
  <c r="L22" i="179" l="1"/>
  <c r="L20" i="179"/>
  <c r="K26" i="183" l="1"/>
  <c r="J26" i="183"/>
  <c r="I26" i="183"/>
  <c r="H26" i="183"/>
  <c r="G26" i="183"/>
  <c r="F26" i="183"/>
  <c r="E26" i="183"/>
  <c r="K16" i="183" l="1"/>
  <c r="K20" i="183" s="1"/>
  <c r="K27" i="183" s="1"/>
  <c r="K27" i="185" s="1"/>
  <c r="J16" i="183"/>
  <c r="J20" i="183" s="1"/>
  <c r="J27" i="183" s="1"/>
  <c r="J27" i="185" s="1"/>
  <c r="I16" i="183"/>
  <c r="I20" i="183" s="1"/>
  <c r="I27" i="183" s="1"/>
  <c r="I27" i="185" s="1"/>
  <c r="H16" i="183"/>
  <c r="H20" i="183" s="1"/>
  <c r="H27" i="183" s="1"/>
  <c r="H27" i="185" s="1"/>
  <c r="G16" i="183"/>
  <c r="F16" i="183"/>
  <c r="F20" i="183" s="1"/>
  <c r="F27" i="183" s="1"/>
  <c r="F27" i="185" s="1"/>
  <c r="E16" i="183"/>
  <c r="E20" i="183" s="1"/>
  <c r="E27" i="183" s="1"/>
  <c r="E27" i="185" s="1"/>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0" i="184"/>
  <c r="L19" i="184"/>
  <c r="L18" i="184"/>
  <c r="L17" i="184"/>
  <c r="L16" i="184"/>
  <c r="L15" i="184"/>
  <c r="L14" i="184"/>
  <c r="L13" i="184"/>
  <c r="L12" i="184"/>
  <c r="L11" i="184"/>
  <c r="B4" i="184"/>
  <c r="K16" i="179"/>
  <c r="J16" i="179"/>
  <c r="I16" i="179"/>
  <c r="H16" i="179"/>
  <c r="G16" i="179"/>
  <c r="F16" i="179"/>
  <c r="E16" i="179"/>
  <c r="L26" i="183"/>
  <c r="L25" i="183"/>
  <c r="L24" i="183"/>
  <c r="L23" i="183"/>
  <c r="L22" i="183"/>
  <c r="L21" i="183"/>
  <c r="L19" i="183"/>
  <c r="L18" i="183"/>
  <c r="L17" i="183"/>
  <c r="L15" i="183"/>
  <c r="L14" i="183"/>
  <c r="L13" i="183"/>
  <c r="L12" i="183"/>
  <c r="L11" i="183"/>
  <c r="B4" i="183"/>
  <c r="L16" i="183" l="1"/>
  <c r="G20" i="183"/>
  <c r="G27" i="183" l="1"/>
  <c r="L20" i="183"/>
  <c r="F38" i="181"/>
  <c r="F37" i="181"/>
  <c r="F36" i="181"/>
  <c r="F35" i="181"/>
  <c r="F34" i="181"/>
  <c r="F33" i="181"/>
  <c r="F32" i="181"/>
  <c r="F31" i="181"/>
  <c r="F30" i="181"/>
  <c r="F29" i="181"/>
  <c r="F28" i="181"/>
  <c r="F27" i="181"/>
  <c r="F26" i="181"/>
  <c r="G27" i="185" l="1"/>
  <c r="L27" i="185" s="1"/>
  <c r="L27" i="18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G35" i="181"/>
  <c r="E35" i="181"/>
  <c r="G34" i="181"/>
  <c r="E34" i="181"/>
  <c r="G33" i="181"/>
  <c r="E33" i="181"/>
  <c r="G32" i="181"/>
  <c r="E32" i="181"/>
  <c r="E31" i="181"/>
  <c r="G31" i="181" s="1"/>
  <c r="G30" i="181"/>
  <c r="E30" i="181"/>
  <c r="G29" i="181"/>
  <c r="E29" i="181"/>
  <c r="G28" i="181"/>
  <c r="E28" i="181"/>
  <c r="G27" i="181"/>
  <c r="E27" i="181"/>
  <c r="G38" i="181"/>
  <c r="E38" i="181"/>
  <c r="E26" i="181"/>
  <c r="E25" i="181"/>
  <c r="E24" i="181"/>
  <c r="E23" i="181"/>
  <c r="E22" i="181"/>
  <c r="E21" i="181"/>
  <c r="E20" i="181"/>
  <c r="F20" i="181" s="1"/>
  <c r="E19" i="181"/>
  <c r="F19" i="181" s="1"/>
  <c r="F25" i="181" l="1"/>
  <c r="G25" i="181" s="1"/>
  <c r="F24" i="181"/>
  <c r="G24" i="181" s="1"/>
  <c r="F23" i="181"/>
  <c r="G23" i="181" s="1"/>
  <c r="F22" i="181"/>
  <c r="G22" i="181" s="1"/>
  <c r="F21" i="181"/>
  <c r="G21" i="181" s="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5" l="1"/>
  <c r="B2" i="184"/>
  <c r="B1" i="183"/>
  <c r="B1" i="184"/>
  <c r="B1" i="185"/>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L367" i="29" l="1"/>
  <c r="F19" i="7"/>
  <c r="B1807" i="106" s="1"/>
  <c r="D1807" i="106" s="1"/>
  <c r="L13" i="11"/>
  <c r="B2060" i="106" s="1"/>
  <c r="D2060" i="106" s="1"/>
  <c r="F70" i="34"/>
  <c r="K184" i="29"/>
  <c r="F13" i="4" s="1"/>
  <c r="B2596" i="106" s="1"/>
  <c r="D2596" i="106" s="1"/>
  <c r="E29" i="108"/>
  <c r="B1124" i="106"/>
  <c r="D1124" i="106" s="1"/>
  <c r="F38"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L16" i="11"/>
  <c r="B2061" i="106" s="1"/>
  <c r="D2061" i="106" s="1"/>
  <c r="B1381" i="106"/>
  <c r="D1381" i="106"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7" i="106"/>
  <c r="D6227" i="106" s="1"/>
  <c r="F8" i="4"/>
  <c r="F10" i="4" s="1"/>
  <c r="B4125" i="106" s="1"/>
  <c r="D4125" i="106" s="1"/>
  <c r="B6223" i="106"/>
  <c r="D6223" i="106" s="1"/>
  <c r="J10" i="4"/>
  <c r="B6225" i="106" s="1"/>
  <c r="D6225" i="106" s="1"/>
  <c r="D8" i="146"/>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<sst xmlns="http://schemas.openxmlformats.org/spreadsheetml/2006/main" count="5374" uniqueCount="2190">
  <si>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</si>
  <si>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</si>
  <si>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</si>
  <si>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</si>
  <si>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</si>
  <si>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</si>
  <si>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</si>
  <si>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</si>
  <si>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</si>
  <si>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</si>
  <si>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</si>
  <si>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</si>
  <si>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</si>
  <si>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</si>
  <si>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</si>
  <si>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</si>
  <si>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</si>
  <si>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</si>
  <si>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</si>
  <si>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</si>
  <si>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</si>
  <si>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</si>
  <si>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</si>
  <si>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</si>
  <si>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</si>
  <si>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</si>
  <si>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</si>
  <si>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</si>
  <si>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</si>
  <si>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</si>
  <si>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</si>
  <si>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</si>
  <si>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</si>
  <si>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</si>
  <si>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</si>
  <si>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</si>
  <si>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</si>
  <si>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</si>
  <si>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</si>
  <si>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</si>
  <si>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</si>
  <si>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</si>
  <si>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</si>
  <si>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</si>
  <si>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</si>
  <si>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</si>
  <si>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</si>
  <si>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</si>
  <si>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</si>
  <si>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</si>
  <si>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</si>
  <si>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</si>
  <si>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</si>
  <si>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</si>
  <si>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</si>
  <si>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</si>
  <si>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</si>
  <si>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</si>
  <si>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</si>
  <si>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</si>
  <si>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</si>
  <si>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</si>
  <si>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</si>
  <si>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</si>
  <si>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</si>
  <si>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</si>
  <si>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</si>
  <si>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</si>
  <si>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</si>
  <si>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</si>
  <si>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</si>
  <si>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</si>
  <si>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</si>
  <si>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</si>
  <si>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</si>
  <si>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</si>
  <si>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</si>
  <si>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</si>
  <si>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</si>
  <si>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</si>
  <si>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</si>
  <si>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</si>
  <si>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</si>
  <si>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</si>
  <si>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</si>
  <si>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</si>
  <si>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</si>
  <si>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</si>
  <si>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</si>
  <si>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</si>
  <si>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</si>
  <si>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</si>
  <si>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</si>
  <si>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</si>
  <si>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</si>
  <si>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</si>
  <si>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</si>
  <si>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</si>
  <si>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</si>
  <si>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</si>
  <si>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</si>
  <si>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</si>
  <si>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</si>
  <si>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</si>
  <si>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</si>
  <si>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</si>
  <si>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</si>
  <si>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</si>
  <si>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</si>
  <si>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</si>
  <si>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</si>
  <si>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</si>
  <si>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</si>
  <si>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</si>
  <si>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</si>
  <si>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</si>
  <si>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</si>
  <si>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</si>
  <si>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</si>
  <si>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</si>
  <si>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</si>
  <si>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</si>
  <si>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</si>
  <si>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</si>
  <si>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</si>
  <si>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</si>
  <si>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</si>
  <si>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</si>
  <si>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</si>
  <si>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</si>
  <si>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</si>
  <si>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</si>
  <si>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</si>
  <si>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</si>
  <si>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</si>
  <si>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</si>
  <si>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</si>
  <si>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</si>
  <si>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</si>
  <si>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</si>
  <si>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</si>
  <si>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</si>
  <si>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</si>
  <si>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</si>
  <si>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</si>
  <si>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</si>
  <si>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</si>
  <si>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</si>
  <si>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</si>
  <si>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</si>
  <si>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</si>
  <si>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</si>
  <si>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</si>
  <si>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</si>
  <si>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</si>
  <si>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</si>
  <si>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</si>
  <si>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</si>
  <si>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</si>
  <si>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</si>
  <si>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</si>
  <si>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</si>
  <si>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</si>
  <si>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</si>
  <si>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</si>
  <si>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</si>
  <si>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</si>
  <si>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</si>
  <si>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</si>
  <si>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</si>
  <si>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</si>
  <si>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</si>
  <si>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</si>
  <si>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</si>
  <si>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</si>
  <si>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</si>
  <si>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</si>
  <si>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</si>
  <si>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</si>
  <si>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</si>
  <si>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</si>
  <si>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</si>
  <si>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</si>
  <si>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</si>
  <si>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</si>
  <si>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</si>
  <si>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</si>
  <si>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</si>
  <si>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</si>
  <si>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</si>
  <si>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</si>
  <si>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</si>
  <si>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</si>
  <si>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</si>
  <si>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</si>
  <si>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</si>
  <si>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</si>
  <si>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</si>
  <si>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</si>
  <si>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</si>
  <si>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</si>
  <si>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</si>
  <si>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</si>
  <si>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</si>
  <si>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</si>
  <si>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</si>
  <si>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</si>
  <si>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</si>
  <si>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</si>
  <si>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</si>
  <si>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</si>
  <si>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</si>
  <si>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</si>
  <si>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</si>
  <si>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</si>
  <si>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</si>
  <si>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</si>
  <si>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</si>
  <si>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</si>
  <si>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</si>
  <si>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</si>
  <si>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</si>
  <si>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</si>
  <si>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</si>
  <si>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</si>
  <si>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</si>
  <si>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</si>
  <si>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</si>
  <si>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</si>
  <si>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</si>
  <si>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</si>
  <si>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</si>
  <si>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</si>
  <si>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</si>
  <si>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</si>
  <si>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</si>
  <si>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</si>
  <si>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</si>
  <si>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</si>
  <si>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</si>
  <si>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</si>
  <si>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</si>
  <si>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</si>
  <si>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</si>
  <si>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</si>
  <si>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</si>
  <si>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</si>
  <si>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</si>
  <si>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</si>
  <si>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</si>
  <si>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</si>
  <si>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</si>
  <si>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</si>
  <si>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</si>
  <si>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</si>
  <si>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</si>
  <si>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</si>
  <si>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</si>
  <si>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</si>
  <si>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</si>
  <si>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</si>
  <si>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</si>
  <si>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</si>
  <si>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</si>
  <si>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</si>
  <si>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</si>
  <si>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</si>
  <si>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</si>
  <si>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</si>
  <si>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</si>
  <si>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</si>
  <si>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</si>
  <si>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</si>
  <si>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</si>
  <si>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</si>
  <si>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</si>
  <si>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</si>
  <si>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</si>
  <si>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</si>
  <si>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</si>
  <si>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</si>
  <si>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</si>
  <si>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</si>
  <si>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</si>
  <si>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</si>
  <si>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</si>
  <si>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</si>
  <si>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</si>
  <si>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</si>
  <si>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</si>
  <si>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</si>
  <si>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</si>
  <si>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</si>
  <si>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</si>
  <si>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</si>
  <si>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</si>
  <si>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</si>
  <si>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</si>
  <si>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</si>
  <si>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</si>
  <si>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</si>
  <si>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</si>
  <si>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</si>
  <si>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</si>
  <si>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</si>
  <si>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</si>
  <si>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</si>
  <si>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</si>
  <si>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</si>
  <si>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</si>
  <si>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</si>
  <si>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</si>
  <si>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</si>
  <si>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</si>
  <si>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</si>
  <si>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</si>
  <si>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</si>
  <si>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</si>
  <si>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</si>
  <si>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</si>
  <si>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</si>
  <si>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</si>
  <si>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</si>
  <si>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</si>
  <si>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</si>
  <si>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</si>
  <si>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</si>
  <si>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</si>
  <si>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</si>
  <si>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</si>
  <si>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</si>
  <si>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</si>
  <si>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</si>
  <si>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</si>
  <si>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</si>
  <si>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</si>
  <si>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</si>
  <si>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</si>
  <si>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</si>
  <si>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</si>
  <si>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</si>
  <si>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</si>
  <si>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</si>
  <si>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</si>
  <si>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</si>
  <si>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</si>
  <si>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</si>
  <si>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</si>
  <si>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</si>
  <si>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</si>
  <si>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</si>
  <si>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</si>
  <si>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</si>
  <si>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</si>
  <si>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</si>
  <si>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</si>
  <si>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</si>
  <si>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</si>
  <si>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</si>
  <si>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</si>
  <si>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</si>
  <si>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</si>
  <si>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</si>
  <si>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</si>
  <si>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</si>
  <si>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</si>
  <si>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</si>
  <si>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</si>
  <si>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</si>
  <si>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</si>
  <si>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</si>
  <si>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</si>
  <si>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</si>
  <si>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</si>
  <si>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</si>
  <si>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</si>
  <si>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</si>
  <si>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</si>
  <si>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</si>
  <si>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</si>
  <si>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</si>
  <si>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</si>
  <si>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</si>
  <si>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</si>
  <si>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</si>
  <si>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</si>
  <si>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</si>
  <si>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</si>
  <si>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</si>
  <si>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</si>
  <si>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</si>
  <si>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</si>
  <si>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</si>
  <si>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</si>
  <si>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</si>
  <si>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</si>
  <si>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</si>
  <si>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</si>
  <si>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</si>
  <si>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</si>
  <si>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</si>
  <si>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</si>
  <si>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</si>
  <si>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</si>
  <si>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</si>
  <si>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</si>
  <si>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</si>
  <si>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</si>
  <si>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</si>
  <si>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</si>
  <si>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</si>
  <si>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</si>
  <si>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</si>
  <si>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</si>
  <si>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</si>
  <si>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</si>
  <si>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</si>
  <si>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</si>
  <si>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</si>
  <si>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</si>
  <si>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</si>
  <si>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</si>
  <si>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</si>
  <si>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</si>
  <si>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</si>
  <si>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</si>
  <si>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</si>
  <si>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</si>
  <si>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</si>
  <si>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</si>
  <si>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</si>
  <si>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</si>
  <si>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</si>
  <si>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</si>
  <si>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</si>
  <si>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</si>
  <si>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</si>
  <si>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</si>
  <si>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</si>
  <si>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</si>
  <si>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</si>
  <si>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</si>
  <si>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</si>
  <si>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</si>
  <si>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</si>
  <si>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</si>
  <si>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</si>
  <si>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</si>
  <si>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</si>
  <si>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</si>
  <si>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</si>
  <si>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</si>
  <si>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</si>
  <si>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</si>
  <si>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</si>
  <si>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</si>
  <si>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</si>
  <si>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</si>
  <si>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</si>
  <si>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</si>
  <si>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</si>
  <si>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</si>
  <si>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</si>
  <si>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</si>
  <si>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</si>
  <si>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</si>
  <si>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</si>
  <si>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</si>
  <si>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</si>
  <si>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</si>
  <si>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</si>
  <si>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</si>
  <si>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</si>
  <si>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</si>
  <si>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</si>
  <si>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</si>
  <si>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</si>
  <si>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</si>
  <si>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</si>
  <si>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</si>
  <si>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</si>
  <si>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</si>
  <si>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</si>
  <si>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</si>
  <si>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</si>
  <si>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</si>
  <si>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</si>
  <si>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</si>
  <si>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</si>
  <si>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</si>
  <si>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</si>
  <si>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</si>
  <si>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</si>
  <si>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</si>
  <si>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</si>
  <si>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</si>
  <si>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</si>
  <si>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</si>
  <si>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</si>
  <si>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</si>
  <si>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</si>
  <si>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</si>
  <si>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</si>
  <si>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</si>
  <si>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</si>
  <si>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</si>
  <si>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</si>
  <si>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</si>
  <si>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</si>
  <si>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</si>
  <si>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</si>
  <si>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</si>
  <si>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</si>
  <si>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</si>
  <si>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</si>
  <si>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</si>
  <si>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</si>
  <si>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</si>
  <si>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</si>
  <si>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</si>
  <si>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</si>
  <si>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</si>
  <si>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</si>
  <si>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</si>
  <si>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</si>
  <si>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</si>
  <si>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</si>
  <si>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</si>
  <si>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</si>
  <si>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</si>
  <si>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</si>
  <si>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</si>
  <si>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</si>
  <si>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</si>
  <si>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</si>
  <si>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</si>
  <si>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</si>
  <si>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</si>
  <si>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</si>
  <si>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</si>
  <si>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</si>
  <si>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</si>
  <si>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</si>
  <si>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</si>
  <si>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</si>
  <si>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</si>
  <si>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</si>
  <si>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</si>
  <si>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</si>
  <si>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</si>
  <si>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</si>
  <si>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</si>
  <si>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</si>
  <si>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</si>
  <si>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</si>
  <si>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</si>
  <si>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</si>
  <si>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</si>
  <si>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</si>
  <si>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</si>
  <si>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</si>
  <si>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</si>
  <si>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</si>
  <si>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</si>
  <si>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</si>
  <si>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</si>
  <si>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</si>
  <si>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</si>
  <si>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</si>
  <si>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</si>
  <si>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</si>
  <si>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</si>
  <si>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</si>
  <si>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</si>
  <si>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</si>
  <si>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</si>
  <si>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</si>
  <si>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</si>
  <si>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</si>
  <si>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</si>
  <si>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</si>
  <si>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</si>
  <si>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</si>
  <si>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</si>
  <si>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</si>
  <si>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</si>
  <si>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</si>
  <si>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</si>
  <si>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</si>
  <si>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</si>
  <si>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</si>
  <si>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</si>
  <si>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</si>
  <si>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</si>
  <si>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</si>
  <si>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</si>
  <si>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</si>
  <si>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</si>
  <si>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</si>
  <si>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</si>
  <si>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</si>
  <si>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</si>
  <si>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</si>
  <si>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</si>
  <si>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</si>
  <si>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</si>
  <si>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</si>
  <si>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</si>
  <si>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</si>
  <si>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</si>
  <si>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</si>
  <si>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</si>
  <si>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</si>
  <si>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</si>
  <si>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</si>
  <si>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</si>
  <si>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</si>
  <si>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</si>
  <si>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</si>
  <si>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</si>
  <si>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</si>
  <si>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</si>
  <si>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</si>
  <si>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</si>
  <si>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</si>
  <si>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</si>
  <si>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</si>
  <si>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</si>
  <si>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</si>
  <si>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</si>
  <si>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</si>
  <si>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</si>
  <si>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</si>
  <si>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</si>
  <si>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</si>
  <si>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</si>
  <si>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</si>
  <si>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</si>
  <si>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</si>
  <si>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</si>
  <si>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</si>
  <si>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</si>
  <si>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</si>
  <si>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</si>
  <si>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</si>
  <si>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</si>
  <si>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</si>
  <si>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</si>
  <si>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</si>
  <si>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</si>
  <si>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</si>
  <si>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</si>
  <si>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</si>
  <si>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</si>
  <si>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</si>
  <si>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</si>
  <si>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</si>
  <si>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</si>
  <si>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</si>
  <si>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</si>
  <si>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</si>
  <si>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</si>
  <si>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</si>
  <si>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</si>
  <si>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</si>
  <si>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</si>
  <si>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</si>
  <si>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</si>
  <si>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</si>
  <si>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</si>
  <si>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</si>
  <si>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</si>
  <si>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</si>
  <si>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</si>
  <si>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</si>
  <si>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</si>
  <si>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</si>
  <si>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</si>
  <si>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</si>
  <si>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</si>
  <si>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</si>
  <si>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</si>
  <si>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</si>
  <si>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</si>
  <si>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</si>
  <si>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</si>
  <si>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</si>
  <si>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</si>
  <si>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</si>
  <si>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</si>
  <si>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</si>
  <si>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</si>
  <si>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</si>
  <si>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</si>
  <si>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</si>
  <si>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</si>
  <si>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</si>
  <si>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</si>
  <si>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</si>
  <si>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</si>
  <si>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</si>
  <si>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</si>
  <si>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</si>
  <si>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</si>
  <si>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</si>
  <si>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</si>
  <si>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</si>
  <si>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</si>
  <si>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</si>
  <si>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</si>
  <si>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</si>
  <si>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</si>
  <si>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</si>
  <si>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</si>
  <si>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</si>
  <si>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</si>
  <si>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</si>
  <si>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</si>
  <si>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</si>
  <si>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</si>
  <si>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</si>
  <si>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</si>
  <si>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</si>
  <si>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</si>
  <si>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</si>
  <si>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</si>
  <si>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</si>
  <si>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</si>
  <si>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</si>
  <si>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</si>
  <si>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</si>
  <si>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</si>
  <si>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</si>
  <si>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</si>
  <si>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</si>
  <si>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</si>
  <si>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</si>
  <si>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</si>
  <si>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</si>
  <si>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</si>
  <si>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</si>
  <si>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</si>
  <si>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</si>
  <si>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</si>
  <si>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</si>
  <si>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</si>
  <si>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</si>
  <si>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</si>
  <si>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</si>
  <si>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</si>
  <si>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</si>
  <si>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</si>
  <si>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</si>
  <si>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</si>
  <si>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</si>
  <si>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</si>
  <si>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</si>
  <si>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</si>
  <si>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</si>
  <si>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</si>
  <si>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</si>
  <si>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</si>
  <si>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</si>
  <si>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</si>
  <si>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</si>
  <si>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</si>
  <si>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</si>
  <si>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</si>
  <si>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</si>
  <si>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</si>
  <si>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</si>
  <si>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</si>
  <si>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</si>
  <si>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</si>
  <si>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</si>
  <si>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</si>
  <si>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</si>
  <si>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</si>
  <si>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</si>
  <si>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</si>
  <si>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</si>
  <si>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</si>
  <si>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</si>
  <si>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</si>
  <si>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</si>
  <si>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</si>
  <si>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</si>
  <si>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</si>
  <si>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</si>
  <si>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</si>
  <si>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</si>
  <si>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</si>
  <si>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</si>
  <si>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</si>
  <si>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</si>
  <si>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</si>
  <si>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</si>
  <si>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</si>
  <si>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</si>
  <si>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</si>
  <si>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</si>
  <si>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</si>
  <si>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</si>
  <si>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</si>
  <si>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</si>
  <si>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</si>
  <si>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</si>
  <si>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</si>
  <si>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</si>
  <si>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</si>
  <si>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</si>
  <si>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</si>
  <si>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</si>
  <si>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</si>
  <si>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</si>
  <si>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</si>
  <si>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</si>
  <si>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</si>
  <si>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</si>
  <si>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</si>
  <si>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</si>
  <si>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</si>
  <si>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</si>
  <si>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</si>
  <si>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</si>
  <si>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</si>
  <si>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</si>
  <si>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</si>
  <si>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</si>
  <si>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</si>
  <si>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</si>
  <si>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</si>
  <si>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</si>
  <si>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</si>
  <si>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</si>
  <si>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</si>
  <si>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</si>
  <si>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</si>
  <si>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</si>
  <si>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</si>
  <si>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</si>
  <si>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</si>
  <si>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</si>
  <si>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</si>
  <si>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</si>
  <si>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</si>
  <si>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</si>
  <si>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</si>
  <si>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</si>
  <si>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</si>
  <si>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</si>
  <si>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</si>
  <si>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</si>
  <si>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</si>
  <si>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</si>
  <si>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</si>
  <si>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</si>
  <si>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</si>
  <si>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</si>
  <si>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</si>
  <si>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</si>
  <si>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</si>
  <si>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</si>
  <si>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</si>
  <si>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</si>
  <si>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</si>
  <si>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</si>
  <si>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</si>
  <si>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</si>
  <si>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</si>
  <si>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</si>
  <si>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</si>
  <si>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</si>
  <si>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</si>
  <si>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</si>
  <si>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</si>
  <si>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</si>
  <si>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</si>
  <si>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</si>
  <si>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</si>
  <si>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</si>
  <si>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</si>
  <si>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</si>
  <si>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</si>
  <si>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</si>
  <si>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</si>
  <si>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</si>
  <si>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</si>
  <si>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</si>
  <si>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</si>
  <si>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</si>
  <si>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</si>
  <si>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</si>
  <si>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</si>
  <si>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</si>
  <si>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</si>
  <si>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</si>
  <si>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</si>
  <si>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</si>
  <si>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</si>
  <si>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</si>
  <si>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</si>
  <si>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</si>
  <si>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</si>
  <si>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</si>
  <si>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</si>
  <si>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</si>
  <si>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</si>
  <si>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</si>
  <si>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</si>
  <si>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</si>
  <si>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</si>
  <si>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</si>
  <si>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</si>
  <si>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</si>
  <si>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</si>
  <si>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</si>
  <si>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</si>
  <si>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</si>
  <si>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</si>
  <si>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</si>
  <si>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</si>
  <si>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</si>
  <si>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</si>
  <si>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</si>
  <si>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</si>
  <si>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</si>
  <si>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</si>
  <si>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</si>
  <si>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</si>
  <si>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</si>
  <si>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</si>
  <si>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</si>
  <si>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</si>
  <si>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</si>
  <si>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</si>
  <si>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</si>
  <si>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</si>
  <si>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</si>
  <si>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</si>
  <si>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</si>
  <si>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</si>
  <si>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</si>
  <si>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</si>
  <si>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</si>
  <si>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</si>
  <si>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</si>
  <si>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</si>
  <si>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</si>
  <si>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</si>
  <si>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</si>
  <si>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</si>
  <si>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</si>
  <si>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</si>
  <si>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</si>
  <si>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</si>
  <si>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</si>
  <si>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</si>
  <si>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</si>
  <si>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</si>
  <si>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</si>
  <si>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</si>
  <si>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</si>
  <si>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</si>
  <si>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</si>
  <si>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</si>
  <si>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</si>
  <si>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</si>
  <si>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</si>
  <si>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</si>
  <si>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</si>
  <si>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</si>
  <si>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</si>
  <si>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</si>
  <si>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</si>
  <si>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</si>
  <si>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</si>
  <si>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</si>
  <si>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</si>
  <si>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</si>
  <si>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</si>
  <si>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</si>
  <si>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</si>
  <si>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</si>
  <si>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</si>
  <si>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</si>
  <si>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</si>
  <si>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</si>
  <si>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</si>
  <si>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</si>
  <si>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</si>
  <si>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</si>
  <si>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</si>
  <si>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</si>
  <si>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</si>
  <si>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</si>
  <si>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</si>
  <si>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</si>
  <si>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</si>
  <si>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</si>
  <si>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</si>
  <si>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</si>
  <si>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</si>
  <si>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</si>
  <si>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</si>
  <si>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</si>
  <si>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</si>
  <si>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</si>
  <si>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</si>
  <si>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</si>
  <si>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</si>
  <si>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</si>
  <si>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</si>
  <si>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</si>
  <si>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</si>
  <si>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</si>
  <si>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</si>
  <si>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</si>
  <si>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</si>
  <si>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</si>
  <si>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</si>
  <si>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</si>
  <si>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</si>
  <si>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</si>
  <si>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</si>
  <si>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</si>
  <si>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</si>
  <si>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</si>
  <si>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</si>
  <si>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</si>
  <si>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</si>
  <si>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</si>
  <si>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</si>
  <si>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</si>
  <si>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</si>
  <si>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</si>
  <si>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</si>
  <si>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</si>
  <si>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</si>
  <si>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</si>
  <si>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</si>
  <si>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</si>
  <si>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</si>
  <si>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</si>
  <si>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</si>
  <si>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</si>
  <si>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</si>
  <si>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</si>
  <si>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</si>
  <si>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</si>
  <si>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</si>
  <si>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</si>
  <si>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</si>
  <si>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</si>
  <si>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</si>
  <si>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</si>
  <si>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</si>
  <si>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</si>
  <si>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</si>
  <si>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</si>
  <si>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</si>
  <si>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</si>
  <si>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</si>
  <si>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</si>
  <si>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</si>
  <si>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</si>
  <si>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</si>
  <si>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</si>
  <si>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</si>
  <si>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</si>
  <si>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</si>
  <si>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</si>
  <si>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</si>
  <si>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</si>
  <si>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</si>
  <si>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</si>
  <si>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</si>
  <si>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</si>
  <si>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</si>
  <si>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</si>
  <si>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</si>
  <si>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</si>
  <si>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</si>
  <si>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</si>
  <si>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</si>
  <si>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</si>
  <si>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</si>
  <si>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</si>
  <si>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</si>
  <si>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</si>
  <si>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</si>
  <si>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</si>
  <si>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</si>
  <si>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</si>
  <si>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</si>
  <si>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</si>
  <si>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</si>
  <si>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</si>
  <si>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</si>
  <si>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</si>
  <si>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</si>
  <si>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</si>
  <si>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</si>
  <si>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</si>
  <si>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</si>
  <si>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</si>
  <si>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</si>
  <si>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</si>
  <si>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</si>
  <si>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</si>
  <si>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</si>
  <si>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</si>
  <si>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</si>
  <si>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</si>
  <si>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</si>
  <si>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</si>
  <si>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</si>
  <si>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</si>
  <si>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</si>
  <si>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</si>
  <si>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</si>
  <si>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</si>
  <si>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</si>
  <si>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</si>
  <si>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</si>
  <si>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</si>
  <si>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</si>
  <si>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</si>
  <si>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</si>
  <si>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</si>
  <si>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</si>
  <si>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</si>
  <si>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</si>
  <si>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</si>
  <si>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</si>
  <si>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</si>
  <si>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</si>
  <si>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</si>
  <si>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</si>
  <si>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</si>
  <si>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</si>
  <si>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</si>
  <si>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</si>
  <si>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</si>
  <si>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</si>
  <si>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</si>
  <si>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</si>
  <si>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</si>
  <si>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</si>
  <si>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</si>
  <si>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</si>
  <si>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</si>
  <si>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</si>
  <si>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</si>
  <si>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</si>
  <si>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</si>
  <si>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</si>
  <si>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</si>
  <si>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</si>
  <si>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</si>
  <si>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</si>
  <si>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</si>
  <si>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</si>
  <si>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</si>
  <si>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</si>
  <si>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</si>
  <si>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</si>
  <si>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</si>
  <si>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</si>
  <si>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</si>
  <si>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</si>
  <si>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</si>
  <si>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</si>
  <si>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</si>
  <si>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</si>
  <si>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</si>
  <si>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</si>
  <si>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</si>
  <si>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</si>
  <si>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</si>
  <si>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</si>
  <si>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</si>
  <si>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</si>
  <si>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</si>
  <si>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</si>
  <si>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</si>
  <si>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</si>
  <si>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</si>
  <si>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</si>
  <si>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</si>
  <si>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</si>
  <si>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</si>
  <si>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</si>
  <si>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</si>
  <si>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</si>
  <si>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</si>
  <si>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</si>
  <si>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</si>
  <si>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</si>
  <si>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</si>
  <si>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</si>
  <si>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</si>
  <si>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</si>
  <si>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</si>
  <si>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</si>
  <si>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</si>
  <si>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</si>
  <si>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</si>
  <si>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</si>
  <si>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</si>
  <si>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</si>
  <si>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</si>
  <si>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</si>
  <si>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</si>
  <si>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</si>
  <si>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</si>
  <si>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</si>
  <si>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</si>
  <si>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</si>
  <si>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</si>
  <si>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</si>
  <si>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</si>
  <si>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</si>
  <si>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</si>
  <si>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</si>
  <si>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</si>
  <si>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</si>
  <si>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</si>
  <si>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</si>
  <si>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</si>
  <si>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</si>
  <si>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</si>
  <si>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</si>
  <si>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</si>
  <si>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</si>
  <si>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</si>
  <si>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</si>
  <si>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</si>
  <si>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</si>
  <si>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</si>
  <si>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</si>
  <si>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</si>
  <si>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</si>
  <si>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</si>
  <si>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</si>
  <si>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</si>
  <si>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</si>
  <si>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</si>
  <si>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</si>
  <si>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</si>
  <si>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</si>
  <si>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</si>
  <si>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</si>
  <si>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</si>
  <si>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</si>
  <si>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</si>
  <si>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</si>
  <si>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</si>
  <si>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</si>
  <si>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</si>
  <si>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</si>
  <si>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</si>
  <si>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</si>
  <si>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</si>
  <si>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</si>
  <si>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</si>
  <si>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</si>
  <si>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</si>
  <si>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</si>
  <si>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</si>
  <si>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</si>
  <si>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</si>
  <si>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</si>
  <si>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</si>
  <si>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</si>
  <si>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</si>
  <si>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</si>
  <si>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</si>
  <si>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</si>
  <si>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</si>
  <si>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</si>
  <si>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</si>
  <si>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</si>
  <si>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</si>
  <si>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</si>
  <si>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</si>
  <si>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</si>
  <si>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</si>
  <si>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</si>
  <si>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</si>
  <si>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</si>
  <si>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</si>
  <si>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</si>
  <si>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</si>
  <si>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</si>
  <si>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</si>
  <si>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</si>
  <si>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</si>
  <si>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</si>
  <si>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</si>
  <si>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</si>
  <si>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</si>
  <si>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</si>
  <si>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</si>
  <si>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</si>
  <si>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</si>
  <si>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</si>
  <si>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</si>
  <si>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</si>
  <si>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</si>
  <si>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</si>
  <si>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</si>
  <si>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</si>
  <si>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</si>
  <si>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</si>
  <si>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</si>
  <si>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</si>
  <si>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</si>
  <si>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</si>
  <si>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</si>
  <si>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</si>
  <si>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</si>
  <si>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</si>
  <si>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</si>
  <si>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</si>
  <si>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</si>
  <si>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</si>
  <si>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</si>
  <si>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</si>
  <si>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</si>
  <si>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</si>
  <si>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</si>
  <si>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</si>
  <si>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</si>
  <si>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</si>
  <si>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</si>
  <si>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</si>
  <si>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</si>
  <si>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</si>
  <si>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</si>
  <si>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</si>
  <si>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</si>
  <si>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</si>
  <si>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</si>
  <si>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</si>
  <si>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</si>
  <si>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</si>
  <si>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</si>
  <si>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</si>
  <si>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</si>
  <si>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</si>
  <si>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</si>
  <si>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</si>
  <si>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</si>
  <si>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</si>
  <si>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</si>
  <si>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</si>
  <si>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</si>
  <si>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</si>
  <si>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</si>
  <si>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</si>
  <si>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</si>
  <si>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</si>
  <si>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</si>
  <si>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</si>
  <si>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</si>
  <si>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</si>
  <si>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</si>
  <si>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</si>
  <si>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</si>
  <si>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</si>
  <si>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</si>
  <si>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</si>
  <si>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</si>
  <si>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</si>
  <si>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</si>
  <si>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</si>
  <si>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</si>
  <si>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</si>
  <si>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</si>
  <si>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</si>
  <si>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</si>
  <si>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</si>
  <si>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</si>
  <si>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</si>
  <si>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</si>
  <si>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</si>
  <si>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</si>
  <si>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</si>
  <si>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</si>
  <si>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</si>
  <si>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</si>
  <si>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</si>
  <si>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</si>
  <si>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</si>
  <si>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</si>
  <si>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</si>
  <si>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</si>
  <si>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</si>
  <si>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</si>
  <si>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</si>
  <si>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</si>
  <si>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</si>
  <si>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</si>
  <si>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</si>
  <si>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</si>
  <si>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</si>
  <si>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</si>
  <si>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</si>
  <si>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</si>
  <si>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</si>
  <si>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</si>
  <si>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</si>
  <si>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</si>
  <si>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</si>
  <si>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</si>
  <si>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</si>
  <si>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</si>
  <si>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</si>
  <si>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</si>
  <si>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</si>
  <si>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</si>
  <si>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</si>
  <si>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</si>
  <si>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</si>
  <si>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</si>
  <si>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</si>
  <si>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</si>
  <si>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</si>
  <si>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</si>
  <si>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</si>
  <si>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</si>
  <si>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</si>
  <si>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</si>
  <si>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</si>
  <si>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</si>
  <si>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</si>
  <si>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</si>
  <si>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</si>
  <si>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</si>
  <si>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</si>
  <si>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</si>
  <si>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</si>
  <si>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</si>
  <si>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</si>
  <si>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</si>
  <si>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</si>
  <si>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</si>
  <si>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</si>
  <si>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</si>
  <si>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</si>
  <si>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</si>
  <si>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</si>
  <si>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</si>
  <si>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</si>
  <si>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</si>
  <si>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</si>
  <si>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</si>
  <si>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</si>
  <si>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</si>
  <si>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</si>
  <si>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</si>
  <si>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</si>
  <si>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</si>
  <si>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</si>
  <si>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</si>
  <si>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</si>
  <si>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</si>
  <si>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</si>
  <si>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</si>
  <si>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</si>
  <si>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</si>
  <si>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</si>
  <si>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</si>
  <si>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</si>
  <si>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</si>
  <si>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</si>
  <si>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</si>
  <si>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</si>
  <si>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</si>
  <si>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</si>
  <si>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</si>
  <si>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</si>
  <si>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</si>
  <si>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</si>
  <si>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</si>
  <si>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</si>
  <si>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</si>
  <si>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</si>
  <si>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</si>
  <si>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</si>
  <si>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</si>
  <si>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</si>
  <si>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</si>
  <si>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</si>
  <si>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</si>
  <si>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</si>
  <si>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</si>
  <si>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</si>
  <si>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</si>
  <si>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</si>
  <si>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</si>
  <si>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</si>
  <si>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</si>
  <si>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</si>
  <si>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</si>
  <si>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</si>
  <si>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</si>
  <si>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</si>
  <si>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</si>
  <si>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</si>
  <si>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</si>
  <si>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</si>
  <si>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</si>
  <si>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</si>
  <si>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</si>
  <si>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</si>
  <si>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</si>
  <si>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</si>
  <si>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</si>
  <si>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</si>
  <si>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</si>
  <si>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</si>
  <si>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</si>
  <si>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</si>
  <si>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</si>
  <si>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</si>
  <si>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</si>
  <si>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</si>
  <si>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</si>
  <si>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</si>
  <si>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</si>
  <si>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</si>
  <si>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</si>
  <si>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</si>
  <si>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</si>
  <si>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</si>
  <si>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</si>
  <si>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</si>
  <si>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</si>
  <si>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</si>
  <si>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</si>
  <si>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</si>
  <si>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</si>
  <si>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</si>
  <si>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</si>
  <si>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</si>
  <si>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</si>
  <si>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</si>
  <si>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</si>
  <si>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</si>
  <si>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</si>
  <si>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</si>
  <si>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</si>
  <si>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</si>
  <si>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</si>
  <si>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</si>
  <si>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</si>
  <si>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</si>
  <si>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</si>
  <si>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</si>
  <si>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</si>
  <si>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</si>
  <si>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</si>
  <si>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</si>
  <si>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</si>
  <si>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</si>
  <si>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</si>
  <si>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</si>
  <si>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</si>
  <si>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</si>
  <si>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</si>
  <si>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</si>
  <si>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</si>
  <si>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</si>
  <si>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</si>
  <si>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</si>
  <si>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</si>
  <si>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</si>
  <si>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</si>
  <si>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</si>
  <si>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</si>
  <si>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</si>
  <si>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</si>
  <si>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</si>
  <si>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</si>
  <si>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</si>
  <si>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</si>
  <si>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</si>
  <si>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</si>
  <si>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</si>
  <si>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</si>
  <si>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</si>
  <si>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</si>
  <si>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</si>
  <si>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</si>
  <si>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</si>
  <si>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</si>
  <si>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</si>
  <si>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</si>
  <si>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</si>
  <si>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</si>
  <si>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</si>
  <si>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</si>
  <si>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</si>
  <si>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</si>
  <si>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</si>
  <si>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</si>
  <si>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</si>
  <si>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</si>
  <si>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</si>
  <si>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</si>
  <si>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</si>
  <si>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</si>
  <si>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</si>
  <si>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</si>
  <si>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</si>
  <si>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</si>
  <si>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</si>
  <si>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</si>
  <si>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</si>
  <si>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</si>
  <si>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</si>
  <si>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</si>
  <si>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</si>
  <si>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</si>
  <si>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</si>
  <si>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</si>
  <si>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</si>
  <si>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</si>
  <si>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</si>
  <si>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</si>
  <si>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</si>
  <si>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</si>
  <si>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</si>
  <si>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</si>
  <si>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</si>
  <si>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</si>
  <si>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</si>
  <si>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</si>
  <si>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</si>
  <si>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</si>
  <si>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</si>
  <si>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</si>
  <si>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</si>
  <si>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</si>
  <si>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</si>
  <si>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</si>
  <si>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</si>
  <si>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</si>
  <si>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</si>
  <si>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</si>
  <si>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</si>
  <si>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</si>
  <si>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</si>
  <si>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</si>
  <si>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</si>
  <si>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</si>
  <si>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</si>
  <si>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</si>
  <si>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</si>
  <si>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</si>
  <si>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</si>
  <si>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</si>
  <si>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</si>
  <si>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</si>
  <si>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</si>
  <si>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</si>
  <si>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</si>
  <si>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</si>
  <si>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</si>
  <si>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</si>
  <si>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</si>
  <si>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</si>
  <si>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</si>
  <si>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</si>
  <si>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</si>
  <si>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</si>
  <si>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</si>
  <si>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</si>
  <si>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</si>
  <si>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</si>
  <si>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</si>
  <si>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</si>
  <si>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</si>
  <si>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</si>
  <si>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</si>
  <si>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</si>
  <si>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</si>
  <si>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</si>
  <si>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</si>
  <si>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</si>
  <si>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</si>
  <si>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</si>
  <si>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</si>
  <si>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</si>
  <si>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</si>
  <si>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</si>
  <si>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</si>
  <si>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</si>
  <si>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</si>
  <si>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</si>
  <si>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</si>
  <si>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</si>
  <si>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</si>
  <si>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</si>
  <si>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</si>
  <si>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</si>
  <si>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</si>
  <si>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</si>
  <si>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</si>
  <si>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</si>
  <si>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</si>
  <si>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</si>
  <si>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</si>
  <si>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</si>
  <si>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</si>
  <si>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</si>
  <si>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</si>
  <si>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</si>
  <si>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</si>
  <si>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</si>
  <si>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</si>
  <si>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</si>
  <si>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</si>
  <si>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</si>
  <si>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</si>
  <si>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</si>
  <si>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</si>
  <si>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</si>
  <si>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</si>
  <si>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</si>
  <si>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</si>
  <si>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</si>
  <si>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</si>
  <si>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</si>
  <si>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</si>
  <si>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</si>
  <si>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</si>
  <si>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</si>
  <si>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</si>
  <si>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</si>
  <si>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</si>
  <si>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</si>
  <si>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</si>
  <si>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</si>
  <si>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</si>
  <si>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</si>
  <si>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</si>
  <si>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</si>
  <si>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</si>
  <si>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</si>
  <si>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</si>
  <si>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</si>
  <si>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</si>
  <si>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</si>
  <si>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</si>
  <si>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</si>
  <si>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</si>
  <si>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</si>
  <si>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</si>
  <si>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</si>
  <si>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</si>
  <si>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</si>
  <si>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</si>
  <si>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</si>
  <si>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</si>
  <si>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</si>
  <si>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</si>
  <si>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</si>
  <si>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</si>
  <si>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</si>
  <si>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</si>
  <si>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</si>
  <si>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</si>
  <si>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</si>
  <si>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</si>
  <si>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</si>
  <si>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</si>
  <si>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</si>
  <si>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</si>
  <si>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</si>
  <si>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</si>
  <si>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</si>
  <si>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</si>
  <si>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</si>
  <si>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</si>
  <si>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</si>
  <si>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</si>
  <si>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</si>
  <si>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</si>
  <si>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</si>
  <si>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</si>
  <si>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</si>
  <si>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</si>
  <si>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</si>
  <si>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</si>
  <si>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</si>
  <si>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</si>
  <si>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</si>
  <si>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</si>
  <si>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</si>
  <si>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</si>
  <si>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</si>
  <si>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</si>
  <si>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</si>
  <si>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</si>
  <si>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</si>
  <si>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</si>
  <si>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</si>
  <si>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</si>
  <si>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</si>
  <si>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</si>
  <si>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</si>
  <si>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</si>
  <si>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</si>
  <si>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</si>
  <si>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</si>
  <si>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</si>
  <si>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</si>
  <si>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</si>
  <si>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</si>
  <si>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</si>
  <si>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</si>
  <si>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</si>
  <si>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</si>
  <si>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</si>
  <si>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</si>
  <si>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</si>
  <si>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</si>
  <si>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</si>
  <si>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</si>
  <si>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</si>
  <si>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</si>
  <si>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</si>
  <si>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</si>
  <si>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</si>
  <si>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</si>
  <si>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</si>
  <si>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</si>
  <si>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</si>
  <si>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</si>
  <si>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</si>
  <si>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</si>
  <si>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</si>
  <si>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</si>
  <si>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</si>
  <si>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</si>
  <si>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</si>
  <si>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</si>
  <si>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</si>
  <si>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</si>
  <si>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</si>
  <si>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</si>
  <si>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</si>
  <si>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</si>
  <si>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</si>
  <si>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</si>
  <si>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</si>
  <si>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</si>
  <si>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</si>
  <si>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</si>
  <si>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</si>
  <si>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</si>
  <si>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</si>
  <si>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</si>
  <si>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</si>
  <si>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</si>
  <si>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</si>
  <si>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</si>
  <si>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</si>
  <si>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</si>
  <si>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</si>
  <si>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</si>
  <si>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</si>
  <si>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</si>
  <si>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</si>
  <si>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</si>
  <si>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</si>
  <si>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</si>
  <si>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</si>
  <si>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</si>
  <si>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</si>
  <si>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</si>
  <si>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</si>
  <si>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</si>
  <si>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</si>
  <si>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</si>
  <si>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</si>
  <si>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</si>
  <si>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</si>
  <si>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</si>
  <si>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</si>
  <si>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</si>
  <si>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</si>
  <si>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</si>
  <si>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</si>
  <si>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</si>
  <si>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</si>
  <si>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</si>
  <si>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</si>
  <si>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</si>
  <si>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</si>
  <si>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</si>
  <si>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</si>
  <si>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</si>
  <si>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</si>
  <si>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</si>
  <si>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</si>
  <si>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</si>
  <si>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</si>
  <si>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</si>
  <si>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</si>
  <si>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</si>
  <si>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</si>
  <si>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</si>
  <si>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</si>
  <si>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</si>
  <si>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</si>
  <si>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</si>
  <si>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</si>
  <si>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</si>
  <si>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</si>
  <si>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</si>
  <si>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</si>
  <si>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</si>
  <si>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</si>
  <si>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</si>
  <si>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</si>
  <si>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</si>
  <si>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</si>
  <si>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</si>
  <si>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</si>
  <si>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</si>
  <si>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</si>
  <si>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</si>
  <si>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</si>
  <si>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</si>
  <si>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</si>
  <si>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</si>
  <si>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</si>
  <si>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</si>
  <si>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</si>
  <si>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</si>
  <si>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</si>
  <si>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</si>
  <si>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</si>
  <si>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</si>
  <si>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</si>
  <si>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</si>
  <si>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</si>
  <si>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</si>
  <si>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</si>
  <si>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</si>
  <si>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</si>
  <si>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</si>
  <si>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</si>
  <si>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</si>
  <si>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</si>
  <si>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</si>
  <si>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</si>
  <si>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</si>
  <si>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</si>
  <si>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</si>
  <si>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</si>
  <si>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</si>
  <si>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</si>
  <si>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</si>
  <si>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</si>
  <si>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</si>
  <si>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</si>
  <si>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</si>
  <si>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</si>
  <si>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</si>
  <si>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</si>
  <si>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</si>
  <si>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</si>
  <si>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</si>
  <si>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</si>
  <si>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</si>
  <si>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</si>
  <si>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</si>
  <si>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</si>
  <si>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</si>
  <si>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</si>
  <si>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</si>
  <si>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</si>
  <si>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</si>
  <si>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</si>
  <si>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</si>
  <si>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</si>
  <si>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</si>
  <si>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</si>
  <si>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</si>
  <si>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</si>
  <si>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</si>
  <si>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</si>
  <si>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</si>
  <si>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</si>
  <si>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</si>
  <si>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</si>
  <si>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</si>
  <si>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</si>
  <si>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</si>
  <si>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</si>
  <si>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</si>
  <si>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</si>
  <si>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</si>
  <si>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</si>
  <si>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</si>
  <si>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</si>
  <si>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</si>
  <si>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</si>
  <si>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</si>
  <si>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</si>
  <si>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</si>
  <si>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</si>
  <si>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</si>
  <si>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</si>
  <si>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</si>
  <si>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</si>
  <si>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</si>
  <si>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</si>
  <si>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</si>
  <si>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</si>
  <si>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</si>
  <si>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</si>
  <si>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</si>
  <si>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</si>
  <si>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</si>
  <si>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</si>
  <si>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</si>
  <si>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</si>
  <si>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</si>
  <si>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</si>
  <si>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</si>
  <si>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</si>
  <si>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</si>
  <si>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</si>
  <si>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</si>
  <si>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</si>
  <si>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</si>
  <si>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</si>
  <si>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</si>
  <si>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</si>
  <si>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</si>
  <si>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</si>
  <si>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</si>
  <si>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</si>
  <si>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</si>
  <si>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</si>
  <si>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</si>
  <si>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</si>
  <si>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</si>
  <si>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</si>
  <si>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</si>
  <si>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</si>
  <si>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</si>
  <si>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</si>
  <si>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</si>
  <si>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</si>
  <si>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US DEPARTMENT OF EDUCATION</t>
  </si>
  <si>
    <t xml:space="preserve"> Flow Through Illinois State Board of Education</t>
  </si>
  <si>
    <t xml:space="preserve">     Title I (M)</t>
  </si>
  <si>
    <t>84.010A</t>
  </si>
  <si>
    <t>18-4300</t>
  </si>
  <si>
    <t xml:space="preserve">           FY 2018</t>
  </si>
  <si>
    <t xml:space="preserve">           FY 2019</t>
  </si>
  <si>
    <t>19-4300</t>
  </si>
  <si>
    <t>X</t>
  </si>
  <si>
    <t>Jackson</t>
  </si>
  <si>
    <t>330 South Giant City Road</t>
  </si>
  <si>
    <t>Carbondale</t>
  </si>
  <si>
    <t>steve.murphy@chs165.org</t>
  </si>
  <si>
    <t>618-457-4722</t>
  </si>
  <si>
    <t>618-457-3353</t>
  </si>
  <si>
    <t>Emling &amp; Hoffman, PC</t>
  </si>
  <si>
    <t>Sarah Kary, CPA</t>
  </si>
  <si>
    <t>1191 West Saint Louis Street</t>
  </si>
  <si>
    <t xml:space="preserve">Nashville </t>
  </si>
  <si>
    <t>IL</t>
  </si>
  <si>
    <t>618-327-4375</t>
  </si>
  <si>
    <t>618-327-4376</t>
  </si>
  <si>
    <t>060-004252</t>
  </si>
  <si>
    <t>sarahkary@emlingcpa.com</t>
  </si>
  <si>
    <t>Cheryl Graff</t>
  </si>
  <si>
    <t>cgraff@roe30.org</t>
  </si>
  <si>
    <t>618-687-7290</t>
  </si>
  <si>
    <t>618-687-7296</t>
  </si>
  <si>
    <t>2004A</t>
  </si>
  <si>
    <t xml:space="preserve">     Title II</t>
  </si>
  <si>
    <t>84.367A</t>
  </si>
  <si>
    <t>18-4932</t>
  </si>
  <si>
    <t>19-4932</t>
  </si>
  <si>
    <t>Total Illinois State Board of Education</t>
  </si>
  <si>
    <t xml:space="preserve"> Flow Through Tri-County Special Ed Joint Agreement</t>
  </si>
  <si>
    <t>84.027A</t>
  </si>
  <si>
    <t>19-4620</t>
  </si>
  <si>
    <t>Total Tri-County Special Ed Joint Agreement</t>
  </si>
  <si>
    <t xml:space="preserve"> Flow Through Illinois Community College Board</t>
  </si>
  <si>
    <t xml:space="preserve">      Adult Literacy</t>
  </si>
  <si>
    <t>84.002A</t>
  </si>
  <si>
    <t>18-4810</t>
  </si>
  <si>
    <t>19-4810</t>
  </si>
  <si>
    <t>TOTAL DEPARTMENT OF EDUCATION</t>
  </si>
  <si>
    <t xml:space="preserve">     National School Lunch</t>
  </si>
  <si>
    <t>18-4210</t>
  </si>
  <si>
    <t>19-4210</t>
  </si>
  <si>
    <t xml:space="preserve">     National School Breakfast</t>
  </si>
  <si>
    <t>18-4220</t>
  </si>
  <si>
    <t>19-4220</t>
  </si>
  <si>
    <t>Commodities</t>
  </si>
  <si>
    <t>19-4215</t>
  </si>
  <si>
    <t>Department of Defense</t>
  </si>
  <si>
    <t>US DEPARTMENT OF AGRICULTURE</t>
  </si>
  <si>
    <t>TOTAL DEPARTMENT OF AGRICULTURE</t>
  </si>
  <si>
    <t>US DEPARTMENT OF HEALTH AND HUMAN SERVICES</t>
  </si>
  <si>
    <t xml:space="preserve"> Flow Through Illinois Dept of Health and Family Services</t>
  </si>
  <si>
    <t xml:space="preserve">     Administrative Outreach</t>
  </si>
  <si>
    <t>18-4900</t>
  </si>
  <si>
    <t>19-4900</t>
  </si>
  <si>
    <t>TOTAL DEPARTMENT OF HEALTH AND HUMAN SERVICES</t>
  </si>
  <si>
    <t>TOTAL FEDERAL AWARDS</t>
  </si>
  <si>
    <t xml:space="preserve">      TITLE IV</t>
  </si>
  <si>
    <t>19-4499</t>
  </si>
  <si>
    <t xml:space="preserve"> Flow Through Jackson Perry Regional Voc Center</t>
  </si>
  <si>
    <t xml:space="preserve">     CTE</t>
  </si>
  <si>
    <t>18-4770</t>
  </si>
  <si>
    <t>19-4770</t>
  </si>
  <si>
    <t>Total Jackson Perry Regional Voc Center</t>
  </si>
  <si>
    <t>Rounding</t>
  </si>
  <si>
    <t>The accompanying Schedule of Expenditures of Federal Awards includes the federal grant activity of Carbondale Community High School #165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</si>
  <si>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Carbondale Community High School #165 provided federal awards to subrecipients as follows:</t>
  </si>
  <si>
    <t>None</t>
  </si>
  <si>
    <r>
      <t xml:space="preserve">The following amounts were expended in the form of non-cash assistance by Carbondale Community High School #165 and </t>
    </r>
    <r>
      <rPr>
        <b/>
        <sz val="9"/>
        <rFont val="Calibri"/>
        <family val="2"/>
        <scheme val="minor"/>
      </rPr>
      <t>should be</t>
    </r>
    <r>
      <rPr>
        <sz val="9"/>
        <rFont val="Calibri"/>
        <family val="2"/>
        <scheme val="minor"/>
      </rPr>
      <t xml:space="preserve"> included in the Schedule of Expenditures of Federal Awards:</t>
    </r>
  </si>
  <si>
    <t>x</t>
  </si>
  <si>
    <t>Unmodified</t>
  </si>
  <si>
    <t>US Department of Education - Title I</t>
  </si>
  <si>
    <r>
      <t xml:space="preserve">Current </t>
    </r>
    <r>
      <rPr>
        <i/>
        <sz val="8"/>
        <rFont val="Calibri"/>
        <family val="2"/>
        <scheme val="minor"/>
      </rPr>
      <t xml:space="preserve">Government Auditing Standards, </t>
    </r>
    <r>
      <rPr>
        <sz val="8"/>
        <rFont val="Calibri"/>
        <family val="2"/>
        <scheme val="minor"/>
      </rPr>
      <t>require the School District to designate a qualified management level individual to be responsible and accountable for overseeing the drafting of the School District's financial statements and footnotes in accordance with the cash basis of accounting, which is a basis of accounting other than accounting principles generally accepted in the United States of America.</t>
    </r>
  </si>
  <si>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</si>
  <si>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should review the additional costs it would incur to prepare the financial statements internally with the corresponding reduction of risk associated with material misstatment of the District's financial statements.</t>
  </si>
  <si>
    <t>NA</t>
  </si>
  <si>
    <t>2018-001</t>
  </si>
  <si>
    <t>Lack of Certified staff on hand</t>
  </si>
  <si>
    <t>Uncorrected</t>
  </si>
  <si>
    <t>Illnois Energy Consortium</t>
  </si>
  <si>
    <t>Tri-County Special Education Joint Agreement</t>
  </si>
  <si>
    <t>Jackson-Perry Regional Delivery System</t>
  </si>
  <si>
    <t>Page 9 Line 17:  ALL FUNDS:  Wildlife Refuge Tax - Payments in Lieu of Taxes</t>
  </si>
  <si>
    <t>Page 10 Line 81:  EDUCATION FUND:  Library Fines</t>
  </si>
  <si>
    <t>Page 11 Line 106:  EDUCATION FUND:  PSAT testing</t>
  </si>
  <si>
    <t>Page 11 Line 107:  EDUCATION FUND:  $24,526 Jackson Perry CEO Reimbursement,  $18,439 Misc Receipts</t>
  </si>
  <si>
    <t>Page 11 Line 104:  OPERATIONS &amp; MAINT FUND:    $351,850 Insurance Claim,  $12,908 Rebates, $59,000 Donations for Stadium,  $3,517 Miscellaneous</t>
  </si>
  <si>
    <t>Page 11 Line 104:  TRANSPORTATION FUND:    $351,850 Insurance Claim,  $12,908 Rebates, $59,000 Donations for Stadium,  $3,517 Miscellaneous</t>
  </si>
  <si>
    <t>Page 11 Line 140: EDUCATION FUND:    $699 CTE Vocational Tutors</t>
  </si>
  <si>
    <t>Page 12 Line 168: EDUCATION FUND:    $8,629 Regular Orphange Tuition, $5,395 Other State Programs, $750 State Library Grant</t>
  </si>
  <si>
    <t>Page 13 Line 208: EDUCATION FUND:    Title IV grant from Tri-County Special Ed</t>
  </si>
  <si>
    <t>Page 15 Line 41: EDUCATION FUND:    Support Services/Hall Monitors</t>
  </si>
  <si>
    <t>Page 16 Line 56: EDUCATION FUND:    Administrative Secretaries</t>
  </si>
  <si>
    <t>Page 16 Line 73: EDUCATION FUND:    Central/Community Services</t>
  </si>
  <si>
    <t>Page 16 Line 83: EDUCATION FUND:    Other Payments to In-State Gov't Units  Medicaid Payments to Tri-County Sp Ed.</t>
  </si>
  <si>
    <t>Page 18:  Line 171:  DEBT SERVICE:  Bond Fees</t>
  </si>
  <si>
    <t>Page 20:  Line 260:  IMRF:  Administrative Secretaries</t>
  </si>
  <si>
    <t>Page 19:  Line 237:  IMRF:  Support Service</t>
  </si>
  <si>
    <t>Page 20:  Line 278:  IMRF:  Central/Community Services</t>
  </si>
  <si>
    <t>618-457-4522</t>
  </si>
  <si>
    <t>Byrne &amp; Jones Construction</t>
  </si>
  <si>
    <t>20-2540-300</t>
  </si>
  <si>
    <t>O&amp;M-Operation and Maintenance Plant Services</t>
  </si>
  <si>
    <t>Glandt Roofing</t>
  </si>
  <si>
    <t>ED-Operation and Maintenance Plant Services</t>
  </si>
  <si>
    <t>10-2540-300</t>
  </si>
  <si>
    <t>Quality Clean</t>
  </si>
  <si>
    <t>10-2550-300</t>
  </si>
  <si>
    <t>West Bus</t>
  </si>
  <si>
    <t>ED-Pupil Tansportation Services</t>
  </si>
  <si>
    <t>Transportation-Pupil Transportation Services</t>
  </si>
  <si>
    <t>J and L Robinson Dev</t>
  </si>
  <si>
    <t>RP Coatings</t>
  </si>
  <si>
    <t>40-2550-400</t>
  </si>
  <si>
    <t xml:space="preserve">#20 - See Finding 2019-0001.                                                                                                                                                                                                      </t>
  </si>
  <si>
    <t xml:space="preserve">      IDEA </t>
  </si>
  <si>
    <t>Although the auditor can propose adjustment and assist in assembling or drafting the financial statements, the auditor cannot establish or maintain the School District's internal controls, including monitoring ongoing activities, since doing so would impair the auditor's idependence.</t>
  </si>
  <si>
    <t>The School District prepares interim financial reports using software specifically designed for school district reporting.  For year end reporting purposes, the School District relies on the auditor to prepare drafts of full disclosure financial statements (including footnotes) in a format acceptable by the ISBE.  The School District currently lacks sufficient expertise to prepare year end, full disclosure financial statements without significant assistance from the auditor, but does possess sufficient skill, knowledge or experience to approve the journal entries and draft the financial statements.</t>
  </si>
  <si>
    <t>The School District has not retained an individual to specifically monitor standards promulgated by the American Institute of the Certified Public Accountants as they relate to full disclosure financial reporting.  Preparation of full disclosure year end financial statements is not an assigned function for hte District Accounting staff.</t>
  </si>
  <si>
    <t>Management is currrently confident with the abilities of the accounting staff to prepare interim financial statements.  The School District has also accepted the additonal risk associated with the auditor drafting the year end financial statements including the notes to the financial statements.  Management will review, approve and take responsibility for the audit adjustments, financial statements, and the notes to the financial statements.</t>
  </si>
  <si>
    <t>Stephen Murphy</t>
  </si>
  <si>
    <t xml:space="preserve"> Detailed property records are not presently maintained; consequently, we are unable to express an opinion on the General Fixed Assets Account Group.                             </t>
  </si>
  <si>
    <t>84.048A</t>
  </si>
  <si>
    <t>Carbondale CHSD 165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</si>
</sst>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bottom style="thin">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3" fontId="61" fillId="0" borderId="169"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xdr:colOff>
          <xdr:row>2</xdr:row>
          <xdr:rowOff>103910</xdr:rowOff>
        </xdr:from>
        <xdr:to>
          <xdr:col>1</xdr:col>
          <xdr:colOff>931718</xdr:colOff>
          <xdr:row>6</xdr:row>
          <xdr:rowOff>142010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1178503</xdr:colOff>
          <xdr:row>2</xdr:row>
          <xdr:rowOff>107373</xdr:rowOff>
        </xdr:from>
        <xdr:to>
          <xdr:col>1</xdr:col>
          <xdr:colOff>2092903</xdr:colOff>
          <xdr:row>6</xdr:row>
          <xdr:rowOff>145473</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2303318</xdr:colOff>
          <xdr:row>2</xdr:row>
          <xdr:rowOff>123826</xdr:rowOff>
        </xdr:from>
        <xdr:to>
          <xdr:col>1</xdr:col>
          <xdr:colOff>3217718</xdr:colOff>
          <xdr:row>6</xdr:row>
          <xdr:rowOff>152401</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25978</xdr:colOff>
          <xdr:row>7</xdr:row>
          <xdr:rowOff>51955</xdr:rowOff>
        </xdr:from>
        <xdr:to>
          <xdr:col>1</xdr:col>
          <xdr:colOff>940378</xdr:colOff>
          <xdr:row>11</xdr:row>
          <xdr:rowOff>90055</xdr:rowOff>
        </xdr:to>
        <xdr:sp macro="" textlink="">
          <xdr:nvSpPr>
            <xdr:cNvPr id="51206" name="Object 6" hidden="1">
              <a:extLst>
                <a:ext uri="{63B3BB69-23CF-44E3-9099-C40C66FF867C}">
                  <a14:compatExt spid="_x0000_s51206"/>
                </a:ext>
                <a:ext uri="{FF2B5EF4-FFF2-40B4-BE49-F238E27FC236}">
                  <a16:creationId xmlns:a16="http://schemas.microsoft.com/office/drawing/2014/main" id="{00000000-0008-0000-1400-000006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1166380</xdr:colOff>
          <xdr:row>7</xdr:row>
          <xdr:rowOff>77933</xdr:rowOff>
        </xdr:from>
        <xdr:to>
          <xdr:col>1</xdr:col>
          <xdr:colOff>2080780</xdr:colOff>
          <xdr:row>11</xdr:row>
          <xdr:rowOff>116033</xdr:rowOff>
        </xdr:to>
        <xdr:sp macro="" textlink="">
          <xdr:nvSpPr>
            <xdr:cNvPr id="51207" name="Object 7" hidden="1">
              <a:extLst>
                <a:ext uri="{63B3BB69-23CF-44E3-9099-C40C66FF867C}">
                  <a14:compatExt spid="_x0000_s51207"/>
                </a:ext>
                <a:ext uri="{FF2B5EF4-FFF2-40B4-BE49-F238E27FC236}">
                  <a16:creationId xmlns:a16="http://schemas.microsoft.com/office/drawing/2014/main" id="{00000000-0008-0000-1400-000007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topLeftCell="A2"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24" t="s">
        <v>405</v>
      </c>
      <c r="J1" s="2025"/>
      <c r="K1" s="2025"/>
      <c r="L1" s="2025"/>
      <c r="M1" s="2025"/>
      <c r="N1" s="2025"/>
      <c r="O1" s="2025"/>
      <c r="P1" s="2025"/>
      <c r="Q1" s="2025"/>
      <c r="R1" s="2025"/>
      <c r="S1" s="2025"/>
    </row>
    <row r="2" spans="1:28" ht="12" customHeight="1" x14ac:dyDescent="0.2">
      <c r="A2" s="47" t="s">
        <v>1987</v>
      </c>
      <c r="D2" s="48"/>
      <c r="I2" s="2026" t="s">
        <v>979</v>
      </c>
      <c r="J2" s="2025"/>
      <c r="K2" s="2025"/>
      <c r="L2" s="2025"/>
      <c r="M2" s="2025"/>
      <c r="N2" s="2025"/>
      <c r="O2" s="2025"/>
      <c r="P2" s="2025"/>
      <c r="Q2" s="2025"/>
      <c r="R2" s="2025"/>
      <c r="S2" s="2025"/>
    </row>
    <row r="3" spans="1:28" ht="12" customHeight="1" x14ac:dyDescent="0.2">
      <c r="A3" s="155" t="s">
        <v>1939</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2069</v>
      </c>
      <c r="C5" s="26" t="s">
        <v>910</v>
      </c>
      <c r="D5" s="84"/>
      <c r="E5" s="84"/>
      <c r="H5" s="38"/>
      <c r="I5" s="2033" t="s">
        <v>680</v>
      </c>
      <c r="J5" s="1978"/>
      <c r="K5" s="1978"/>
      <c r="L5" s="1978"/>
      <c r="M5" s="1978"/>
      <c r="N5" s="1978"/>
      <c r="O5" s="1978"/>
      <c r="P5" s="1978"/>
      <c r="Q5" s="1978"/>
      <c r="R5" s="1978"/>
      <c r="S5" s="1978"/>
    </row>
    <row r="6" spans="1:28" ht="14.1" customHeight="1" x14ac:dyDescent="0.2">
      <c r="B6" s="104"/>
      <c r="C6" s="26" t="s">
        <v>911</v>
      </c>
      <c r="D6" s="84"/>
      <c r="E6" s="84"/>
      <c r="I6" s="2032" t="s">
        <v>883</v>
      </c>
      <c r="J6" s="1978"/>
      <c r="K6" s="1978"/>
      <c r="L6" s="1978"/>
      <c r="M6" s="1978"/>
      <c r="N6" s="1978"/>
      <c r="O6" s="1978"/>
      <c r="P6" s="1978"/>
      <c r="Q6" s="1978"/>
      <c r="R6" s="1978"/>
      <c r="S6" s="1978"/>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t="s">
        <v>2069</v>
      </c>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v>30039165016</v>
      </c>
      <c r="B13" s="1995"/>
      <c r="C13" s="1995"/>
      <c r="D13" s="1995"/>
      <c r="E13" s="1995"/>
      <c r="F13" s="1995"/>
      <c r="G13" s="1995"/>
      <c r="H13" s="1996"/>
      <c r="I13" s="31"/>
      <c r="J13" s="30"/>
      <c r="K13" s="28"/>
      <c r="L13" s="30"/>
      <c r="M13" s="30"/>
      <c r="N13" s="30"/>
      <c r="O13" s="30"/>
      <c r="P13" s="30"/>
      <c r="Q13" s="30"/>
      <c r="R13" s="30"/>
      <c r="S13" s="30"/>
      <c r="T13" s="1999" t="s">
        <v>2076</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2" t="s">
        <v>2070</v>
      </c>
      <c r="B15" s="1997"/>
      <c r="C15" s="1997"/>
      <c r="D15" s="1997"/>
      <c r="E15" s="1997"/>
      <c r="F15" s="1997"/>
      <c r="G15" s="1997"/>
      <c r="H15" s="1998"/>
      <c r="T15" s="1960" t="s">
        <v>2077</v>
      </c>
      <c r="U15" s="1961"/>
      <c r="V15" s="1961"/>
      <c r="W15" s="1961"/>
      <c r="X15" s="1961"/>
      <c r="Y15" s="2003"/>
      <c r="Z15" s="2003"/>
      <c r="AA15" s="20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2" t="s">
        <v>2189</v>
      </c>
      <c r="B17" s="2022"/>
      <c r="C17" s="2022"/>
      <c r="D17" s="2022"/>
      <c r="E17" s="2022"/>
      <c r="F17" s="2022"/>
      <c r="G17" s="2022"/>
      <c r="H17" s="2023"/>
      <c r="T17" s="2009" t="s">
        <v>2078</v>
      </c>
      <c r="U17" s="2010"/>
      <c r="V17" s="2010"/>
      <c r="W17" s="2010"/>
      <c r="X17" s="2010"/>
      <c r="Y17" s="2010"/>
      <c r="Z17" s="2010"/>
      <c r="AA17" s="2011"/>
    </row>
    <row r="18" spans="1:27" ht="13.5" customHeight="1" x14ac:dyDescent="0.2">
      <c r="A18" s="85" t="s">
        <v>530</v>
      </c>
      <c r="B18" s="76"/>
      <c r="C18" s="72"/>
      <c r="D18" s="76"/>
      <c r="E18" s="76"/>
      <c r="F18" s="76"/>
      <c r="G18" s="76"/>
      <c r="H18" s="56"/>
      <c r="I18" s="201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1992" t="s">
        <v>2071</v>
      </c>
      <c r="B19" s="1993"/>
      <c r="C19" s="1993"/>
      <c r="D19" s="1993"/>
      <c r="E19" s="1993"/>
      <c r="F19" s="1993"/>
      <c r="G19" s="1993"/>
      <c r="H19" s="1991"/>
      <c r="I19" s="30"/>
      <c r="J19" s="99"/>
      <c r="K19" s="40"/>
      <c r="L19" s="38"/>
      <c r="M19" s="112" t="s">
        <v>315</v>
      </c>
      <c r="P19" s="27"/>
      <c r="Q19" s="27"/>
      <c r="R19" s="27"/>
      <c r="S19" s="31"/>
      <c r="T19" s="1992" t="s">
        <v>2079</v>
      </c>
      <c r="U19" s="1990"/>
      <c r="V19" s="1990"/>
      <c r="W19" s="1991"/>
      <c r="X19" s="2007" t="s">
        <v>2080</v>
      </c>
      <c r="Y19" s="2008"/>
      <c r="Z19" s="2005">
        <v>62263</v>
      </c>
      <c r="AA19" s="20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2072</v>
      </c>
      <c r="B21" s="1990"/>
      <c r="C21" s="1990"/>
      <c r="D21" s="1990"/>
      <c r="E21" s="1990"/>
      <c r="F21" s="1990"/>
      <c r="G21" s="1990"/>
      <c r="H21" s="1991"/>
      <c r="I21" s="2015" t="s">
        <v>678</v>
      </c>
      <c r="J21" s="1978"/>
      <c r="K21" s="1978"/>
      <c r="L21" s="1978"/>
      <c r="M21" s="1978"/>
      <c r="N21" s="1978"/>
      <c r="O21" s="1978"/>
      <c r="P21" s="1978"/>
      <c r="Q21" s="1978"/>
      <c r="R21" s="1978"/>
      <c r="S21" s="1979"/>
      <c r="T21" s="1957" t="s">
        <v>2081</v>
      </c>
      <c r="U21" s="1958"/>
      <c r="V21" s="1958"/>
      <c r="W21" s="1958"/>
      <c r="X21" s="1971" t="s">
        <v>2082</v>
      </c>
      <c r="Y21" s="1972"/>
      <c r="Z21" s="1972"/>
      <c r="AA21" s="1973"/>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2" t="s">
        <v>2073</v>
      </c>
      <c r="B23" s="2013"/>
      <c r="C23" s="2013"/>
      <c r="D23" s="2013"/>
      <c r="E23" s="2013"/>
      <c r="F23" s="2013"/>
      <c r="G23" s="2013"/>
      <c r="H23" s="2014"/>
      <c r="T23" s="1952" t="s">
        <v>2083</v>
      </c>
      <c r="U23" s="1953"/>
      <c r="V23" s="1953"/>
      <c r="W23" s="1953"/>
      <c r="X23" s="1968">
        <v>43831</v>
      </c>
      <c r="Y23" s="1969"/>
      <c r="Z23" s="1969"/>
      <c r="AA23" s="1970"/>
    </row>
    <row r="24" spans="1:27" ht="14.1" customHeight="1" x14ac:dyDescent="0.2">
      <c r="A24" s="88" t="s">
        <v>677</v>
      </c>
      <c r="B24" s="49"/>
      <c r="C24" s="49"/>
      <c r="D24" s="49"/>
      <c r="E24" s="49"/>
      <c r="F24" s="49"/>
      <c r="G24" s="49"/>
      <c r="H24" s="61"/>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5" t="s">
        <v>531</v>
      </c>
      <c r="U24" s="106"/>
      <c r="V24" s="106"/>
      <c r="W24" s="106"/>
      <c r="X24" s="107"/>
      <c r="Y24" s="107"/>
      <c r="Z24" s="107"/>
      <c r="AA24" s="108"/>
    </row>
    <row r="25" spans="1:27" ht="14.1" customHeight="1" x14ac:dyDescent="0.2">
      <c r="A25" s="1989">
        <v>62902</v>
      </c>
      <c r="B25" s="1990"/>
      <c r="C25" s="1990"/>
      <c r="D25" s="1990"/>
      <c r="E25" s="1990"/>
      <c r="F25" s="1990"/>
      <c r="G25" s="1990"/>
      <c r="H25" s="1991"/>
      <c r="I25" s="113"/>
      <c r="J25" s="2056"/>
      <c r="K25" s="2056"/>
      <c r="L25" s="2056"/>
      <c r="M25" s="2056"/>
      <c r="N25" s="2056"/>
      <c r="O25" s="2056"/>
      <c r="P25" s="2056"/>
      <c r="Q25" s="2056"/>
      <c r="R25" s="2056"/>
      <c r="S25" s="2057"/>
      <c r="T25" s="1949" t="s">
        <v>2084</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7" t="s">
        <v>1511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2069</v>
      </c>
      <c r="C30" s="124" t="s">
        <v>1164</v>
      </c>
      <c r="D30" s="28"/>
      <c r="E30" s="28"/>
      <c r="F30" s="140"/>
      <c r="G30" s="114"/>
      <c r="H30" s="114"/>
      <c r="I30" s="54"/>
      <c r="J30" s="148" t="s">
        <v>2069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2069</v>
      </c>
      <c r="C34" s="32" t="s">
        <v>542</v>
      </c>
      <c r="D34" s="31"/>
      <c r="E34" s="31"/>
      <c r="F34" s="31"/>
      <c r="G34" s="31"/>
      <c r="H34" s="31"/>
      <c r="I34" s="54"/>
      <c r="J34" s="83"/>
      <c r="L34" s="101"/>
      <c r="M34" s="93" t="s">
        <v>707</v>
      </c>
      <c r="N34" s="30"/>
      <c r="O34" s="30"/>
      <c r="P34" s="30"/>
      <c r="Q34" s="30"/>
      <c r="R34" s="30"/>
      <c r="S34" s="55"/>
      <c r="T34" s="30"/>
      <c r="U34" s="148" t="s">
        <v>2069</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2" t="s">
        <v>2186</v>
      </c>
      <c r="B38" s="2022"/>
      <c r="C38" s="2022"/>
      <c r="D38" s="2022"/>
      <c r="E38" s="2022"/>
      <c r="F38" s="1990"/>
      <c r="G38" s="1990"/>
      <c r="H38" s="1991"/>
      <c r="I38" s="2041"/>
      <c r="J38" s="1961"/>
      <c r="K38" s="1961"/>
      <c r="L38" s="1961"/>
      <c r="M38" s="1961"/>
      <c r="N38" s="1961"/>
      <c r="O38" s="1961"/>
      <c r="P38" s="1962"/>
      <c r="Q38" s="1962"/>
      <c r="R38" s="1962"/>
      <c r="S38" s="1963"/>
      <c r="T38" s="1960" t="s">
        <v>2085</v>
      </c>
      <c r="U38" s="1961"/>
      <c r="V38" s="1961"/>
      <c r="W38" s="1961"/>
      <c r="X38" s="1962"/>
      <c r="Y38" s="1962"/>
      <c r="Z38" s="1962"/>
      <c r="AA38" s="1963"/>
    </row>
    <row r="39" spans="1:27" ht="12" customHeight="1" x14ac:dyDescent="0.2">
      <c r="A39" s="2045" t="s">
        <v>531</v>
      </c>
      <c r="B39" s="2046"/>
      <c r="C39" s="72"/>
      <c r="D39" s="69"/>
      <c r="E39" s="69"/>
      <c r="F39" s="79"/>
      <c r="G39" s="69"/>
      <c r="H39" s="56"/>
      <c r="I39" s="2045" t="s">
        <v>531</v>
      </c>
      <c r="J39" s="2046"/>
      <c r="K39" s="2046"/>
      <c r="L39" s="2046"/>
      <c r="M39" s="2046"/>
      <c r="N39" s="67"/>
      <c r="O39" s="72"/>
      <c r="P39" s="72"/>
      <c r="Q39" s="78"/>
      <c r="R39" s="72"/>
      <c r="S39" s="56"/>
      <c r="T39" s="72" t="s">
        <v>531</v>
      </c>
      <c r="U39" s="51"/>
      <c r="V39" s="72"/>
      <c r="W39" s="50"/>
      <c r="X39" s="78"/>
      <c r="Y39" s="45"/>
      <c r="Z39" s="45"/>
      <c r="AA39" s="46"/>
    </row>
    <row r="40" spans="1:27" ht="13.5" customHeight="1" x14ac:dyDescent="0.2">
      <c r="A40" s="2048" t="s">
        <v>2073</v>
      </c>
      <c r="B40" s="2049"/>
      <c r="C40" s="2050"/>
      <c r="D40" s="2050"/>
      <c r="E40" s="2050"/>
      <c r="F40" s="2051"/>
      <c r="G40" s="2051"/>
      <c r="H40" s="2052"/>
      <c r="I40" s="1964"/>
      <c r="J40" s="1966"/>
      <c r="K40" s="1966"/>
      <c r="L40" s="1966"/>
      <c r="M40" s="1966"/>
      <c r="N40" s="1966"/>
      <c r="O40" s="1966"/>
      <c r="P40" s="1966"/>
      <c r="Q40" s="1966"/>
      <c r="R40" s="1966"/>
      <c r="S40" s="1967"/>
      <c r="T40" s="1964" t="s">
        <v>2086</v>
      </c>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8" t="s">
        <v>2074</v>
      </c>
      <c r="B42" s="2039"/>
      <c r="C42" s="2040"/>
      <c r="D42" s="2053" t="s">
        <v>2075</v>
      </c>
      <c r="E42" s="2039"/>
      <c r="F42" s="2039"/>
      <c r="G42" s="2039"/>
      <c r="H42" s="2040"/>
      <c r="I42" s="1959"/>
      <c r="J42" s="1955"/>
      <c r="K42" s="1955"/>
      <c r="L42" s="1955"/>
      <c r="M42" s="1955"/>
      <c r="N42" s="1955"/>
      <c r="O42" s="1956"/>
      <c r="P42" s="1954"/>
      <c r="Q42" s="1955"/>
      <c r="R42" s="1955"/>
      <c r="S42" s="1956"/>
      <c r="T42" s="1959" t="s">
        <v>2087</v>
      </c>
      <c r="U42" s="1955"/>
      <c r="V42" s="1955"/>
      <c r="W42" s="1956"/>
      <c r="X42" s="1954" t="s">
        <v>2088</v>
      </c>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10" zoomScalePageLayoutView="110" workbookViewId="0">
      <selection sqref="A1:M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91" t="s">
        <v>1798</v>
      </c>
      <c r="B2" s="1528" t="s">
        <v>1945</v>
      </c>
      <c r="C2" s="714" t="s">
        <v>1946</v>
      </c>
      <c r="D2" s="714" t="s">
        <v>1947</v>
      </c>
      <c r="E2" s="714" t="s">
        <v>1948</v>
      </c>
      <c r="F2" s="714" t="s">
        <v>1949</v>
      </c>
    </row>
    <row r="3" spans="1:6" ht="12" customHeight="1" x14ac:dyDescent="0.2">
      <c r="A3" s="2192"/>
      <c r="B3" s="1525"/>
      <c r="C3" s="1526"/>
      <c r="D3" s="1527" t="s">
        <v>256</v>
      </c>
      <c r="E3" s="1526"/>
      <c r="F3" s="1527" t="s">
        <v>257</v>
      </c>
    </row>
    <row r="4" spans="1:6" ht="13.7" customHeight="1" x14ac:dyDescent="0.2">
      <c r="A4" s="715" t="s">
        <v>1155</v>
      </c>
      <c r="B4" s="1748">
        <f>'Revenues 9-14'!C5</f>
        <v>7467212</v>
      </c>
      <c r="C4" s="1524"/>
      <c r="D4" s="1751">
        <f>B4-C4</f>
        <v>7467212</v>
      </c>
      <c r="E4" s="1524">
        <v>7853000</v>
      </c>
      <c r="F4" s="1751">
        <f>E4-C4</f>
        <v>7853000</v>
      </c>
    </row>
    <row r="5" spans="1:6" ht="13.7" customHeight="1" x14ac:dyDescent="0.2">
      <c r="A5" s="715" t="s">
        <v>870</v>
      </c>
      <c r="B5" s="1749">
        <f>'Revenues 9-14'!D5</f>
        <v>1481154</v>
      </c>
      <c r="C5" s="585"/>
      <c r="D5" s="1752">
        <f t="shared" ref="D5:D18" si="0">B5-C5</f>
        <v>1481154</v>
      </c>
      <c r="E5" s="585">
        <v>1500981</v>
      </c>
      <c r="F5" s="1752">
        <f>E5-C5</f>
        <v>1500981</v>
      </c>
    </row>
    <row r="6" spans="1:6" ht="13.7" customHeight="1" x14ac:dyDescent="0.2">
      <c r="A6" s="715" t="s">
        <v>411</v>
      </c>
      <c r="B6" s="1749">
        <f>'Revenues 9-14'!E5</f>
        <v>1144408</v>
      </c>
      <c r="C6" s="585"/>
      <c r="D6" s="1752">
        <f t="shared" si="0"/>
        <v>1144408</v>
      </c>
      <c r="E6" s="585"/>
      <c r="F6" s="1752">
        <f t="shared" ref="F6:F18" si="1">E6-C6</f>
        <v>0</v>
      </c>
    </row>
    <row r="7" spans="1:6" ht="13.7" customHeight="1" x14ac:dyDescent="0.2">
      <c r="A7" s="715" t="s">
        <v>155</v>
      </c>
      <c r="B7" s="1749">
        <f>'Revenues 9-14'!F5</f>
        <v>570713</v>
      </c>
      <c r="C7" s="585"/>
      <c r="D7" s="1752">
        <f t="shared" si="0"/>
        <v>570713</v>
      </c>
      <c r="E7" s="585">
        <v>577000</v>
      </c>
      <c r="F7" s="1752">
        <f t="shared" si="1"/>
        <v>577000</v>
      </c>
    </row>
    <row r="8" spans="1:6" ht="13.7" customHeight="1" x14ac:dyDescent="0.2">
      <c r="A8" s="715" t="s">
        <v>1179</v>
      </c>
      <c r="B8" s="1749">
        <f>'Revenues 9-14'!G5</f>
        <v>246854</v>
      </c>
      <c r="C8" s="585"/>
      <c r="D8" s="1752">
        <f t="shared" si="0"/>
        <v>246854</v>
      </c>
      <c r="E8" s="585">
        <v>290000</v>
      </c>
      <c r="F8" s="1752">
        <f t="shared" si="1"/>
        <v>290000</v>
      </c>
    </row>
    <row r="9" spans="1:6" ht="13.7" customHeight="1" x14ac:dyDescent="0.2">
      <c r="A9" s="715" t="s">
        <v>408</v>
      </c>
      <c r="B9" s="1749">
        <f>'Revenues 9-14'!H5</f>
        <v>0</v>
      </c>
      <c r="C9" s="585"/>
      <c r="D9" s="1752">
        <f t="shared" si="0"/>
        <v>0</v>
      </c>
      <c r="E9" s="585">
        <v>0</v>
      </c>
      <c r="F9" s="1752">
        <f t="shared" si="1"/>
        <v>0</v>
      </c>
    </row>
    <row r="10" spans="1:6" ht="13.7" customHeight="1" x14ac:dyDescent="0.2">
      <c r="A10" s="715" t="s">
        <v>407</v>
      </c>
      <c r="B10" s="1749">
        <f>'Revenues 9-14'!I5</f>
        <v>217308</v>
      </c>
      <c r="C10" s="585"/>
      <c r="D10" s="1752">
        <f t="shared" si="0"/>
        <v>217308</v>
      </c>
      <c r="E10" s="585">
        <v>218000</v>
      </c>
      <c r="F10" s="1752">
        <f t="shared" si="1"/>
        <v>218000</v>
      </c>
    </row>
    <row r="11" spans="1:6" x14ac:dyDescent="0.2">
      <c r="A11" s="715" t="s">
        <v>409</v>
      </c>
      <c r="B11" s="1749">
        <f>'Revenues 9-14'!J5</f>
        <v>345621</v>
      </c>
      <c r="C11" s="585"/>
      <c r="D11" s="1752">
        <f t="shared" si="0"/>
        <v>345621</v>
      </c>
      <c r="E11" s="585">
        <v>380500</v>
      </c>
      <c r="F11" s="1752">
        <f t="shared" si="1"/>
        <v>380500</v>
      </c>
    </row>
    <row r="12" spans="1:6" ht="13.7" customHeight="1" x14ac:dyDescent="0.2">
      <c r="A12" s="715" t="s">
        <v>157</v>
      </c>
      <c r="B12" s="1749">
        <f>'Revenues 9-14'!K5</f>
        <v>183688</v>
      </c>
      <c r="C12" s="585"/>
      <c r="D12" s="1752">
        <f t="shared" si="0"/>
        <v>183688</v>
      </c>
      <c r="E12" s="585">
        <v>245000</v>
      </c>
      <c r="F12" s="1752">
        <f t="shared" si="1"/>
        <v>245000</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98766</v>
      </c>
      <c r="C14" s="585"/>
      <c r="D14" s="1752">
        <f t="shared" si="0"/>
        <v>98766</v>
      </c>
      <c r="E14" s="585">
        <v>101000</v>
      </c>
      <c r="F14" s="1752">
        <f t="shared" si="1"/>
        <v>101000</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232111</v>
      </c>
      <c r="C16" s="585"/>
      <c r="D16" s="1752">
        <f t="shared" si="0"/>
        <v>232111</v>
      </c>
      <c r="E16" s="585">
        <v>258000</v>
      </c>
      <c r="F16" s="1752">
        <f t="shared" si="1"/>
        <v>258000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11987835</v>
      </c>
      <c r="C19" s="1750">
        <f>SUM(C4:C18)</f>
        <v>0</v>
      </c>
      <c r="D19" s="1750">
        <f>SUM(D4:D18)</f>
        <v>11987835</v>
      </c>
      <c r="E19" s="1750">
        <f>SUM(E4:E18)</f>
        <v>11423481</v>
      </c>
      <c r="F19" s="1750">
        <f>SUM(F4:F18)</f>
        <v>11423481</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Normal="110" zoomScalePageLayoutView="110" workbookViewId="0">
      <selection sqref="A1:M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629</v>
      </c>
      <c r="B1" s="2198"/>
      <c r="C1" s="721"/>
    </row>
    <row r="2" spans="1:7" ht="33.75" x14ac:dyDescent="0.2">
      <c r="A2" s="2206" t="s">
        <v>1798</v>
      </c>
      <c r="B2" s="2207"/>
      <c r="C2" s="1882" t="s">
        <v>1950</v>
      </c>
      <c r="D2" s="723" t="s">
        <v>1951</v>
      </c>
      <c r="E2" s="723" t="s">
        <v>1952</v>
      </c>
      <c r="F2" s="1882" t="s">
        <v>1953</v>
      </c>
    </row>
    <row r="3" spans="1:7" ht="15.75" customHeight="1" x14ac:dyDescent="0.2">
      <c r="A3" s="2210" t="s">
        <v>1114</v>
      </c>
      <c r="B3" s="2211"/>
      <c r="C3" s="2199"/>
      <c r="D3" s="2200"/>
      <c r="E3" s="2200"/>
      <c r="F3" s="2201"/>
    </row>
    <row r="4" spans="1:7" ht="12.75" customHeight="1" thickBot="1" x14ac:dyDescent="0.25">
      <c r="A4" s="2208" t="s">
        <v>630</v>
      </c>
      <c r="B4" s="2209"/>
      <c r="C4" s="581"/>
      <c r="D4" s="581"/>
      <c r="E4" s="581"/>
      <c r="F4" s="1754">
        <f>SUM(C4+D4)-E4</f>
        <v>0</v>
      </c>
    </row>
    <row r="5" spans="1:7" ht="15.75" customHeight="1" thickTop="1" x14ac:dyDescent="0.2">
      <c r="A5" s="2193" t="s">
        <v>1110</v>
      </c>
      <c r="B5" s="2194"/>
      <c r="C5" s="2202"/>
      <c r="D5" s="2203"/>
      <c r="E5" s="2203"/>
      <c r="F5" s="2204"/>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5" t="s">
        <v>631</v>
      </c>
      <c r="B15" s="2196"/>
      <c r="C15" s="1754">
        <f>SUM(C6:C14)</f>
        <v>0</v>
      </c>
      <c r="D15" s="1754">
        <f>SUM(D6:D14)</f>
        <v>0</v>
      </c>
      <c r="E15" s="1754">
        <f>SUM(E6:E14)</f>
        <v>0</v>
      </c>
      <c r="F15" s="1754">
        <f>SUM(F6:F14)</f>
        <v>0</v>
      </c>
      <c r="G15" s="552"/>
    </row>
    <row r="16" spans="1:7" s="202" customFormat="1" ht="15.75" customHeight="1" thickTop="1" x14ac:dyDescent="0.2">
      <c r="A16" s="2205" t="s">
        <v>1111</v>
      </c>
      <c r="B16" s="2194"/>
      <c r="C16" s="2202"/>
      <c r="D16" s="2203"/>
      <c r="E16" s="2203"/>
      <c r="F16" s="2204"/>
    </row>
    <row r="17" spans="1:11" ht="12.75" customHeight="1" thickBot="1" x14ac:dyDescent="0.25">
      <c r="A17" s="2218" t="s">
        <v>64</v>
      </c>
      <c r="B17" s="2219"/>
      <c r="C17" s="726"/>
      <c r="D17" s="585"/>
      <c r="E17" s="726"/>
      <c r="F17" s="1754">
        <f>SUM(C17+D17)-E17</f>
        <v>0</v>
      </c>
    </row>
    <row r="18" spans="1:11" ht="12.75" customHeight="1" thickTop="1" thickBot="1" x14ac:dyDescent="0.25">
      <c r="A18" s="2218" t="s">
        <v>6</v>
      </c>
      <c r="B18" s="2219"/>
      <c r="C18" s="726"/>
      <c r="D18" s="585"/>
      <c r="E18" s="726"/>
      <c r="F18" s="1754">
        <f>SUM(C18+D18)-E18</f>
        <v>0</v>
      </c>
    </row>
    <row r="19" spans="1:11" ht="12.75" customHeight="1" thickTop="1" thickBot="1" x14ac:dyDescent="0.25">
      <c r="A19" s="2218" t="s">
        <v>388</v>
      </c>
      <c r="B19" s="2219"/>
      <c r="C19" s="726"/>
      <c r="D19" s="585"/>
      <c r="E19" s="726"/>
      <c r="F19" s="1754">
        <f>SUM(C19+D19)-E19</f>
        <v>0</v>
      </c>
    </row>
    <row r="20" spans="1:11" ht="12.75" customHeight="1" thickTop="1" thickBot="1" x14ac:dyDescent="0.25">
      <c r="A20" s="2218" t="s">
        <v>448</v>
      </c>
      <c r="B20" s="2219"/>
      <c r="C20" s="726"/>
      <c r="D20" s="585"/>
      <c r="E20" s="726"/>
      <c r="F20" s="1754">
        <f>SUM(C20+D20)-E20</f>
        <v>0</v>
      </c>
    </row>
    <row r="21" spans="1:11" ht="14.25" thickTop="1" thickBot="1" x14ac:dyDescent="0.25">
      <c r="A21" s="2195" t="s">
        <v>632</v>
      </c>
      <c r="B21" s="2196"/>
      <c r="C21" s="1754">
        <f>SUM(C17:C20)</f>
        <v>0</v>
      </c>
      <c r="D21" s="1754">
        <f>SUM(D17:D20)</f>
        <v>0</v>
      </c>
      <c r="E21" s="1754">
        <f>SUM(E17:E20)</f>
        <v>0</v>
      </c>
      <c r="F21" s="1754">
        <f>SUM(F17:F20)</f>
        <v>0</v>
      </c>
      <c r="G21" s="552"/>
    </row>
    <row r="22" spans="1:11" ht="15.75" customHeight="1" thickTop="1" x14ac:dyDescent="0.2">
      <c r="A22" s="2220" t="s">
        <v>1112</v>
      </c>
      <c r="B22" s="2194"/>
      <c r="C22" s="2202"/>
      <c r="D22" s="2203"/>
      <c r="E22" s="2203"/>
      <c r="F22" s="2204"/>
    </row>
    <row r="23" spans="1:11" ht="13.5" thickBot="1" x14ac:dyDescent="0.25">
      <c r="A23" s="2208" t="s">
        <v>633</v>
      </c>
      <c r="B23" s="2209"/>
      <c r="C23" s="581"/>
      <c r="D23" s="581"/>
      <c r="E23" s="581"/>
      <c r="F23" s="1754">
        <f>SUM(C23+D23)-E23</f>
        <v>0</v>
      </c>
      <c r="G23" s="552"/>
    </row>
    <row r="24" spans="1:11" ht="15.75" customHeight="1" thickTop="1" x14ac:dyDescent="0.2">
      <c r="A24" s="2220" t="s">
        <v>1113</v>
      </c>
      <c r="B24" s="2194"/>
      <c r="C24" s="2202"/>
      <c r="D24" s="2203"/>
      <c r="E24" s="2203"/>
      <c r="F24" s="2204"/>
    </row>
    <row r="25" spans="1:11" ht="13.5" thickBot="1" x14ac:dyDescent="0.25">
      <c r="A25" s="2208" t="s">
        <v>634</v>
      </c>
      <c r="B25" s="2209"/>
      <c r="C25" s="581"/>
      <c r="D25" s="581"/>
      <c r="E25" s="581"/>
      <c r="F25" s="1754">
        <f>SUM(C25+D25)-E25</f>
        <v>0</v>
      </c>
      <c r="G25" s="552"/>
    </row>
    <row r="26" spans="1:11" ht="15.75" customHeight="1" thickTop="1" x14ac:dyDescent="0.2">
      <c r="A26" s="2193" t="s">
        <v>657</v>
      </c>
      <c r="B26" s="2194"/>
      <c r="C26" s="727"/>
      <c r="D26" s="727"/>
      <c r="E26" s="727"/>
      <c r="F26" s="728"/>
    </row>
    <row r="27" spans="1:11" ht="13.5" thickBot="1" x14ac:dyDescent="0.25">
      <c r="A27" s="2195" t="s">
        <v>1070</v>
      </c>
      <c r="B27" s="2196"/>
      <c r="C27" s="585"/>
      <c r="D27" s="585"/>
      <c r="E27" s="585"/>
      <c r="F27" s="1754">
        <f>SUM(C27+D27)-E27</f>
        <v>0</v>
      </c>
      <c r="G27" s="552"/>
    </row>
    <row r="28" spans="1:11" ht="7.5" customHeight="1" thickTop="1" x14ac:dyDescent="0.2">
      <c r="A28" s="593"/>
    </row>
    <row r="29" spans="1:11" ht="23.25" customHeight="1" x14ac:dyDescent="0.2">
      <c r="A29" s="2221" t="s">
        <v>582</v>
      </c>
      <c r="B29" s="2198"/>
      <c r="C29" s="729"/>
      <c r="D29" s="729"/>
      <c r="E29" s="729"/>
      <c r="F29" s="729"/>
      <c r="G29" s="729"/>
      <c r="H29" s="729"/>
      <c r="I29" s="729"/>
      <c r="J29" s="729"/>
    </row>
    <row r="30" spans="1:11" ht="33.75" x14ac:dyDescent="0.2">
      <c r="A30" s="1529" t="s">
        <v>1071</v>
      </c>
      <c r="B30" s="730" t="s">
        <v>1124</v>
      </c>
      <c r="C30" s="1883" t="s">
        <v>583</v>
      </c>
      <c r="D30" s="1883" t="s">
        <v>1673</v>
      </c>
      <c r="E30" s="1883" t="s">
        <v>1954</v>
      </c>
      <c r="F30" s="1883" t="s">
        <v>1955</v>
      </c>
      <c r="G30" s="1883" t="s">
        <v>1906</v>
      </c>
      <c r="H30" s="1883" t="s">
        <v>1956</v>
      </c>
      <c r="I30" s="1883" t="s">
        <v>1957</v>
      </c>
      <c r="J30" s="1884" t="s">
        <v>2</v>
      </c>
      <c r="K30" s="731"/>
    </row>
    <row r="31" spans="1:11" ht="12" customHeight="1" x14ac:dyDescent="0.2">
      <c r="A31" s="732" t="s">
        <v>2089</v>
      </c>
      <c r="B31" s="733">
        <v>38322</v>
      </c>
      <c r="C31" s="734">
        <v>9875000</v>
      </c>
      <c r="D31" s="735">
        <v>3</v>
      </c>
      <c r="E31" s="734">
        <v>1735000</v>
      </c>
      <c r="F31" s="734"/>
      <c r="G31" s="734"/>
      <c r="H31" s="734">
        <v>1735000</v>
      </c>
      <c r="I31" s="1755">
        <f>((E31+F31)-H31)+G31</f>
        <v>0</v>
      </c>
      <c r="J31" s="734"/>
      <c r="K31" s="736"/>
    </row>
    <row r="32" spans="1:11" ht="12" customHeight="1" x14ac:dyDescent="0.2">
      <c r="A32" s="732">
        <v>2007</v>
      </c>
      <c r="B32" s="733">
        <v>39260</v>
      </c>
      <c r="C32" s="734">
        <v>1474394</v>
      </c>
      <c r="D32" s="735">
        <v>1</v>
      </c>
      <c r="E32" s="734">
        <v>687525</v>
      </c>
      <c r="F32" s="734"/>
      <c r="G32" s="734"/>
      <c r="H32" s="734">
        <v>91102</v>
      </c>
      <c r="I32" s="1755">
        <f>((E32+F32)-H32)+G32</f>
        <v>596423</v>
      </c>
      <c r="J32" s="734">
        <v>176641</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11349394</v>
      </c>
      <c r="D49" s="745"/>
      <c r="E49" s="1755">
        <f t="shared" ref="E49:J49" si="2">SUM(E31:E48)</f>
        <v>2422525</v>
      </c>
      <c r="F49" s="1755">
        <f t="shared" si="2"/>
        <v>0</v>
      </c>
      <c r="G49" s="1755">
        <f t="shared" si="2"/>
        <v>0</v>
      </c>
      <c r="H49" s="1755">
        <f t="shared" si="2"/>
        <v>1826102</v>
      </c>
      <c r="I49" s="1755">
        <f t="shared" si="2"/>
        <v>596423</v>
      </c>
      <c r="J49" s="1755">
        <f t="shared" si="2"/>
        <v>176641</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212" t="s">
        <v>584</v>
      </c>
      <c r="C52" s="2213"/>
      <c r="D52" s="2213"/>
      <c r="E52" s="749" t="s">
        <v>845</v>
      </c>
      <c r="F52" s="2214"/>
      <c r="G52" s="2215"/>
      <c r="H52" s="736"/>
      <c r="I52" s="736"/>
      <c r="J52" s="746"/>
    </row>
    <row r="53" spans="1:11" ht="11.25" customHeight="1" x14ac:dyDescent="0.2">
      <c r="A53" s="750" t="s">
        <v>913</v>
      </c>
      <c r="B53" s="751" t="s">
        <v>951</v>
      </c>
      <c r="C53" s="746"/>
      <c r="D53" s="737"/>
      <c r="E53" s="749" t="s">
        <v>497</v>
      </c>
      <c r="F53" s="2216"/>
      <c r="G53" s="2217"/>
      <c r="H53" s="736"/>
      <c r="I53" s="736"/>
      <c r="J53" s="746"/>
    </row>
    <row r="54" spans="1:11" ht="11.25" customHeight="1" x14ac:dyDescent="0.2">
      <c r="A54" s="752" t="s">
        <v>914</v>
      </c>
      <c r="B54" s="747" t="s">
        <v>952</v>
      </c>
      <c r="C54" s="746"/>
      <c r="D54" s="737"/>
      <c r="E54" s="749" t="s">
        <v>498</v>
      </c>
      <c r="F54" s="2216"/>
      <c r="G54" s="22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Normal="110" zoomScaleSheetLayoutView="106" zoomScalePageLayoutView="110" workbookViewId="0">
      <selection sqref="A1:M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856</v>
      </c>
      <c r="B1" s="2247"/>
      <c r="C1" s="2247"/>
      <c r="D1" s="2247"/>
      <c r="E1" s="2247"/>
      <c r="F1" s="2247"/>
      <c r="G1" s="2248"/>
      <c r="H1" s="1530"/>
      <c r="I1" s="760"/>
      <c r="J1" s="433"/>
    </row>
    <row r="2" spans="1:11" ht="26.25" x14ac:dyDescent="0.2">
      <c r="A2" s="2225" t="s">
        <v>1677</v>
      </c>
      <c r="B2" s="2226"/>
      <c r="C2" s="2226"/>
      <c r="D2" s="2226"/>
      <c r="E2" s="2227"/>
      <c r="F2" s="761" t="s">
        <v>904</v>
      </c>
      <c r="G2" s="762" t="s">
        <v>1674</v>
      </c>
      <c r="H2" s="762" t="s">
        <v>410</v>
      </c>
      <c r="I2" s="762" t="s">
        <v>1158</v>
      </c>
      <c r="J2" s="762" t="s">
        <v>1808</v>
      </c>
      <c r="K2" s="762" t="s">
        <v>138</v>
      </c>
    </row>
    <row r="3" spans="1:11" x14ac:dyDescent="0.2">
      <c r="A3" s="2228" t="s">
        <v>1958</v>
      </c>
      <c r="B3" s="2229"/>
      <c r="C3" s="2229"/>
      <c r="D3" s="2229"/>
      <c r="E3" s="2230"/>
      <c r="F3" s="763"/>
      <c r="G3" s="764"/>
      <c r="H3" s="764"/>
      <c r="I3" s="764"/>
      <c r="J3" s="765"/>
      <c r="K3" s="765"/>
    </row>
    <row r="4" spans="1:11" x14ac:dyDescent="0.2">
      <c r="A4" s="2231" t="s">
        <v>369</v>
      </c>
      <c r="B4" s="2232"/>
      <c r="C4" s="2232"/>
      <c r="D4" s="2232"/>
      <c r="E4" s="2213"/>
      <c r="F4" s="766"/>
      <c r="G4" s="767"/>
      <c r="H4" s="768"/>
      <c r="I4" s="767"/>
      <c r="J4" s="769"/>
      <c r="K4" s="769"/>
    </row>
    <row r="5" spans="1:11" x14ac:dyDescent="0.2">
      <c r="A5" s="2249" t="s">
        <v>1069</v>
      </c>
      <c r="B5" s="2222"/>
      <c r="C5" s="2222"/>
      <c r="D5" s="2222"/>
      <c r="E5" s="2250"/>
      <c r="F5" s="770" t="s">
        <v>848</v>
      </c>
      <c r="G5" s="771"/>
      <c r="H5" s="764">
        <v>98766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3939</v>
      </c>
    </row>
    <row r="8" spans="1:11" x14ac:dyDescent="0.2">
      <c r="A8" s="778" t="s">
        <v>345</v>
      </c>
      <c r="B8" s="779"/>
      <c r="C8" s="779"/>
      <c r="D8" s="779"/>
      <c r="E8" s="780"/>
      <c r="F8" s="770" t="s">
        <v>851</v>
      </c>
      <c r="G8" s="782"/>
      <c r="H8" s="782"/>
      <c r="I8" s="782"/>
      <c r="J8" s="765">
        <v>792339</v>
      </c>
      <c r="K8" s="769"/>
    </row>
    <row r="9" spans="1:11" x14ac:dyDescent="0.2">
      <c r="A9" s="778" t="s">
        <v>138</v>
      </c>
      <c r="B9" s="779"/>
      <c r="C9" s="779"/>
      <c r="D9" s="779"/>
      <c r="E9" s="780"/>
      <c r="F9" s="777" t="s">
        <v>853</v>
      </c>
      <c r="G9" s="782"/>
      <c r="H9" s="771"/>
      <c r="I9" s="771"/>
      <c r="J9" s="781"/>
      <c r="K9" s="765">
        <v>37125</v>
      </c>
    </row>
    <row r="10" spans="1:11" x14ac:dyDescent="0.2">
      <c r="A10" s="2249" t="s">
        <v>1809</v>
      </c>
      <c r="B10" s="2222"/>
      <c r="C10" s="2222"/>
      <c r="D10" s="2222"/>
      <c r="E10" s="2251"/>
      <c r="F10" s="783" t="s">
        <v>862</v>
      </c>
      <c r="G10" s="782"/>
      <c r="H10" s="784"/>
      <c r="I10" s="764"/>
      <c r="J10" s="765"/>
      <c r="K10" s="765"/>
    </row>
    <row r="11" spans="1:11" x14ac:dyDescent="0.2">
      <c r="A11" s="2249" t="s">
        <v>160</v>
      </c>
      <c r="B11" s="2222"/>
      <c r="C11" s="2222"/>
      <c r="D11" s="2222"/>
      <c r="E11" s="2250"/>
      <c r="F11" s="770" t="s">
        <v>852</v>
      </c>
      <c r="G11" s="771"/>
      <c r="H11" s="764"/>
      <c r="I11" s="764"/>
      <c r="J11" s="765"/>
      <c r="K11" s="773"/>
    </row>
    <row r="12" spans="1:11" ht="13.5" thickBot="1" x14ac:dyDescent="0.25">
      <c r="A12" s="2239" t="s">
        <v>905</v>
      </c>
      <c r="B12" s="2240"/>
      <c r="C12" s="2240"/>
      <c r="D12" s="2240"/>
      <c r="E12" s="2241"/>
      <c r="F12" s="1756"/>
      <c r="G12" s="1757">
        <f>SUM(G5:G11)</f>
        <v>0</v>
      </c>
      <c r="H12" s="1757">
        <f>SUM(H5:H11)</f>
        <v>98766</v>
      </c>
      <c r="I12" s="1757">
        <f>SUM(I5:I11)</f>
        <v>0</v>
      </c>
      <c r="J12" s="1757">
        <f>SUM(J5:J11)</f>
        <v>792339</v>
      </c>
      <c r="K12" s="1757">
        <f>SUM(K5:K11)</f>
        <v>41064</v>
      </c>
    </row>
    <row r="13" spans="1:11" ht="13.5" thickTop="1" x14ac:dyDescent="0.2">
      <c r="A13" s="2233" t="s">
        <v>370</v>
      </c>
      <c r="B13" s="2234"/>
      <c r="C13" s="2234"/>
      <c r="D13" s="2234"/>
      <c r="E13" s="2235"/>
      <c r="F13" s="785"/>
      <c r="G13" s="786"/>
      <c r="H13" s="787"/>
      <c r="I13" s="788"/>
      <c r="J13" s="788"/>
      <c r="K13" s="788"/>
    </row>
    <row r="14" spans="1:11" x14ac:dyDescent="0.2">
      <c r="A14" s="2255" t="s">
        <v>456</v>
      </c>
      <c r="B14" s="2255"/>
      <c r="C14" s="2255"/>
      <c r="D14" s="2255"/>
      <c r="E14" s="2256"/>
      <c r="F14" s="789" t="s">
        <v>854</v>
      </c>
      <c r="G14" s="782"/>
      <c r="H14" s="764">
        <v>98766</v>
      </c>
      <c r="I14" s="771"/>
      <c r="J14" s="773"/>
      <c r="K14" s="765">
        <v>41064</v>
      </c>
    </row>
    <row r="15" spans="1:11" x14ac:dyDescent="0.2">
      <c r="A15" s="2222" t="s">
        <v>4</v>
      </c>
      <c r="B15" s="2222"/>
      <c r="C15" s="2222"/>
      <c r="D15" s="2222"/>
      <c r="E15" s="2250"/>
      <c r="F15" s="789" t="s">
        <v>855</v>
      </c>
      <c r="G15" s="771"/>
      <c r="H15" s="764"/>
      <c r="I15" s="764"/>
      <c r="J15" s="765"/>
      <c r="K15" s="765"/>
    </row>
    <row r="16" spans="1:11" x14ac:dyDescent="0.2">
      <c r="A16" s="2222" t="s">
        <v>298</v>
      </c>
      <c r="B16" s="2222"/>
      <c r="C16" s="2222"/>
      <c r="D16" s="2222"/>
      <c r="E16" s="2250"/>
      <c r="F16" s="789" t="s">
        <v>923</v>
      </c>
      <c r="G16" s="772"/>
      <c r="H16" s="767"/>
      <c r="I16" s="767"/>
      <c r="J16" s="769"/>
      <c r="K16" s="769"/>
    </row>
    <row r="17" spans="1:11" x14ac:dyDescent="0.2">
      <c r="A17" s="2244" t="s">
        <v>935</v>
      </c>
      <c r="B17" s="2244"/>
      <c r="C17" s="2244"/>
      <c r="D17" s="2244"/>
      <c r="E17" s="2245"/>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57" t="s">
        <v>1805</v>
      </c>
      <c r="B19" s="2257"/>
      <c r="C19" s="2257"/>
      <c r="D19" s="2257"/>
      <c r="E19" s="2258"/>
      <c r="F19" s="789" t="s">
        <v>933</v>
      </c>
      <c r="G19" s="782"/>
      <c r="H19" s="782"/>
      <c r="I19" s="782"/>
      <c r="J19" s="765">
        <v>792339</v>
      </c>
      <c r="K19" s="795"/>
    </row>
    <row r="20" spans="1:11" x14ac:dyDescent="0.2">
      <c r="A20" s="2236" t="s">
        <v>1810</v>
      </c>
      <c r="B20" s="2237"/>
      <c r="C20" s="2237"/>
      <c r="D20" s="2237"/>
      <c r="E20" s="2238"/>
      <c r="F20" s="789" t="s">
        <v>934</v>
      </c>
      <c r="G20" s="782"/>
      <c r="H20" s="782"/>
      <c r="I20" s="782"/>
      <c r="J20" s="765"/>
      <c r="K20" s="795"/>
    </row>
    <row r="21" spans="1:11" ht="13.5" thickBot="1" x14ac:dyDescent="0.25">
      <c r="A21" s="2242" t="s">
        <v>638</v>
      </c>
      <c r="B21" s="2242"/>
      <c r="C21" s="2242"/>
      <c r="D21" s="2242"/>
      <c r="E21" s="2242"/>
      <c r="F21" s="1758"/>
      <c r="G21" s="792"/>
      <c r="H21" s="796"/>
      <c r="I21" s="796"/>
      <c r="J21" s="1759">
        <f>SUM(J18:J20)</f>
        <v>792339</v>
      </c>
      <c r="K21" s="793"/>
    </row>
    <row r="22" spans="1:11" ht="13.5" thickTop="1" x14ac:dyDescent="0.2">
      <c r="A22" s="2222" t="s">
        <v>1811</v>
      </c>
      <c r="B22" s="2222"/>
      <c r="C22" s="2222"/>
      <c r="D22" s="2222"/>
      <c r="E22" s="2250"/>
      <c r="F22" s="789" t="s">
        <v>862</v>
      </c>
      <c r="G22" s="782"/>
      <c r="H22" s="764"/>
      <c r="I22" s="764"/>
      <c r="J22" s="797"/>
      <c r="K22" s="765"/>
    </row>
    <row r="23" spans="1:11" ht="13.5" thickBot="1" x14ac:dyDescent="0.25">
      <c r="A23" s="2243" t="s">
        <v>906</v>
      </c>
      <c r="B23" s="2242"/>
      <c r="C23" s="2242"/>
      <c r="D23" s="2242"/>
      <c r="E23" s="2242"/>
      <c r="F23" s="1760"/>
      <c r="G23" s="1757">
        <f>SUM(G14:G16,G21,G22)</f>
        <v>0</v>
      </c>
      <c r="H23" s="1757">
        <f>SUM(H14:H16,H21,H22)</f>
        <v>98766</v>
      </c>
      <c r="I23" s="1757">
        <f>SUM(I14:I16,I21,I22)</f>
        <v>0</v>
      </c>
      <c r="J23" s="1757">
        <f>SUM(J14:J16,J21,J22)</f>
        <v>792339</v>
      </c>
      <c r="K23" s="1757">
        <f>SUM(K14:K16,K21,K22)</f>
        <v>41064</v>
      </c>
    </row>
    <row r="24" spans="1:11" ht="14.25" thickTop="1" thickBot="1" x14ac:dyDescent="0.25">
      <c r="A24" s="2243" t="s">
        <v>1959</v>
      </c>
      <c r="B24" s="2242"/>
      <c r="C24" s="2242"/>
      <c r="D24" s="2242"/>
      <c r="E24" s="2242"/>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1905</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2069</v>
      </c>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23"/>
      <c r="C41" s="2223"/>
      <c r="D41" s="2223"/>
      <c r="E41" s="2223"/>
      <c r="F41" s="222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1806</v>
      </c>
      <c r="B46" s="408" t="s">
        <v>1675</v>
      </c>
    </row>
    <row r="47" spans="1:11" s="823" customFormat="1" ht="12.75" customHeight="1" x14ac:dyDescent="0.2">
      <c r="A47" s="821"/>
      <c r="B47" s="822" t="s">
        <v>1676</v>
      </c>
      <c r="E47" s="822"/>
      <c r="K47" s="824"/>
    </row>
    <row r="48" spans="1:11" ht="12.75" customHeight="1" x14ac:dyDescent="0.2">
      <c r="A48" s="1532" t="s">
        <v>1807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Normal="110" zoomScaleSheetLayoutView="100" workbookViewId="0">
      <selection sqref="A1:M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1904</v>
      </c>
      <c r="B1" s="2262"/>
      <c r="C1" s="2263"/>
      <c r="D1" s="826"/>
      <c r="E1" s="827"/>
      <c r="F1" s="827"/>
      <c r="G1" s="828"/>
      <c r="H1" s="829"/>
      <c r="I1" s="830"/>
      <c r="J1" s="2259"/>
      <c r="K1" s="2260"/>
      <c r="L1" s="2260"/>
    </row>
    <row r="2" spans="1:14" ht="69.75" customHeight="1" x14ac:dyDescent="0.2">
      <c r="A2" s="831" t="s">
        <v>1678</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9" t="s">
        <v>892</v>
      </c>
      <c r="B3" s="1630">
        <v>210</v>
      </c>
      <c r="C3" s="835"/>
      <c r="D3" s="835"/>
      <c r="E3" s="835"/>
      <c r="F3" s="1759">
        <f>(C3+D3)-E3</f>
        <v>0</v>
      </c>
      <c r="G3" s="836"/>
      <c r="H3" s="835">
        <v>0</v>
      </c>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147429</v>
      </c>
      <c r="D5" s="841"/>
      <c r="E5" s="841"/>
      <c r="F5" s="1759">
        <f>(C5+D5)-E5</f>
        <v>147429</v>
      </c>
      <c r="G5" s="837"/>
      <c r="H5" s="842"/>
      <c r="I5" s="842"/>
      <c r="J5" s="842"/>
      <c r="K5" s="793"/>
      <c r="L5" s="1768">
        <f>F5-K5</f>
        <v>147429</v>
      </c>
    </row>
    <row r="6" spans="1:14" ht="14.25" thickTop="1" thickBot="1" x14ac:dyDescent="0.25">
      <c r="A6" s="778" t="s">
        <v>1117</v>
      </c>
      <c r="B6" s="840">
        <v>222</v>
      </c>
      <c r="C6" s="765"/>
      <c r="D6" s="765"/>
      <c r="E6" s="765"/>
      <c r="F6" s="1759">
        <f>(C6+D6)-E6</f>
        <v>0</v>
      </c>
      <c r="G6" s="837">
        <v>50</v>
      </c>
      <c r="H6" s="765">
        <v>0</v>
      </c>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33355721</v>
      </c>
      <c r="D8" s="844"/>
      <c r="E8" s="844"/>
      <c r="F8" s="1759">
        <f>(C8+D8)-E8</f>
        <v>33355721</v>
      </c>
      <c r="G8" s="843">
        <v>50</v>
      </c>
      <c r="H8" s="765">
        <v>33355721</v>
      </c>
      <c r="I8" s="765"/>
      <c r="J8" s="765"/>
      <c r="K8" s="1768">
        <f>(H8+I8)-J8</f>
        <v>33355721</v>
      </c>
      <c r="L8" s="1768">
        <f>F8-K8</f>
        <v>0</v>
      </c>
    </row>
    <row r="9" spans="1:14" ht="14.25" thickTop="1" thickBot="1" x14ac:dyDescent="0.25">
      <c r="A9" s="778" t="s">
        <v>1119</v>
      </c>
      <c r="B9" s="840">
        <v>232</v>
      </c>
      <c r="C9" s="765"/>
      <c r="D9" s="765"/>
      <c r="E9" s="765"/>
      <c r="F9" s="1759">
        <f>(C9+D9)-E9</f>
        <v>0</v>
      </c>
      <c r="G9" s="843">
        <v>20</v>
      </c>
      <c r="H9" s="765">
        <v>0</v>
      </c>
      <c r="I9" s="765"/>
      <c r="J9" s="765"/>
      <c r="K9" s="1768">
        <f>(H9+I9)-J9</f>
        <v>0</v>
      </c>
      <c r="L9" s="1768">
        <f>F9-K9</f>
        <v>0</v>
      </c>
    </row>
    <row r="10" spans="1:14" ht="24" thickTop="1" thickBot="1" x14ac:dyDescent="0.25">
      <c r="A10" s="845" t="s">
        <v>1120</v>
      </c>
      <c r="B10" s="840">
        <v>240</v>
      </c>
      <c r="C10" s="846">
        <v>3207872</v>
      </c>
      <c r="D10" s="846"/>
      <c r="E10" s="846"/>
      <c r="F10" s="1763">
        <f>(C10+D10)-E10</f>
        <v>3207872</v>
      </c>
      <c r="G10" s="843">
        <v>20</v>
      </c>
      <c r="H10" s="847">
        <v>2851874</v>
      </c>
      <c r="I10" s="847">
        <v>20435</v>
      </c>
      <c r="J10" s="847"/>
      <c r="K10" s="1768">
        <f>(H10+I10)-J10</f>
        <v>2872309</v>
      </c>
      <c r="L10" s="1768">
        <f>F10-K10</f>
        <v>335563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4697661</v>
      </c>
      <c r="D12" s="844">
        <v>81256</v>
      </c>
      <c r="E12" s="844"/>
      <c r="F12" s="1759">
        <f>(C12+D12)-E12</f>
        <v>4778917</v>
      </c>
      <c r="G12" s="843">
        <v>10</v>
      </c>
      <c r="H12" s="765">
        <v>4313837</v>
      </c>
      <c r="I12" s="765">
        <v>113574</v>
      </c>
      <c r="J12" s="765"/>
      <c r="K12" s="1768">
        <f>(H12+I12)-J12</f>
        <v>4427411</v>
      </c>
      <c r="L12" s="1768">
        <f>F12-K12</f>
        <v>351506</v>
      </c>
    </row>
    <row r="13" spans="1:14" ht="14.25" thickTop="1" thickBot="1" x14ac:dyDescent="0.25">
      <c r="A13" s="848" t="s">
        <v>1122</v>
      </c>
      <c r="B13" s="840">
        <v>252</v>
      </c>
      <c r="C13" s="844">
        <v>189810</v>
      </c>
      <c r="D13" s="844">
        <v>49803</v>
      </c>
      <c r="E13" s="844"/>
      <c r="F13" s="1759">
        <f>(C13+D13)-E13</f>
        <v>239613</v>
      </c>
      <c r="G13" s="843">
        <v>5</v>
      </c>
      <c r="H13" s="765">
        <v>172294</v>
      </c>
      <c r="I13" s="765">
        <v>9023</v>
      </c>
      <c r="J13" s="765"/>
      <c r="K13" s="1768">
        <f>(H13+I13)-J13</f>
        <v>181317</v>
      </c>
      <c r="L13" s="1768">
        <f>F13-K13</f>
        <v>58296</v>
      </c>
    </row>
    <row r="14" spans="1:14" ht="14.25" thickTop="1" thickBot="1" x14ac:dyDescent="0.25">
      <c r="A14" s="848" t="s">
        <v>1123</v>
      </c>
      <c r="B14" s="840">
        <v>253</v>
      </c>
      <c r="C14" s="765"/>
      <c r="D14" s="765"/>
      <c r="E14" s="765"/>
      <c r="F14" s="1759">
        <f>(C14+D14)-E14</f>
        <v>0</v>
      </c>
      <c r="G14" s="843">
        <v>3</v>
      </c>
      <c r="H14" s="765">
        <v>0</v>
      </c>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41598493</v>
      </c>
      <c r="D16" s="1759">
        <f>SUM(D3,D5:D6,D8:D10,D12:D15)</f>
        <v>131059</v>
      </c>
      <c r="E16" s="1759">
        <f>SUM(E3,E5:E6,E8:E10,E12:E15)</f>
        <v>0</v>
      </c>
      <c r="F16" s="1759">
        <f>SUM(F3,F5:F6,F8:F10,F12:F15)</f>
        <v>41729552</v>
      </c>
      <c r="G16" s="843"/>
      <c r="H16" s="1759">
        <f>SUM(H3,H6,H8:H10,H12:H14,)</f>
        <v>40693726</v>
      </c>
      <c r="I16" s="1759">
        <f>SUM(I3,I6,I8:I10,I12:I14,)</f>
        <v>143032</v>
      </c>
      <c r="J16" s="1759">
        <f>SUM(J3,J6,J8:J10,J12:J14,)</f>
        <v>0</v>
      </c>
      <c r="K16" s="1759">
        <f>(H16+I16)-J16</f>
        <v>40836758</v>
      </c>
      <c r="L16" s="1759">
        <f>F16-K16</f>
        <v>892794</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143032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view="pageBreakPreview" colorId="8" zoomScaleNormal="110" zoomScaleSheetLayoutView="100" workbookViewId="0">
      <pane ySplit="5" topLeftCell="A129" activePane="bottomLeft" state="frozen"/>
      <selection sqref="A1:M1"/>
      <selection pane="bottomLeft" sqref="A1:M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1969</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12155630</v>
      </c>
      <c r="G8" s="865"/>
    </row>
    <row r="9" spans="1:7" x14ac:dyDescent="0.2">
      <c r="A9" s="869" t="s">
        <v>460</v>
      </c>
      <c r="B9" s="870" t="s">
        <v>1872</v>
      </c>
      <c r="C9" s="871"/>
      <c r="D9" s="869" t="s">
        <v>501</v>
      </c>
      <c r="E9" s="868"/>
      <c r="F9" s="1907">
        <f>'Expenditures 15-22'!K151</f>
        <v>2616069</v>
      </c>
      <c r="G9" s="872"/>
    </row>
    <row r="10" spans="1:7" x14ac:dyDescent="0.2">
      <c r="A10" s="869" t="s">
        <v>499</v>
      </c>
      <c r="B10" s="870" t="s">
        <v>1873</v>
      </c>
      <c r="C10" s="871"/>
      <c r="D10" s="869" t="s">
        <v>501</v>
      </c>
      <c r="E10" s="868"/>
      <c r="F10" s="1907">
        <f>'Expenditures 15-22'!K174</f>
        <v>1949799</v>
      </c>
      <c r="G10" s="872"/>
    </row>
    <row r="11" spans="1:7" x14ac:dyDescent="0.2">
      <c r="A11" s="869" t="s">
        <v>461</v>
      </c>
      <c r="B11" s="870" t="s">
        <v>1874</v>
      </c>
      <c r="C11" s="871"/>
      <c r="D11" s="869" t="s">
        <v>501</v>
      </c>
      <c r="E11" s="868"/>
      <c r="F11" s="1907">
        <f>'Expenditures 15-22'!K210</f>
        <v>808786</v>
      </c>
      <c r="G11" s="872"/>
    </row>
    <row r="12" spans="1:7" x14ac:dyDescent="0.2">
      <c r="A12" s="869" t="s">
        <v>462</v>
      </c>
      <c r="B12" s="870" t="s">
        <v>1875</v>
      </c>
      <c r="C12" s="871"/>
      <c r="D12" s="869" t="s">
        <v>501</v>
      </c>
      <c r="E12" s="868"/>
      <c r="F12" s="1907">
        <f>'Expenditures 15-22'!K295</f>
        <v>492081</v>
      </c>
      <c r="G12" s="872"/>
    </row>
    <row r="13" spans="1:7" x14ac:dyDescent="0.2">
      <c r="A13" s="869" t="s">
        <v>106</v>
      </c>
      <c r="B13" s="870" t="s">
        <v>1876</v>
      </c>
      <c r="C13" s="871"/>
      <c r="D13" s="869" t="s">
        <v>501</v>
      </c>
      <c r="E13" s="868"/>
      <c r="F13" s="1907">
        <f>'Expenditures 15-22'!K342</f>
        <v>172315</v>
      </c>
      <c r="G13" s="873"/>
    </row>
    <row r="14" spans="1:7" ht="12" customHeight="1" thickBot="1" x14ac:dyDescent="0.25">
      <c r="A14" s="1769"/>
      <c r="B14" s="1770"/>
      <c r="C14" s="1771"/>
      <c r="D14" s="1772" t="s">
        <v>501</v>
      </c>
      <c r="E14" s="1773" t="s">
        <v>958</v>
      </c>
      <c r="F14" s="1774">
        <f>SUM(F8:F13)</f>
        <v>18194680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1993</v>
      </c>
      <c r="C30" s="880">
        <f>'Revenues 9-14'!B150</f>
        <v>3499</v>
      </c>
      <c r="D30" s="881" t="str">
        <f>'Revenues 9-14'!A150</f>
        <v>Adult Ed - Other (Describe &amp; Itemize)</v>
      </c>
      <c r="E30" s="868"/>
      <c r="F30" s="1912">
        <f>('Revenues 9-14'!D150+'Revenues 9-14'!F150)</f>
        <v>0</v>
      </c>
      <c r="G30" s="865"/>
    </row>
    <row r="31" spans="1:7" x14ac:dyDescent="0.2">
      <c r="A31" s="869" t="s">
        <v>1097</v>
      </c>
      <c r="B31" s="870" t="s">
        <v>1994</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1995</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1996</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183354</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13842</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242485</v>
      </c>
      <c r="G52" s="865"/>
    </row>
    <row r="53" spans="1:7" x14ac:dyDescent="0.2">
      <c r="A53" s="869" t="s">
        <v>459</v>
      </c>
      <c r="B53" s="869" t="s">
        <v>1475</v>
      </c>
      <c r="C53" s="889">
        <f>'Expenditures 15-22'!B102</f>
        <v>4000</v>
      </c>
      <c r="D53" s="888" t="str">
        <f>'Expenditures 15-22'!A102</f>
        <v>Total Payments to Other Govt Units</v>
      </c>
      <c r="E53" s="868"/>
      <c r="F53" s="1911">
        <f>'Expenditures 15-22'!K102</f>
        <v>560605</v>
      </c>
      <c r="G53" s="865"/>
    </row>
    <row r="54" spans="1:7" x14ac:dyDescent="0.2">
      <c r="A54" s="869" t="s">
        <v>459</v>
      </c>
      <c r="B54" s="869" t="s">
        <v>1476</v>
      </c>
      <c r="C54" s="889" t="s">
        <v>982</v>
      </c>
      <c r="D54" s="885" t="s">
        <v>1095</v>
      </c>
      <c r="E54" s="868"/>
      <c r="F54" s="1911">
        <f>'Expenditures 15-22'!G114</f>
        <v>81256</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11">
        <f>'Expenditures 15-22'!K139</f>
        <v>0</v>
      </c>
      <c r="G57" s="865"/>
    </row>
    <row r="58" spans="1:7" x14ac:dyDescent="0.2">
      <c r="A58" s="869" t="s">
        <v>460</v>
      </c>
      <c r="B58" s="869" t="s">
        <v>1878</v>
      </c>
      <c r="C58" s="886" t="s">
        <v>982</v>
      </c>
      <c r="D58" s="885" t="s">
        <v>1095</v>
      </c>
      <c r="E58" s="868"/>
      <c r="F58" s="1913">
        <f>'Expenditures 15-22'!G151</f>
        <v>49803</v>
      </c>
      <c r="G58" s="865"/>
    </row>
    <row r="59" spans="1:7" x14ac:dyDescent="0.2">
      <c r="A59" s="893" t="s">
        <v>460</v>
      </c>
      <c r="B59" s="856" t="s">
        <v>1879</v>
      </c>
      <c r="C59" s="894" t="s">
        <v>982</v>
      </c>
      <c r="D59" s="856" t="s">
        <v>291</v>
      </c>
      <c r="F59" s="1914">
        <f>'Expenditures 15-22'!I151</f>
        <v>0</v>
      </c>
      <c r="G59" s="865"/>
    </row>
    <row r="60" spans="1:7" x14ac:dyDescent="0.2">
      <c r="A60" s="893" t="s">
        <v>499</v>
      </c>
      <c r="B60" s="856" t="s">
        <v>1880</v>
      </c>
      <c r="C60" s="894">
        <v>4000</v>
      </c>
      <c r="D60" s="856" t="s">
        <v>312</v>
      </c>
      <c r="F60" s="1912">
        <f>'Expenditures 15-22'!K160</f>
        <v>0</v>
      </c>
      <c r="G60" s="865"/>
    </row>
    <row r="61" spans="1:7" x14ac:dyDescent="0.2">
      <c r="A61" s="895" t="s">
        <v>499</v>
      </c>
      <c r="B61" s="895" t="s">
        <v>1881</v>
      </c>
      <c r="C61" s="896" t="str">
        <f>'Expenditures 15-22'!B170</f>
        <v>5300</v>
      </c>
      <c r="D61" s="897" t="s">
        <v>311</v>
      </c>
      <c r="E61" s="879"/>
      <c r="F61" s="1911">
        <f>'Expenditures 15-22'!K170</f>
        <v>1826102</v>
      </c>
      <c r="G61" s="865"/>
    </row>
    <row r="62" spans="1:7" x14ac:dyDescent="0.2">
      <c r="A62" s="869" t="s">
        <v>461</v>
      </c>
      <c r="B62" s="869" t="s">
        <v>1882</v>
      </c>
      <c r="C62" s="886">
        <f>'Expenditures 15-22'!B185</f>
        <v>3000</v>
      </c>
      <c r="D62" s="876" t="s">
        <v>449</v>
      </c>
      <c r="E62" s="868"/>
      <c r="F62" s="1911">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1884</v>
      </c>
      <c r="C64" s="896" t="str">
        <f>'Expenditures 15-22'!B206</f>
        <v>5300</v>
      </c>
      <c r="D64" s="892" t="s">
        <v>311</v>
      </c>
      <c r="E64" s="868"/>
      <c r="F64" s="1911">
        <f>'Expenditures 15-22'!K206</f>
        <v>0</v>
      </c>
      <c r="G64" s="865"/>
    </row>
    <row r="65" spans="1:8" x14ac:dyDescent="0.2">
      <c r="A65" s="869" t="s">
        <v>461</v>
      </c>
      <c r="B65" s="869" t="s">
        <v>1885</v>
      </c>
      <c r="C65" s="886" t="s">
        <v>982</v>
      </c>
      <c r="D65" s="885" t="s">
        <v>1095</v>
      </c>
      <c r="E65" s="868"/>
      <c r="F65" s="1911">
        <f>'Expenditures 15-22'!G210</f>
        <v>0</v>
      </c>
      <c r="G65" s="865"/>
    </row>
    <row r="66" spans="1:8" x14ac:dyDescent="0.2">
      <c r="A66" s="869" t="s">
        <v>461</v>
      </c>
      <c r="B66" s="869" t="s">
        <v>1886</v>
      </c>
      <c r="C66" s="886" t="s">
        <v>982</v>
      </c>
      <c r="D66" s="885" t="s">
        <v>291</v>
      </c>
      <c r="E66" s="868"/>
      <c r="F66" s="1911">
        <f>'Expenditures 15-22'!I210</f>
        <v>0</v>
      </c>
      <c r="G66" s="865"/>
    </row>
    <row r="67" spans="1:8" x14ac:dyDescent="0.2">
      <c r="A67" s="869" t="s">
        <v>462</v>
      </c>
      <c r="B67" s="869" t="s">
        <v>1887</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1889</v>
      </c>
      <c r="C70" s="886">
        <f>'Expenditures 15-22'!B221</f>
        <v>1300</v>
      </c>
      <c r="D70" s="887" t="str">
        <f>'Expenditures 15-22'!A221</f>
        <v>Adult/Continuing Education Programs</v>
      </c>
      <c r="E70" s="868"/>
      <c r="F70" s="1911">
        <f>'Expenditures 15-22'!K221</f>
        <v>20136</v>
      </c>
      <c r="G70" s="865"/>
    </row>
    <row r="71" spans="1:8" x14ac:dyDescent="0.2">
      <c r="A71" s="869" t="s">
        <v>462</v>
      </c>
      <c r="B71" s="869" t="s">
        <v>1890</v>
      </c>
      <c r="C71" s="886">
        <f>'Expenditures 15-22'!B224</f>
        <v>1600</v>
      </c>
      <c r="D71" s="887" t="str">
        <f>'Expenditures 15-22'!A224</f>
        <v>Summer School Programs</v>
      </c>
      <c r="E71" s="868"/>
      <c r="F71" s="1911">
        <f>'Expenditures 15-22'!K224</f>
        <v>2699</v>
      </c>
      <c r="G71" s="865"/>
    </row>
    <row r="72" spans="1:8" x14ac:dyDescent="0.2">
      <c r="A72" s="869" t="s">
        <v>462</v>
      </c>
      <c r="B72" s="869" t="s">
        <v>1891</v>
      </c>
      <c r="C72" s="886">
        <f>'Expenditures 15-22'!B280</f>
        <v>3000</v>
      </c>
      <c r="D72" s="876" t="s">
        <v>449</v>
      </c>
      <c r="E72" s="868"/>
      <c r="F72" s="1911">
        <f>'Expenditures 15-22'!K280</f>
        <v>36263</v>
      </c>
      <c r="G72" s="865"/>
    </row>
    <row r="73" spans="1:8" x14ac:dyDescent="0.2">
      <c r="A73" s="869" t="s">
        <v>462</v>
      </c>
      <c r="B73" s="869" t="s">
        <v>1892</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1893</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1894</v>
      </c>
      <c r="E76" s="1773" t="s">
        <v>958</v>
      </c>
      <c r="F76" s="1777">
        <f>SUM(F18:F74)</f>
        <v>3016545</v>
      </c>
      <c r="G76" s="865"/>
    </row>
    <row r="77" spans="1:8" s="893" customFormat="1" ht="12" customHeight="1" thickTop="1" thickBot="1" x14ac:dyDescent="0.25">
      <c r="A77" s="1778"/>
      <c r="B77" s="1775"/>
      <c r="C77" s="1771"/>
      <c r="D77" s="1776" t="s">
        <v>1895</v>
      </c>
      <c r="E77" s="1773"/>
      <c r="F77" s="1779">
        <f>(F14-F76)</f>
        <v>15178135</v>
      </c>
      <c r="G77" s="869"/>
    </row>
    <row r="78" spans="1:8" s="893" customFormat="1" ht="12" customHeight="1" thickTop="1" x14ac:dyDescent="0.2">
      <c r="A78" s="1780"/>
      <c r="B78" s="1775"/>
      <c r="C78" s="1771"/>
      <c r="D78" s="1776" t="s">
        <v>2056</v>
      </c>
      <c r="E78" s="1773"/>
      <c r="F78" s="898">
        <v>831.9</v>
      </c>
      <c r="G78" s="899"/>
      <c r="H78" s="869"/>
    </row>
    <row r="79" spans="1:8" s="893" customFormat="1" ht="12" customHeight="1" thickBot="1" x14ac:dyDescent="0.25">
      <c r="A79" s="1781"/>
      <c r="B79" s="1775"/>
      <c r="C79" s="1771"/>
      <c r="D79" s="1776" t="s">
        <v>1896</v>
      </c>
      <c r="E79" s="1773" t="s">
        <v>958</v>
      </c>
      <c r="F79" s="1782">
        <f>IF(F78&gt;0,F77/F78," Complete Line 78")</f>
        <v>18245.143647072968</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850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116788</v>
      </c>
      <c r="G94" s="912"/>
    </row>
    <row r="95" spans="1:7" x14ac:dyDescent="0.2">
      <c r="A95" s="908" t="s">
        <v>140</v>
      </c>
      <c r="B95" s="908" t="s">
        <v>175</v>
      </c>
      <c r="C95" s="910">
        <v>1700</v>
      </c>
      <c r="D95" s="918" t="str">
        <f>'Revenues 9-14'!A82</f>
        <v>Total District/School Activity Income</v>
      </c>
      <c r="E95" s="906"/>
      <c r="F95" s="1788">
        <f>SUM('Revenues 9-14'!C82,'Revenues 9-14'!D82)</f>
        <v>28761</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493</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30625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66</v>
      </c>
      <c r="G104" s="912"/>
    </row>
    <row r="105" spans="1:7" x14ac:dyDescent="0.2">
      <c r="A105" s="908" t="s">
        <v>503</v>
      </c>
      <c r="B105" s="908" t="s">
        <v>1997</v>
      </c>
      <c r="C105" s="913">
        <v>3100</v>
      </c>
      <c r="D105" s="919" t="str">
        <f>'Revenues 9-14'!A132</f>
        <v>Total Special Education</v>
      </c>
      <c r="E105" s="906"/>
      <c r="F105" s="1788">
        <f>SUM('Revenues 9-14'!C132:D132,'Revenues 9-14'!F132)</f>
        <v>115957</v>
      </c>
      <c r="G105" s="912"/>
    </row>
    <row r="106" spans="1:7" x14ac:dyDescent="0.2">
      <c r="A106" s="908" t="s">
        <v>673</v>
      </c>
      <c r="B106" s="908" t="s">
        <v>1998</v>
      </c>
      <c r="C106" s="920">
        <v>3200</v>
      </c>
      <c r="D106" s="911" t="str">
        <f>'Revenues 9-14'!A141</f>
        <v>Total Career and Technical Education</v>
      </c>
      <c r="E106" s="906"/>
      <c r="F106" s="1788">
        <f>SUM('Revenues 9-14'!C141,'Revenues 9-14'!D141,'Revenues 9-14'!G141)</f>
        <v>10299</v>
      </c>
      <c r="G106" s="912"/>
    </row>
    <row r="107" spans="1:7" x14ac:dyDescent="0.2">
      <c r="A107" s="921" t="s">
        <v>664</v>
      </c>
      <c r="B107" s="908" t="s">
        <v>1999</v>
      </c>
      <c r="C107" s="920">
        <v>3300</v>
      </c>
      <c r="D107" s="911" t="str">
        <f>'Revenues 9-14'!A145</f>
        <v>Total Bilingual Ed</v>
      </c>
      <c r="E107" s="906"/>
      <c r="F107" s="1788">
        <f>SUM('Revenues 9-14'!C145,'Revenues 9-14'!G145)</f>
        <v>0</v>
      </c>
      <c r="G107" s="912"/>
    </row>
    <row r="108" spans="1:7" x14ac:dyDescent="0.2">
      <c r="A108" s="908" t="s">
        <v>459</v>
      </c>
      <c r="B108" s="908" t="s">
        <v>2000</v>
      </c>
      <c r="C108" s="920">
        <f>'Revenues 9-14'!B146</f>
        <v>3360</v>
      </c>
      <c r="D108" s="911" t="str">
        <f>'Revenues 9-14'!A146</f>
        <v>State Free Lunch &amp; Breakfast</v>
      </c>
      <c r="E108" s="906"/>
      <c r="F108" s="1788">
        <f>'Revenues 9-14'!C146</f>
        <v>6530</v>
      </c>
      <c r="G108" s="912"/>
    </row>
    <row r="109" spans="1:7" x14ac:dyDescent="0.2">
      <c r="A109" s="908" t="s">
        <v>673</v>
      </c>
      <c r="B109" s="908" t="s">
        <v>2001</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8">
        <f>SUM('Revenues 9-14'!C148,'Revenues 9-14'!D148)</f>
        <v>37125</v>
      </c>
      <c r="G110" s="912"/>
    </row>
    <row r="111" spans="1:7" x14ac:dyDescent="0.2">
      <c r="A111" s="908" t="s">
        <v>668</v>
      </c>
      <c r="B111" s="908" t="s">
        <v>2003</v>
      </c>
      <c r="C111" s="922">
        <v>3500</v>
      </c>
      <c r="D111" s="911" t="str">
        <f>'Revenues 9-14'!A155</f>
        <v>Total Transportation</v>
      </c>
      <c r="E111" s="906"/>
      <c r="F111" s="1788">
        <f>SUM('Revenues 9-14'!C155,'Revenues 9-14'!D155,'Revenues 9-14'!F155,'Revenues 9-14'!G155)</f>
        <v>261675</v>
      </c>
      <c r="G111" s="912"/>
    </row>
    <row r="112" spans="1:7" x14ac:dyDescent="0.2">
      <c r="A112" s="908" t="s">
        <v>459</v>
      </c>
      <c r="B112" s="908" t="s">
        <v>2004</v>
      </c>
      <c r="C112" s="920">
        <f>'Revenues 9-14'!B156</f>
        <v>3610</v>
      </c>
      <c r="D112" s="911" t="str">
        <f>'Revenues 9-14'!A156</f>
        <v>Learning Improvement - Change Grants</v>
      </c>
      <c r="E112" s="906"/>
      <c r="F112" s="1788">
        <f>'Revenues 9-14'!C156</f>
        <v>0</v>
      </c>
      <c r="G112" s="912"/>
    </row>
    <row r="113" spans="1:7" x14ac:dyDescent="0.2">
      <c r="A113" s="908" t="s">
        <v>668</v>
      </c>
      <c r="B113" s="908" t="s">
        <v>2005</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8">
        <f>SUM('Revenues 9-14'!C158,'Revenues 9-14'!F158,'Revenues 9-14'!G158)</f>
        <v>82134</v>
      </c>
      <c r="G114" s="912"/>
    </row>
    <row r="115" spans="1:7" x14ac:dyDescent="0.2">
      <c r="A115" s="908" t="s">
        <v>668</v>
      </c>
      <c r="B115" s="908" t="s">
        <v>2007</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2008</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2009</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2010</v>
      </c>
      <c r="C118" s="924">
        <f>'Revenues 9-14'!B163</f>
        <v>3780</v>
      </c>
      <c r="D118" s="925" t="str">
        <f>'Revenues 9-14'!A163</f>
        <v>Technology - Technology for Success</v>
      </c>
      <c r="E118" s="906"/>
      <c r="F118" s="1905">
        <f>SUM('Revenues 9-14'!C163:G163)</f>
        <v>0</v>
      </c>
      <c r="G118" s="912"/>
    </row>
    <row r="119" spans="1:7" x14ac:dyDescent="0.2">
      <c r="A119" s="923" t="s">
        <v>504</v>
      </c>
      <c r="B119" s="923" t="s">
        <v>2011</v>
      </c>
      <c r="C119" s="924">
        <f>'Revenues 9-14'!B164</f>
        <v>3815</v>
      </c>
      <c r="D119" s="925" t="str">
        <f>'Revenues 9-14'!A164</f>
        <v>State Charter Schools</v>
      </c>
      <c r="E119" s="906"/>
      <c r="F119" s="1905">
        <f>SUM('Revenues 9-14'!C164,'Revenues 9-14'!F164)</f>
        <v>0</v>
      </c>
      <c r="G119" s="912"/>
    </row>
    <row r="120" spans="1:7" x14ac:dyDescent="0.2">
      <c r="A120" s="927" t="s">
        <v>460</v>
      </c>
      <c r="B120" s="927" t="s">
        <v>2012</v>
      </c>
      <c r="C120" s="928">
        <f>'Revenues 9-14'!B167</f>
        <v>3925</v>
      </c>
      <c r="D120" s="929" t="str">
        <f>'Revenues 9-14'!A167</f>
        <v>School Infrastructure - Maintenance Projects</v>
      </c>
      <c r="E120" s="906"/>
      <c r="F120" s="1788">
        <f>'Revenues 9-14'!D167</f>
        <v>0</v>
      </c>
      <c r="G120" s="930"/>
    </row>
    <row r="121" spans="1:7" x14ac:dyDescent="0.2">
      <c r="A121" s="927" t="s">
        <v>500</v>
      </c>
      <c r="B121" s="927" t="s">
        <v>2013</v>
      </c>
      <c r="C121" s="928">
        <f>'Revenues 9-14'!B168</f>
        <v>3999</v>
      </c>
      <c r="D121" s="929" t="s">
        <v>543</v>
      </c>
      <c r="E121" s="931"/>
      <c r="F121" s="1788">
        <f>SUM('Revenues 9-14'!C168:G168,'Revenues 9-14'!J168)</f>
        <v>14774</v>
      </c>
      <c r="G121" s="930"/>
    </row>
    <row r="122" spans="1:7" x14ac:dyDescent="0.2">
      <c r="A122" s="927" t="s">
        <v>459</v>
      </c>
      <c r="B122" s="927" t="s">
        <v>2014</v>
      </c>
      <c r="C122" s="932">
        <f>'Revenues 9-14'!B177</f>
        <v>4045</v>
      </c>
      <c r="D122" s="929" t="str">
        <f>'Revenues 9-14'!A177 &amp; " (Subtract)"</f>
        <v>Head Start (Subtract)</v>
      </c>
      <c r="E122" s="906"/>
      <c r="F122" s="1788">
        <f>SUM(-'Revenues 9-14'!C177)</f>
        <v>0</v>
      </c>
      <c r="G122" s="930"/>
    </row>
    <row r="123" spans="1:7" x14ac:dyDescent="0.2">
      <c r="A123" s="927" t="s">
        <v>668</v>
      </c>
      <c r="B123" s="927" t="s">
        <v>2015</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2016</v>
      </c>
      <c r="C124" s="932">
        <v>4100</v>
      </c>
      <c r="D124" s="933" t="str">
        <f>'Revenues 9-14'!A188</f>
        <v>Total Title V</v>
      </c>
      <c r="E124" s="906"/>
      <c r="F124" s="1788">
        <f>SUM('Revenues 9-14'!C188,'Revenues 9-14'!D188,'Revenues 9-14'!F188,'Revenues 9-14'!G188)</f>
        <v>0</v>
      </c>
      <c r="G124" s="930"/>
    </row>
    <row r="125" spans="1:7" x14ac:dyDescent="0.2">
      <c r="A125" s="927" t="s">
        <v>664</v>
      </c>
      <c r="B125" s="927" t="s">
        <v>2017</v>
      </c>
      <c r="C125" s="932">
        <v>4200</v>
      </c>
      <c r="D125" s="929" t="str">
        <f>'Revenues 9-14'!A198</f>
        <v>Total Food Service</v>
      </c>
      <c r="E125" s="906"/>
      <c r="F125" s="1788">
        <f>SUM('Revenues 9-14'!C198,'Revenues 9-14'!G198)</f>
        <v>312072</v>
      </c>
      <c r="G125" s="930"/>
    </row>
    <row r="126" spans="1:7" x14ac:dyDescent="0.2">
      <c r="A126" s="927" t="s">
        <v>668</v>
      </c>
      <c r="B126" s="927" t="s">
        <v>2018</v>
      </c>
      <c r="C126" s="932">
        <v>4300</v>
      </c>
      <c r="D126" s="933" t="str">
        <f>'Revenues 9-14'!A204</f>
        <v>Total Title I</v>
      </c>
      <c r="E126" s="906"/>
      <c r="F126" s="1788">
        <f>SUM('Revenues 9-14'!C204,'Revenues 9-14'!D204,'Revenues 9-14'!F204,'Revenues 9-14'!G204)</f>
        <v>657851</v>
      </c>
      <c r="G126" s="930"/>
    </row>
    <row r="127" spans="1:7" x14ac:dyDescent="0.2">
      <c r="A127" s="927" t="s">
        <v>668</v>
      </c>
      <c r="B127" s="927" t="s">
        <v>2019</v>
      </c>
      <c r="C127" s="932">
        <v>4400</v>
      </c>
      <c r="D127" s="933" t="str">
        <f>'Revenues 9-14'!A209</f>
        <v>Total Title IV</v>
      </c>
      <c r="E127" s="906"/>
      <c r="F127" s="1788">
        <f>SUM('Revenues 9-14'!C209,'Revenues 9-14'!D209,'Revenues 9-14'!F209,'Revenues 9-14'!G209)</f>
        <v>9368</v>
      </c>
      <c r="G127" s="930"/>
    </row>
    <row r="128" spans="1:7" x14ac:dyDescent="0.2">
      <c r="A128" s="927" t="s">
        <v>668</v>
      </c>
      <c r="B128" s="927" t="s">
        <v>2020</v>
      </c>
      <c r="C128" s="932">
        <f>'Revenues 9-14'!B213</f>
        <v>4620</v>
      </c>
      <c r="D128" s="933" t="str">
        <f>'Revenues 9-14'!A213</f>
        <v>Fed - Spec Education - IDEA - Flow Through</v>
      </c>
      <c r="E128" s="906"/>
      <c r="F128" s="1788">
        <f>SUM('Revenues 9-14'!C213:D213,'Revenues 9-14'!F213:G213)</f>
        <v>60000</v>
      </c>
      <c r="G128" s="930"/>
    </row>
    <row r="129" spans="1:7" x14ac:dyDescent="0.2">
      <c r="A129" s="927" t="s">
        <v>668</v>
      </c>
      <c r="B129" s="927" t="s">
        <v>2021</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2022</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2023</v>
      </c>
      <c r="C132" s="932">
        <v>4700</v>
      </c>
      <c r="D132" s="929" t="str">
        <f>'Revenues 9-14'!A221</f>
        <v>Total CTE - Perkins</v>
      </c>
      <c r="E132" s="906"/>
      <c r="F132" s="1788">
        <f>SUM('Revenues 9-14'!C221,'Revenues 9-14'!D221,'Revenues 9-14'!G221)</f>
        <v>8550</v>
      </c>
      <c r="G132" s="930">
        <v>6303</v>
      </c>
    </row>
    <row r="133" spans="1:7" s="867" customFormat="1" hidden="1" x14ac:dyDescent="0.2">
      <c r="A133" s="934" t="s">
        <v>206</v>
      </c>
      <c r="B133" s="934" t="s">
        <v>2024</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8">
        <v>0</v>
      </c>
      <c r="G138" s="905"/>
    </row>
    <row r="139" spans="1:7" s="867" customFormat="1" hidden="1" x14ac:dyDescent="0.2">
      <c r="A139" s="934" t="s">
        <v>206</v>
      </c>
      <c r="B139" s="934" t="s">
        <v>2030</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2033</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2038</v>
      </c>
      <c r="C157" s="940" t="s">
        <v>841</v>
      </c>
      <c r="D157" s="941" t="s">
        <v>777</v>
      </c>
      <c r="E157" s="942"/>
      <c r="F157" s="1788">
        <f>SUM(F133:F156)</f>
        <v>0</v>
      </c>
      <c r="G157" s="905"/>
    </row>
    <row r="158" spans="1:7" s="867" customFormat="1" x14ac:dyDescent="0.2">
      <c r="A158" s="938" t="s">
        <v>459</v>
      </c>
      <c r="B158" s="939" t="s">
        <v>2039</v>
      </c>
      <c r="C158" s="940" t="s">
        <v>1427</v>
      </c>
      <c r="D158" s="941" t="s">
        <v>1428</v>
      </c>
      <c r="E158" s="942"/>
      <c r="F158" s="1788">
        <f>SUM('Revenues 9-14'!C253)</f>
        <v>0</v>
      </c>
      <c r="G158" s="905"/>
    </row>
    <row r="159" spans="1:7" s="867" customFormat="1" x14ac:dyDescent="0.2">
      <c r="A159" s="938" t="s">
        <v>500</v>
      </c>
      <c r="B159" s="939" t="s">
        <v>2040</v>
      </c>
      <c r="C159" s="940" t="s">
        <v>1466</v>
      </c>
      <c r="D159" s="941" t="s">
        <v>1467</v>
      </c>
      <c r="E159" s="942"/>
      <c r="F159" s="1788">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2043</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2044</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2045</v>
      </c>
      <c r="C164" s="932">
        <f>'Revenues 9-14'!B259</f>
        <v>4932</v>
      </c>
      <c r="D164" s="933" t="str">
        <f>'Revenues 9-14'!A259</f>
        <v>Title II - Teacher Quality</v>
      </c>
      <c r="E164" s="906"/>
      <c r="F164" s="1905">
        <f>SUM('Revenues 9-14'!C259,'Revenues 9-14'!D259,'Revenues 9-14'!F259,'Revenues 9-14'!G259)</f>
        <v>36977</v>
      </c>
      <c r="G164" s="930"/>
    </row>
    <row r="165" spans="1:7" x14ac:dyDescent="0.2">
      <c r="A165" s="927" t="s">
        <v>668</v>
      </c>
      <c r="B165" s="927" t="s">
        <v>2046</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1991</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1992</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2047</v>
      </c>
      <c r="C168" s="932">
        <f>'Revenues 9-14'!B263</f>
        <v>4991</v>
      </c>
      <c r="D168" s="933" t="str">
        <f>'Revenues 9-14'!A263</f>
        <v>Medicaid Matching Funds - Administrative Outreach</v>
      </c>
      <c r="E168" s="906"/>
      <c r="F168" s="1788">
        <f>SUM('Revenues 9-14'!C263:D263,'Revenues 9-14'!F263:G263)</f>
        <v>22915</v>
      </c>
      <c r="G168" s="947">
        <v>6320</v>
      </c>
    </row>
    <row r="169" spans="1:7" x14ac:dyDescent="0.2">
      <c r="A169" s="927" t="s">
        <v>668</v>
      </c>
      <c r="B169" s="927" t="s">
        <v>2048</v>
      </c>
      <c r="C169" s="932">
        <f>'Revenues 9-14'!B264</f>
        <v>4992</v>
      </c>
      <c r="D169" s="933" t="str">
        <f>'Revenues 9-14'!A264</f>
        <v>Medicaid Matching Funds - Fee-for-Service Program</v>
      </c>
      <c r="E169" s="906"/>
      <c r="F169" s="1788">
        <f>SUM('Revenues 9-14'!C264:D264,'Revenues 9-14'!F264:G264)</f>
        <v>20851</v>
      </c>
      <c r="G169" s="947"/>
    </row>
    <row r="170" spans="1:7" x14ac:dyDescent="0.2">
      <c r="A170" s="948" t="s">
        <v>668</v>
      </c>
      <c r="B170" s="944" t="s">
        <v>2049</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1915</v>
      </c>
      <c r="C171" s="1918">
        <v>3100</v>
      </c>
      <c r="D171" s="1919" t="s">
        <v>1917</v>
      </c>
      <c r="E171" s="906"/>
      <c r="F171" s="1904">
        <v>267800</v>
      </c>
      <c r="G171" s="927"/>
    </row>
    <row r="172" spans="1:7" x14ac:dyDescent="0.2">
      <c r="A172" s="1916" t="s">
        <v>664</v>
      </c>
      <c r="B172" s="1917" t="s">
        <v>1915</v>
      </c>
      <c r="C172" s="1918">
        <v>3300</v>
      </c>
      <c r="D172" s="1919" t="s">
        <v>1918</v>
      </c>
      <c r="E172" s="906"/>
      <c r="F172" s="1904">
        <v>1121</v>
      </c>
      <c r="G172" s="927"/>
    </row>
    <row r="173" spans="1:7" ht="6" customHeight="1" x14ac:dyDescent="0.2">
      <c r="A173" s="927"/>
      <c r="B173" s="927"/>
      <c r="C173" s="949"/>
      <c r="D173" s="927"/>
      <c r="E173" s="906"/>
      <c r="F173" s="950"/>
      <c r="G173" s="947"/>
    </row>
    <row r="174" spans="1:7" x14ac:dyDescent="0.2">
      <c r="A174" s="1769"/>
      <c r="B174" s="1783"/>
      <c r="C174" s="1784"/>
      <c r="D174" s="1785" t="s">
        <v>2050</v>
      </c>
      <c r="E174" s="1786" t="s">
        <v>958</v>
      </c>
      <c r="F174" s="1787">
        <f>SUM(F84:F132,F157:F172)</f>
        <v>2103582</v>
      </c>
    </row>
    <row r="175" spans="1:7" ht="12" customHeight="1" x14ac:dyDescent="0.2">
      <c r="A175" s="1769"/>
      <c r="B175" s="1783"/>
      <c r="C175" s="1784"/>
      <c r="D175" s="1785" t="s">
        <v>2051</v>
      </c>
      <c r="E175" s="1786"/>
      <c r="F175" s="1788">
        <f>'PCTC-OEPP 27-28'!F77-F174</f>
        <v>13074553</v>
      </c>
    </row>
    <row r="176" spans="1:7" ht="12" customHeight="1" x14ac:dyDescent="0.2">
      <c r="A176" s="1769"/>
      <c r="B176" s="1783"/>
      <c r="C176" s="1784"/>
      <c r="D176" s="1785" t="s">
        <v>1813</v>
      </c>
      <c r="E176" s="1786"/>
      <c r="F176" s="1788">
        <f>'Cap Outlay Deprec 26'!I18</f>
        <v>143032</v>
      </c>
    </row>
    <row r="177" spans="1:7" ht="12" customHeight="1" x14ac:dyDescent="0.2">
      <c r="A177" s="1769"/>
      <c r="B177" s="1783"/>
      <c r="C177" s="1784"/>
      <c r="D177" s="1785" t="s">
        <v>2052</v>
      </c>
      <c r="E177" s="1786"/>
      <c r="F177" s="1788">
        <f>F175+F176</f>
        <v>13217585</v>
      </c>
    </row>
    <row r="178" spans="1:7" ht="12" customHeight="1" x14ac:dyDescent="0.2">
      <c r="A178" s="1769"/>
      <c r="B178" s="1789"/>
      <c r="C178" s="1784"/>
      <c r="D178" s="1785" t="str">
        <f>D78</f>
        <v>9 Month ADA from District Average Daily Attendance/Prior General State Aid Inquiry 2018-2019</v>
      </c>
      <c r="E178" s="1786"/>
      <c r="F178" s="1790">
        <f>'PCTC-OEPP 27-28'!F78</f>
        <v>831.9</v>
      </c>
      <c r="G178" s="930"/>
    </row>
    <row r="179" spans="1:7" ht="12" customHeight="1" thickBot="1" x14ac:dyDescent="0.25">
      <c r="A179" s="1769"/>
      <c r="B179" s="1789"/>
      <c r="C179" s="1784"/>
      <c r="D179" s="1785" t="s">
        <v>2053</v>
      </c>
      <c r="E179" s="1786" t="s">
        <v>1545</v>
      </c>
      <c r="F179" s="1791">
        <f>F177/F178</f>
        <v>15888.430099771607</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0" customFormat="1" ht="12.2" customHeight="1" x14ac:dyDescent="0.2">
      <c r="A182" s="1920" t="s">
        <v>1988</v>
      </c>
      <c r="B182" s="1921"/>
      <c r="C182" s="1922"/>
      <c r="D182" s="1921"/>
      <c r="E182" s="1922"/>
      <c r="F182" s="1921"/>
      <c r="G182" s="1921"/>
    </row>
    <row r="183" spans="1:7" s="1920" customFormat="1" ht="12.2" customHeight="1" x14ac:dyDescent="0.2">
      <c r="A183" s="1923" t="s">
        <v>1990</v>
      </c>
      <c r="C183" s="1922"/>
      <c r="D183" s="1921"/>
      <c r="E183" s="1922"/>
      <c r="F183" s="1921"/>
      <c r="G183" s="1921"/>
    </row>
    <row r="184" spans="1:7" ht="12" customHeight="1" x14ac:dyDescent="0.2">
      <c r="C184" s="949"/>
      <c r="D184" s="930"/>
      <c r="E184" s="949"/>
      <c r="F184" s="930"/>
      <c r="G184" s="930"/>
    </row>
    <row r="185" spans="1:7" x14ac:dyDescent="0.2">
      <c r="A185" s="1924" t="s">
        <v>1920</v>
      </c>
      <c r="B185" s="1925"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view="pageBreakPreview" topLeftCell="A3" zoomScaleNormal="100" zoomScaleSheetLayoutView="100" workbookViewId="0">
      <selection sqref="A1:M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1828</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8" t="s">
        <v>1814</v>
      </c>
      <c r="B4" s="2279"/>
      <c r="C4" s="2279"/>
      <c r="D4" s="2279"/>
      <c r="E4" s="2279"/>
      <c r="F4" s="2279"/>
      <c r="G4" s="2280"/>
    </row>
    <row r="5" spans="1:7" x14ac:dyDescent="0.25">
      <c r="A5" s="2281"/>
      <c r="B5" s="2282"/>
      <c r="C5" s="2282"/>
      <c r="D5" s="2282"/>
      <c r="E5" s="2282"/>
      <c r="F5" s="2282"/>
      <c r="G5" s="2283"/>
    </row>
    <row r="6" spans="1:7" ht="18.75" x14ac:dyDescent="0.25">
      <c r="A6" s="1934" t="s">
        <v>2060</v>
      </c>
      <c r="B6" s="1935"/>
      <c r="C6" s="1935"/>
      <c r="D6" s="1935"/>
      <c r="E6" s="1935"/>
      <c r="F6" s="1935"/>
      <c r="G6" s="1936"/>
    </row>
    <row r="7" spans="1:7" ht="18.75" x14ac:dyDescent="0.25">
      <c r="A7" s="1534" t="s">
        <v>1815</v>
      </c>
      <c r="B7" s="1535"/>
      <c r="C7" s="1535"/>
      <c r="D7" s="1535"/>
      <c r="E7" s="1535"/>
      <c r="F7" s="1535"/>
      <c r="G7" s="1536"/>
    </row>
    <row r="8" spans="1:7" ht="30.75" customHeight="1" x14ac:dyDescent="0.25">
      <c r="A8" s="2284" t="s">
        <v>1927</v>
      </c>
      <c r="B8" s="2285"/>
      <c r="C8" s="2285"/>
      <c r="D8" s="2285"/>
      <c r="E8" s="2285"/>
      <c r="F8" s="2285"/>
      <c r="G8" s="2286"/>
    </row>
    <row r="9" spans="1:7" ht="15.75" customHeight="1" x14ac:dyDescent="0.25">
      <c r="A9" s="2287" t="s">
        <v>1902</v>
      </c>
      <c r="B9" s="2288"/>
      <c r="C9" s="2288"/>
      <c r="D9" s="2288"/>
      <c r="E9" s="2288"/>
      <c r="F9" s="2288"/>
      <c r="G9" s="2289"/>
    </row>
    <row r="10" spans="1:7" ht="35.25" customHeight="1" x14ac:dyDescent="0.25">
      <c r="A10" s="2284" t="s">
        <v>2059</v>
      </c>
      <c r="B10" s="2285"/>
      <c r="C10" s="2285"/>
      <c r="D10" s="2285"/>
      <c r="E10" s="2285"/>
      <c r="F10" s="2285"/>
      <c r="G10" s="2286"/>
    </row>
    <row r="11" spans="1:7" ht="15" customHeight="1" x14ac:dyDescent="0.25">
      <c r="A11" s="1537" t="s">
        <v>1816</v>
      </c>
      <c r="B11" s="1538"/>
      <c r="C11" s="1538"/>
      <c r="D11" s="1538"/>
      <c r="E11" s="1538"/>
      <c r="F11" s="1538"/>
      <c r="G11" s="1539"/>
    </row>
    <row r="12" spans="1:7" ht="17.25" customHeight="1" x14ac:dyDescent="0.25">
      <c r="A12" s="2284" t="s">
        <v>1929</v>
      </c>
      <c r="B12" s="2285"/>
      <c r="C12" s="2285"/>
      <c r="D12" s="2285"/>
      <c r="E12" s="2285"/>
      <c r="F12" s="2285"/>
      <c r="G12" s="2286"/>
    </row>
    <row r="13" spans="1:7" ht="15" customHeight="1" x14ac:dyDescent="0.25">
      <c r="A13" s="1537" t="s">
        <v>1821</v>
      </c>
      <c r="B13" s="1538"/>
      <c r="C13" s="1538"/>
      <c r="D13" s="1538"/>
      <c r="E13" s="1538"/>
      <c r="F13" s="1538"/>
      <c r="G13" s="1539"/>
    </row>
    <row r="14" spans="1:7" ht="32.25" customHeight="1" x14ac:dyDescent="0.25">
      <c r="A14" s="2275" t="s">
        <v>1970</v>
      </c>
      <c r="B14" s="2276"/>
      <c r="C14" s="2276"/>
      <c r="D14" s="2276"/>
      <c r="E14" s="2276"/>
      <c r="F14" s="2276"/>
      <c r="G14" s="2277"/>
    </row>
    <row r="15" spans="1:7" x14ac:dyDescent="0.25">
      <c r="A15" s="1660" t="s">
        <v>1829</v>
      </c>
      <c r="B15" s="1661"/>
      <c r="C15" s="1661"/>
      <c r="D15" s="1661"/>
      <c r="E15" s="1661"/>
      <c r="F15" s="1661"/>
      <c r="G15" s="1662"/>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8" t="s">
        <v>2168</v>
      </c>
      <c r="B18" s="1946" t="s">
        <v>2167</v>
      </c>
      <c r="C18" s="1947" t="s">
        <v>2166</v>
      </c>
      <c r="D18" s="1842">
        <v>684180</v>
      </c>
      <c r="E18" s="1540">
        <f t="shared" ref="E18:E39" si="0">IF(D18&lt;=25000,D18,IF(D18&gt;25000,25000,0))</f>
        <v>25000</v>
      </c>
      <c r="F18" s="1933">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659180</v>
      </c>
      <c r="H18" s="1647"/>
    </row>
    <row r="19" spans="1:8" x14ac:dyDescent="0.25">
      <c r="A19" s="1948" t="s">
        <v>2168</v>
      </c>
      <c r="B19" s="1946" t="s">
        <v>2167</v>
      </c>
      <c r="C19" s="1947" t="s">
        <v>2169</v>
      </c>
      <c r="D19" s="1842">
        <v>344000</v>
      </c>
      <c r="E19" s="1540">
        <f t="shared" ref="E19:E38" si="2">IF(D19&lt;=25000,D19,IF(D19&gt;25000,25000,0))</f>
        <v>25000</v>
      </c>
      <c r="F19" s="1933">
        <f t="shared" si="1"/>
        <v>25000</v>
      </c>
      <c r="G19" s="1792">
        <f t="shared" ref="G19:G38" si="3">IF(F19=0,0,D19-F19)</f>
        <v>319000</v>
      </c>
    </row>
    <row r="20" spans="1:8" x14ac:dyDescent="0.25">
      <c r="A20" s="1948" t="s">
        <v>2170</v>
      </c>
      <c r="B20" s="1946" t="s">
        <v>2171</v>
      </c>
      <c r="C20" s="1947" t="s">
        <v>2172</v>
      </c>
      <c r="D20" s="1842">
        <v>292029</v>
      </c>
      <c r="E20" s="1540">
        <f t="shared" si="2"/>
        <v>25000</v>
      </c>
      <c r="F20" s="1933">
        <f t="shared" si="1"/>
        <v>25000</v>
      </c>
      <c r="G20" s="1792">
        <f t="shared" si="3"/>
        <v>267029</v>
      </c>
    </row>
    <row r="21" spans="1:8" x14ac:dyDescent="0.25">
      <c r="A21" s="1948" t="s">
        <v>2168</v>
      </c>
      <c r="B21" s="1946" t="s">
        <v>2167</v>
      </c>
      <c r="C21" s="1947" t="s">
        <v>2172</v>
      </c>
      <c r="D21" s="1842">
        <v>58406</v>
      </c>
      <c r="E21" s="1540">
        <f t="shared" si="2"/>
        <v>25000</v>
      </c>
      <c r="F21" s="1933">
        <f t="shared" si="1"/>
        <v>25000</v>
      </c>
      <c r="G21" s="1792">
        <f t="shared" si="3"/>
        <v>33406</v>
      </c>
    </row>
    <row r="22" spans="1:8" x14ac:dyDescent="0.25">
      <c r="A22" s="1948" t="s">
        <v>2175</v>
      </c>
      <c r="B22" s="1946" t="s">
        <v>2173</v>
      </c>
      <c r="C22" s="1947" t="s">
        <v>2174</v>
      </c>
      <c r="D22" s="1842">
        <v>28578</v>
      </c>
      <c r="E22" s="1540">
        <f t="shared" si="2"/>
        <v>25000</v>
      </c>
      <c r="F22" s="1933">
        <f t="shared" si="1"/>
        <v>25000</v>
      </c>
      <c r="G22" s="1792">
        <f t="shared" si="3"/>
        <v>3578</v>
      </c>
    </row>
    <row r="23" spans="1:8" x14ac:dyDescent="0.25">
      <c r="A23" s="1948" t="s">
        <v>2168</v>
      </c>
      <c r="B23" s="1946" t="s">
        <v>2167</v>
      </c>
      <c r="C23" s="1947" t="s">
        <v>2177</v>
      </c>
      <c r="D23" s="1842">
        <v>20000</v>
      </c>
      <c r="E23" s="1540">
        <f t="shared" si="2"/>
        <v>20000</v>
      </c>
      <c r="F23" s="1933">
        <f t="shared" si="1"/>
        <v>20000</v>
      </c>
      <c r="G23" s="1792">
        <f t="shared" si="3"/>
        <v>0</v>
      </c>
    </row>
    <row r="24" spans="1:8" x14ac:dyDescent="0.25">
      <c r="A24" s="1948" t="s">
        <v>2168</v>
      </c>
      <c r="B24" s="1946" t="s">
        <v>2167</v>
      </c>
      <c r="C24" s="1947" t="s">
        <v>2178</v>
      </c>
      <c r="D24" s="1842">
        <v>26900</v>
      </c>
      <c r="E24" s="1540">
        <f t="shared" si="2"/>
        <v>25000</v>
      </c>
      <c r="F24" s="1933">
        <f t="shared" si="1"/>
        <v>25000</v>
      </c>
      <c r="G24" s="1792">
        <f t="shared" si="3"/>
        <v>1900</v>
      </c>
    </row>
    <row r="25" spans="1:8" x14ac:dyDescent="0.25">
      <c r="A25" s="1948" t="s">
        <v>2176</v>
      </c>
      <c r="B25" s="1946" t="s">
        <v>2179</v>
      </c>
      <c r="C25" s="1947" t="s">
        <v>2174</v>
      </c>
      <c r="D25" s="1842">
        <v>15634</v>
      </c>
      <c r="E25" s="1540">
        <f t="shared" si="2"/>
        <v>15634</v>
      </c>
      <c r="F25" s="1933">
        <f t="shared" si="1"/>
        <v>15634</v>
      </c>
      <c r="G25" s="1792">
        <f t="shared" si="3"/>
        <v>0</v>
      </c>
    </row>
    <row r="26" spans="1:8" x14ac:dyDescent="0.25">
      <c r="A26" s="1653"/>
      <c r="B26" s="1931"/>
      <c r="C26" s="1655"/>
      <c r="D26" s="1842"/>
      <c r="E26" s="1540">
        <f t="shared" si="2"/>
        <v>0</v>
      </c>
      <c r="F26" s="1933">
        <f t="shared" si="1"/>
        <v>0</v>
      </c>
      <c r="G26" s="1792">
        <f t="shared" si="3"/>
        <v>0</v>
      </c>
    </row>
    <row r="27" spans="1:8" x14ac:dyDescent="0.25">
      <c r="A27" s="1653"/>
      <c r="B27" s="1666"/>
      <c r="C27" s="1654"/>
      <c r="D27" s="1842"/>
      <c r="E27" s="1540">
        <f t="shared" ref="E27" si="4">IF(D27&lt;=25000,D27,IF(D27&gt;25000,25000,0))</f>
        <v>0</v>
      </c>
      <c r="F27" s="1933">
        <f t="shared" ref="F27:F38"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2">
        <f t="shared" ref="G27" si="6">IF(F27=0,0,D27-F27)</f>
        <v>0</v>
      </c>
    </row>
    <row r="28" spans="1:8" x14ac:dyDescent="0.25">
      <c r="A28" s="1653"/>
      <c r="B28" s="1666"/>
      <c r="C28" s="1654"/>
      <c r="D28" s="1842"/>
      <c r="E28" s="1540">
        <f t="shared" ref="E28:E32" si="7">IF(D28&lt;=25000,D28,IF(D28&gt;25000,25000,0))</f>
        <v>0</v>
      </c>
      <c r="F28" s="1933">
        <f t="shared" si="5"/>
        <v>0</v>
      </c>
      <c r="G28" s="1792">
        <f t="shared" ref="G28:G32" si="8">IF(F28=0,0,D28-F28)</f>
        <v>0</v>
      </c>
    </row>
    <row r="29" spans="1:8" x14ac:dyDescent="0.25">
      <c r="A29" s="1653"/>
      <c r="B29" s="1666"/>
      <c r="C29" s="1654"/>
      <c r="D29" s="1842"/>
      <c r="E29" s="1540">
        <f t="shared" si="7"/>
        <v>0</v>
      </c>
      <c r="F29" s="1933">
        <f t="shared" si="5"/>
        <v>0</v>
      </c>
      <c r="G29" s="1792">
        <f t="shared" si="8"/>
        <v>0</v>
      </c>
    </row>
    <row r="30" spans="1:8" x14ac:dyDescent="0.25">
      <c r="A30" s="1653"/>
      <c r="B30" s="1666"/>
      <c r="C30" s="1654"/>
      <c r="D30" s="1842"/>
      <c r="E30" s="1540">
        <f t="shared" si="7"/>
        <v>0</v>
      </c>
      <c r="F30" s="1933">
        <f t="shared" si="5"/>
        <v>0</v>
      </c>
      <c r="G30" s="1792">
        <f t="shared" si="8"/>
        <v>0</v>
      </c>
    </row>
    <row r="31" spans="1:8" x14ac:dyDescent="0.25">
      <c r="A31" s="1653"/>
      <c r="B31" s="1666"/>
      <c r="C31" s="1654"/>
      <c r="D31" s="1842"/>
      <c r="E31" s="1540">
        <f t="shared" si="7"/>
        <v>0</v>
      </c>
      <c r="F31" s="1933">
        <f t="shared" si="5"/>
        <v>0</v>
      </c>
      <c r="G31" s="1792">
        <f t="shared" si="8"/>
        <v>0</v>
      </c>
    </row>
    <row r="32" spans="1:8" x14ac:dyDescent="0.25">
      <c r="A32" s="1653"/>
      <c r="B32" s="1666"/>
      <c r="C32" s="1654"/>
      <c r="D32" s="1842"/>
      <c r="E32" s="1540">
        <f t="shared" si="7"/>
        <v>0</v>
      </c>
      <c r="F32" s="1933">
        <f t="shared" si="5"/>
        <v>0</v>
      </c>
      <c r="G32" s="1792">
        <f t="shared" si="8"/>
        <v>0</v>
      </c>
    </row>
    <row r="33" spans="1:7" x14ac:dyDescent="0.25">
      <c r="A33" s="1653"/>
      <c r="B33" s="1666"/>
      <c r="C33" s="1654"/>
      <c r="D33" s="1842"/>
      <c r="E33" s="1540">
        <f t="shared" ref="E33:E37" si="9">IF(D33&lt;=25000,D33,IF(D33&gt;25000,25000,0))</f>
        <v>0</v>
      </c>
      <c r="F33" s="1933">
        <f t="shared" si="5"/>
        <v>0</v>
      </c>
      <c r="G33" s="1792">
        <f t="shared" ref="G33:G37" si="10">IF(F33=0,0,D33-F33)</f>
        <v>0</v>
      </c>
    </row>
    <row r="34" spans="1:7" x14ac:dyDescent="0.25">
      <c r="A34" s="1653"/>
      <c r="B34" s="1666"/>
      <c r="C34" s="1654"/>
      <c r="D34" s="1842"/>
      <c r="E34" s="1540">
        <f t="shared" si="9"/>
        <v>0</v>
      </c>
      <c r="F34" s="1933">
        <f t="shared" si="5"/>
        <v>0</v>
      </c>
      <c r="G34" s="1792">
        <f t="shared" si="10"/>
        <v>0</v>
      </c>
    </row>
    <row r="35" spans="1:7" x14ac:dyDescent="0.25">
      <c r="A35" s="1653"/>
      <c r="B35" s="1666"/>
      <c r="C35" s="1654"/>
      <c r="D35" s="1842"/>
      <c r="E35" s="1540">
        <f t="shared" si="9"/>
        <v>0</v>
      </c>
      <c r="F35" s="1933">
        <f t="shared" si="5"/>
        <v>0</v>
      </c>
      <c r="G35" s="1792">
        <f t="shared" si="10"/>
        <v>0</v>
      </c>
    </row>
    <row r="36" spans="1:7" x14ac:dyDescent="0.25">
      <c r="A36" s="1653"/>
      <c r="B36" s="1666"/>
      <c r="C36" s="1654"/>
      <c r="D36" s="1842"/>
      <c r="E36" s="1540">
        <f t="shared" si="9"/>
        <v>0</v>
      </c>
      <c r="F36" s="1933">
        <f t="shared" si="5"/>
        <v>0</v>
      </c>
      <c r="G36" s="1792">
        <f t="shared" si="10"/>
        <v>0</v>
      </c>
    </row>
    <row r="37" spans="1:7" x14ac:dyDescent="0.25">
      <c r="A37" s="1653"/>
      <c r="B37" s="1666"/>
      <c r="C37" s="1654"/>
      <c r="D37" s="1842"/>
      <c r="E37" s="1540">
        <f t="shared" si="9"/>
        <v>0</v>
      </c>
      <c r="F37" s="1933">
        <f t="shared" si="5"/>
        <v>0</v>
      </c>
      <c r="G37" s="1792">
        <f t="shared" si="10"/>
        <v>0</v>
      </c>
    </row>
    <row r="38" spans="1:7" x14ac:dyDescent="0.25">
      <c r="A38" s="1653"/>
      <c r="B38" s="1665"/>
      <c r="C38" s="1654"/>
      <c r="D38" s="1842"/>
      <c r="E38" s="1540">
        <f t="shared" si="2"/>
        <v>0</v>
      </c>
      <c r="F38" s="1933">
        <f t="shared" si="5"/>
        <v>0</v>
      </c>
      <c r="G38" s="1792">
        <f t="shared" si="3"/>
        <v>0</v>
      </c>
    </row>
    <row r="39" spans="1:7" x14ac:dyDescent="0.25">
      <c r="A39" s="1795" t="s">
        <v>156</v>
      </c>
      <c r="B39" s="1796"/>
      <c r="C39" s="1797"/>
      <c r="D39" s="1793">
        <f>SUM(D18:D38)</f>
        <v>1469727</v>
      </c>
      <c r="E39" s="1541">
        <f t="shared" si="0"/>
        <v>25000</v>
      </c>
      <c r="F39" s="1930">
        <f>SUM(F18:F38)</f>
        <v>185634</v>
      </c>
      <c r="G39" s="1794">
        <f>SUM(G18:G38)</f>
        <v>1284093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Normal="110" zoomScalePageLayoutView="110" workbookViewId="0">
      <selection sqref="A1:M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312073</v>
      </c>
      <c r="F10" s="974"/>
      <c r="G10" s="975"/>
      <c r="H10" s="162"/>
      <c r="I10" s="162"/>
    </row>
    <row r="11" spans="1:9" s="668" customFormat="1" ht="22.5" customHeight="1" x14ac:dyDescent="0.2">
      <c r="A11" s="2295" t="s">
        <v>1971</v>
      </c>
      <c r="B11" s="2296"/>
      <c r="C11" s="2296"/>
      <c r="D11" s="2297"/>
      <c r="E11" s="977">
        <v>34399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7832760</v>
      </c>
      <c r="F19" s="1798"/>
      <c r="G19" s="1800">
        <f>'Expenditures 15-22'!K33-SUM('Expenditures 15-22'!G33,'Expenditures 15-22'!I33)+'Expenditures 15-22'!D229</f>
        <v>7832760</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1222914</v>
      </c>
      <c r="F21" s="1801"/>
      <c r="G21" s="1804">
        <f>'Expenditures 15-22'!K42-SUM('Expenditures 15-22'!G42,'Expenditures 15-22'!I42)+'Expenditures 15-22'!K120-SUM('Expenditures 15-22'!G120,'Expenditures 15-22'!I120)+'Expenditures 15-22'!K180-SUM('Expenditures 15-22'!G180,'Expenditures 15-22'!I180)+'Expenditures 15-22'!D238</f>
        <v>1222914</v>
      </c>
      <c r="H21" s="987"/>
      <c r="I21" s="162"/>
    </row>
    <row r="22" spans="1:9" s="668" customFormat="1" ht="12" customHeight="1" x14ac:dyDescent="0.2">
      <c r="A22" s="994" t="s">
        <v>564</v>
      </c>
      <c r="B22" s="995"/>
      <c r="C22" s="993">
        <v>2200</v>
      </c>
      <c r="D22" s="1801"/>
      <c r="E22" s="1803">
        <f>'Expenditures 15-22'!K47-SUM('Expenditures 15-22'!G47,'Expenditures 15-22'!I47)+'Expenditures 15-22'!D243</f>
        <v>157828</v>
      </c>
      <c r="F22" s="1801"/>
      <c r="G22" s="1804">
        <f>'Expenditures 15-22'!K47-SUM('Expenditures 15-22'!G47,'Expenditures 15-22'!I47)+'Expenditures 15-22'!D243</f>
        <v>157828</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638946</v>
      </c>
      <c r="F23" s="1801"/>
      <c r="G23" s="1803">
        <f>'Expenditures 15-22'!K53-SUM('Expenditures 15-22'!G53,'Expenditures 15-22'!I53)+'Expenditures 15-22'!D257+'Expenditures 15-22'!K330-SUM('Expenditures 15-22'!G330,'Expenditures 15-22'!I330)</f>
        <v>638946</v>
      </c>
      <c r="H23" s="987"/>
      <c r="I23" s="162"/>
    </row>
    <row r="24" spans="1:9" s="668" customFormat="1" ht="12" customHeight="1" x14ac:dyDescent="0.2">
      <c r="A24" s="994" t="s">
        <v>566</v>
      </c>
      <c r="B24" s="995"/>
      <c r="C24" s="993">
        <v>2400</v>
      </c>
      <c r="D24" s="1801"/>
      <c r="E24" s="1803">
        <f>'Expenditures 15-22'!K57-SUM('Expenditures 15-22'!G57,'Expenditures 15-22'!I57)+'Expenditures 15-22'!D261</f>
        <v>666217</v>
      </c>
      <c r="F24" s="1801"/>
      <c r="G24" s="1804">
        <f>'Expenditures 15-22'!K57-SUM('Expenditures 15-22'!G57,'Expenditures 15-22'!I57)+'Expenditures 15-22'!D261</f>
        <v>666217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203945</v>
      </c>
      <c r="E26" s="1803">
        <f>'Expenditures 15-22'!K122-SUM('Expenditures 15-22'!G122,'Expenditures 15-22'!I122)+E7</f>
        <v>0</v>
      </c>
      <c r="F26" s="1803">
        <f>'Expenditures 15-22'!K59-SUM('Expenditures 15-22'!G59,'Expenditures 15-22'!I59)+'Expenditures 15-22'!D263-E7</f>
        <v>203945</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128183</v>
      </c>
      <c r="E27" s="1803">
        <f>E8</f>
        <v>0</v>
      </c>
      <c r="F27" s="1803">
        <f>'Expenditures 15-22'!K60-SUM('Expenditures 15-22'!G60,'Expenditures 15-22'!I60)+'Expenditures 15-22'!D264-E8</f>
        <v>128183</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2905219</v>
      </c>
      <c r="F28" s="1805">
        <f>'Expenditures 15-22'!K61-SUM('Expenditures 15-22'!G61,'Expenditures 15-22'!I61)+'Expenditures 15-22'!K124-SUM('Expenditures 15-22'!G124,'Expenditures 15-22'!I124)+'Expenditures 15-22'!D266-E9</f>
        <v>2905219</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837364</v>
      </c>
      <c r="F29" s="1801"/>
      <c r="G29" s="1804">
        <f>'Expenditures 15-22'!K62-SUM('Expenditures 15-22'!G62,'Expenditures 15-22'!I62)+'Expenditures 15-22'!K125-SUM('Expenditures 15-22'!G125,'Expenditures 15-22'!I125)+'Expenditures 15-22'!K182-SUM('Expenditures 15-22'!G182,'Expenditures 15-22'!I182)+'Expenditures 15-22'!D267</f>
        <v>837364</v>
      </c>
      <c r="H29" s="985"/>
    </row>
    <row r="30" spans="1:9" ht="12" customHeight="1" x14ac:dyDescent="0.2">
      <c r="A30" s="994" t="s">
        <v>100</v>
      </c>
      <c r="B30" s="997"/>
      <c r="C30" s="993">
        <v>2560</v>
      </c>
      <c r="D30" s="1801"/>
      <c r="E30" s="1803">
        <f>'Expenditures 15-22'!K63-SUM('Expenditures 15-22'!G63,'Expenditures 15-22'!I63)+'Expenditures 15-22'!D268-E10</f>
        <v>192616</v>
      </c>
      <c r="F30" s="1801"/>
      <c r="G30" s="1803">
        <f>'Expenditures 15-22'!K63-SUM('Expenditures 15-22'!G63,'Expenditures 15-22'!I63)+'Expenditures 15-22'!D268-E10</f>
        <v>192616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22341</v>
      </c>
      <c r="F35" s="1801"/>
      <c r="G35" s="1803">
        <f>'Expenditures 15-22'!K69-SUM('Expenditures 15-22'!G69,'Expenditures 15-22'!I69)+'Expenditures 15-22'!D274</f>
        <v>22341</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154063</v>
      </c>
      <c r="F38" s="1801"/>
      <c r="G38" s="1803">
        <f>'Expenditures 15-22'!K73-SUM('Expenditures 15-22'!G73,'Expenditures 15-22'!I73)+'Expenditures 15-22'!K128-SUM('Expenditures 15-22'!G128,'Expenditures 15-22'!I128)+'Expenditures 15-22'!K183-SUM('Expenditures 15-22'!G183,'Expenditures 15-22'!I183)+'Expenditures 15-22'!D278</f>
        <v>154063</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278748</v>
      </c>
      <c r="F39" s="1801"/>
      <c r="G39" s="1803">
        <f>'Expenditures 15-22'!K75-SUM('Expenditures 15-22'!G75,'Expenditures 15-22'!I75)+'Expenditures 15-22'!K130-SUM('Expenditures 15-22'!G130,'Expenditures 15-22'!I130)+'Expenditures 15-22'!K185-SUM('Expenditures 15-22'!G185,'Expenditures 15-22'!I185)+'Expenditures 15-22'!D280</f>
        <v>278748</v>
      </c>
    </row>
    <row r="40" spans="1:7" ht="12" customHeight="1" x14ac:dyDescent="0.2">
      <c r="A40" s="990" t="s">
        <v>1819</v>
      </c>
      <c r="B40" s="991"/>
      <c r="C40" s="993"/>
      <c r="D40" s="1801"/>
      <c r="E40" s="1805">
        <f>-'Contracts Paid in CY 29'!G39</f>
        <v>-1284093</v>
      </c>
      <c r="F40" s="1801"/>
      <c r="G40" s="1805">
        <f>-'Contracts Paid in CY 29'!G39</f>
        <v>-1284093</v>
      </c>
    </row>
    <row r="41" spans="1:7" ht="12" customHeight="1" x14ac:dyDescent="0.2">
      <c r="A41" s="998" t="s">
        <v>156</v>
      </c>
      <c r="B41" s="999"/>
      <c r="C41" s="1000"/>
      <c r="D41" s="1805">
        <f>SUM(D19:D39)</f>
        <v>332128</v>
      </c>
      <c r="E41" s="1805">
        <f>SUM(E19:E40)</f>
        <v>13624923</v>
      </c>
      <c r="F41" s="1805">
        <f>SUM(F19:F39)</f>
        <v>3237347</v>
      </c>
      <c r="G41" s="1805">
        <f>SUM(G19:G40)</f>
        <v>10719704</v>
      </c>
    </row>
    <row r="42" spans="1:7" x14ac:dyDescent="0.2">
      <c r="A42" s="987"/>
      <c r="B42" s="162"/>
      <c r="C42" s="1001"/>
      <c r="D42" s="2293" t="s">
        <v>522</v>
      </c>
      <c r="E42" s="2294"/>
      <c r="F42" s="1002" t="s">
        <v>523</v>
      </c>
      <c r="G42" s="1003"/>
    </row>
    <row r="43" spans="1:7" ht="12" customHeight="1" x14ac:dyDescent="0.2">
      <c r="A43" s="987"/>
      <c r="B43" s="162"/>
      <c r="C43" s="1001"/>
      <c r="D43" s="1806" t="s">
        <v>473</v>
      </c>
      <c r="E43" s="1807">
        <f>D41</f>
        <v>332128</v>
      </c>
      <c r="F43" s="1806" t="s">
        <v>473</v>
      </c>
      <c r="G43" s="1807">
        <f>F41</f>
        <v>3237347</v>
      </c>
    </row>
    <row r="44" spans="1:7" ht="12" customHeight="1" x14ac:dyDescent="0.2">
      <c r="A44" s="987"/>
      <c r="B44" s="162"/>
      <c r="C44" s="1001"/>
      <c r="D44" s="1806" t="s">
        <v>474</v>
      </c>
      <c r="E44" s="1807">
        <f>E41</f>
        <v>13624923</v>
      </c>
      <c r="F44" s="1806" t="s">
        <v>474</v>
      </c>
      <c r="G44" s="1807">
        <f>G41</f>
        <v>10719704</v>
      </c>
    </row>
    <row r="45" spans="1:7" ht="12" customHeight="1" x14ac:dyDescent="0.2">
      <c r="A45" s="987"/>
      <c r="B45" s="162"/>
      <c r="C45" s="162"/>
      <c r="D45" s="1808" t="s">
        <v>1006</v>
      </c>
      <c r="E45" s="1809">
        <f>(E43/E44)</f>
        <v>2.4376504733274455E-2</v>
      </c>
      <c r="F45" s="1808" t="s">
        <v>1006</v>
      </c>
      <c r="G45" s="1809">
        <f>(G43/G44)</f>
        <v>0.30199966342354229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10" zoomScalePageLayoutView="110" workbookViewId="0">
      <selection sqref="A1:M1"/>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7109375" style="1876" bestFit="1" customWidth="1"/>
    <col min="9" max="9" width="3" style="1876" bestFit="1" customWidth="1"/>
    <col min="10" max="10" width="2.140625" style="1876" bestFit="1" customWidth="1"/>
    <col min="11" max="11" width="9" style="1876" customWidth="1"/>
    <col min="12" max="16384" width="9.140625" style="1845"/>
  </cols>
  <sheetData>
    <row r="1" spans="1:10" x14ac:dyDescent="0.2">
      <c r="A1" s="2301" t="s">
        <v>1379</v>
      </c>
      <c r="B1" s="2301"/>
      <c r="C1" s="2301"/>
      <c r="D1" s="2301"/>
      <c r="E1" s="2301"/>
      <c r="F1" s="2301"/>
    </row>
    <row r="2" spans="1:10" x14ac:dyDescent="0.2">
      <c r="A2" s="1885" t="s">
        <v>1907</v>
      </c>
      <c r="B2" s="1846"/>
      <c r="C2" s="1885"/>
      <c r="D2" s="1846"/>
      <c r="E2" s="1846"/>
      <c r="F2" s="1847"/>
    </row>
    <row r="3" spans="1:10" x14ac:dyDescent="0.2">
      <c r="A3" s="1885" t="s">
        <v>1972</v>
      </c>
      <c r="B3" s="1846"/>
      <c r="C3" s="1885"/>
      <c r="D3" s="1846"/>
      <c r="E3" s="1846"/>
      <c r="F3" s="1847"/>
    </row>
    <row r="4" spans="1:10" ht="3.75" customHeight="1" x14ac:dyDescent="0.2">
      <c r="A4" s="1846"/>
      <c r="B4" s="1846"/>
      <c r="C4" s="1846"/>
      <c r="D4" s="1846"/>
      <c r="E4" s="1846"/>
      <c r="F4" s="1847"/>
    </row>
    <row r="5" spans="1:10" ht="15" x14ac:dyDescent="0.25">
      <c r="A5" s="2302" t="s">
        <v>1546</v>
      </c>
      <c r="B5" s="2303"/>
      <c r="C5" s="2304"/>
      <c r="D5" s="2304"/>
      <c r="E5" s="2304"/>
      <c r="F5" s="2304"/>
    </row>
    <row r="6" spans="1:10" ht="12" customHeight="1" x14ac:dyDescent="0.25">
      <c r="A6" s="1848"/>
      <c r="B6" s="1849"/>
      <c r="C6" s="2305" t="str">
        <f>COVER!A17</f>
        <v>Carbondale CHSD 165</v>
      </c>
      <c r="D6" s="2305"/>
      <c r="E6" s="2305"/>
      <c r="F6" s="1850"/>
    </row>
    <row r="7" spans="1:10" ht="11.25" customHeight="1" thickBot="1" x14ac:dyDescent="0.3">
      <c r="A7" s="1848"/>
      <c r="B7" s="1849"/>
      <c r="C7" s="2306">
        <f>COVER!A13</f>
        <v>30039165016</v>
      </c>
      <c r="D7" s="2306"/>
      <c r="E7" s="2306"/>
      <c r="F7" s="1850"/>
    </row>
    <row r="8" spans="1:10" ht="25.5" customHeight="1" thickBot="1" x14ac:dyDescent="0.25">
      <c r="A8" s="1891" t="s">
        <v>1903</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t="s">
        <v>2069</v>
      </c>
      <c r="D15" s="1863" t="s">
        <v>2069</v>
      </c>
      <c r="E15" s="1866"/>
      <c r="F15" s="1865" t="s">
        <v>2145</v>
      </c>
      <c r="H15" s="1876">
        <f t="shared" si="0"/>
        <v>5</v>
      </c>
      <c r="I15" s="1876">
        <f t="shared" si="1"/>
        <v>5</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2069</v>
      </c>
      <c r="D26" s="1863" t="s">
        <v>2069</v>
      </c>
      <c r="E26" s="1866"/>
      <c r="F26" s="1865" t="s">
        <v>2146</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t="s">
        <v>2069</v>
      </c>
      <c r="D31" s="1863" t="s">
        <v>2069</v>
      </c>
      <c r="E31" s="1866"/>
      <c r="F31" s="1865" t="s">
        <v>2147</v>
      </c>
      <c r="H31" s="1876">
        <f t="shared" si="0"/>
        <v>5</v>
      </c>
      <c r="I31" s="1876">
        <f t="shared" si="1"/>
        <v>5</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15</v>
      </c>
      <c r="I34" s="1876">
        <f>SUM(I11:I32)</f>
        <v>15</v>
      </c>
      <c r="J34" s="1876">
        <f>SUM(J11:J32)</f>
        <v>0</v>
      </c>
      <c r="K34" s="1876">
        <f>SUM(H34:J34)</f>
        <v>30</v>
      </c>
    </row>
    <row r="35" spans="1:11" ht="12" customHeight="1" x14ac:dyDescent="0.2">
      <c r="A35" s="1869" t="s">
        <v>1392</v>
      </c>
      <c r="B35" s="1870"/>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71"/>
      <c r="B39" s="1871"/>
      <c r="C39" s="1871"/>
      <c r="D39" s="1871"/>
      <c r="E39" s="1871"/>
      <c r="F39" s="1871"/>
    </row>
    <row r="40" spans="1:11" s="1868" customFormat="1" ht="12" customHeight="1" x14ac:dyDescent="0.25">
      <c r="A40" s="1872" t="s">
        <v>1391</v>
      </c>
      <c r="B40" s="1873"/>
      <c r="C40" s="2315"/>
      <c r="D40" s="2315"/>
      <c r="E40" s="2315"/>
      <c r="F40" s="2316"/>
      <c r="H40" s="1877"/>
      <c r="I40" s="1877"/>
      <c r="J40" s="1877"/>
      <c r="K40" s="1877"/>
    </row>
    <row r="41" spans="1:11" s="1868" customFormat="1" ht="12" customHeight="1" x14ac:dyDescent="0.25">
      <c r="A41" s="2317"/>
      <c r="B41" s="2318"/>
      <c r="C41" s="2318"/>
      <c r="D41" s="2318"/>
      <c r="E41" s="2318"/>
      <c r="F41" s="2319"/>
      <c r="H41" s="1877"/>
      <c r="I41" s="1877"/>
      <c r="J41" s="1877"/>
      <c r="K41" s="1877"/>
    </row>
    <row r="42" spans="1:11" s="1868" customFormat="1" ht="12" customHeight="1" x14ac:dyDescent="0.25">
      <c r="A42" s="2317"/>
      <c r="B42" s="2318"/>
      <c r="C42" s="2318"/>
      <c r="D42" s="2318"/>
      <c r="E42" s="2318"/>
      <c r="F42" s="2319"/>
      <c r="H42" s="1877"/>
      <c r="I42" s="1877"/>
      <c r="J42" s="1877"/>
      <c r="K42" s="1877"/>
    </row>
    <row r="43" spans="1:11" s="1868" customFormat="1" ht="15" x14ac:dyDescent="0.25">
      <c r="A43" s="2309"/>
      <c r="B43" s="2310"/>
      <c r="C43" s="2310"/>
      <c r="D43" s="2310"/>
      <c r="E43" s="2310"/>
      <c r="F43" s="2311"/>
      <c r="H43" s="1877"/>
      <c r="I43" s="1877"/>
      <c r="J43" s="1877"/>
      <c r="K43" s="1877"/>
    </row>
    <row r="44" spans="1:11" s="1868" customFormat="1" ht="12" hidden="1" customHeight="1" x14ac:dyDescent="0.25">
      <c r="A44" s="2309"/>
      <c r="B44" s="2310"/>
      <c r="C44" s="2310"/>
      <c r="D44" s="2310"/>
      <c r="E44" s="2310"/>
      <c r="F44" s="2311"/>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3" colorId="8" zoomScaleNormal="110" zoomScalePageLayoutView="110" workbookViewId="0">
      <selection sqref="A1:M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25" t="str">
        <f>COVER!A17</f>
        <v>Carbondale CHSD 165</v>
      </c>
      <c r="J6" s="2326"/>
      <c r="Q6" s="1663"/>
    </row>
    <row r="7" spans="1:17" x14ac:dyDescent="0.2">
      <c r="A7" s="2327" t="s">
        <v>869</v>
      </c>
      <c r="B7" s="2328"/>
      <c r="C7" s="2328"/>
      <c r="D7" s="2328"/>
      <c r="E7" s="2329"/>
      <c r="F7" s="1017"/>
      <c r="G7" s="1009"/>
      <c r="H7" s="1016" t="s">
        <v>372</v>
      </c>
      <c r="I7" s="2330">
        <f>COVER!A13</f>
        <v>30039165016</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1973</v>
      </c>
      <c r="F9" s="1023"/>
      <c r="G9" s="1023"/>
      <c r="H9" s="1894" t="s">
        <v>1974</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298607</v>
      </c>
      <c r="F12" s="1039"/>
      <c r="G12" s="1810">
        <f t="shared" ref="G12:G18" si="0">SUM(E12:F12)</f>
        <v>298607</v>
      </c>
      <c r="H12" s="1040">
        <v>298388</v>
      </c>
      <c r="I12" s="1039"/>
      <c r="J12" s="1810">
        <f t="shared" ref="J12:J18" si="1">SUM(H12:I12)</f>
        <v>298388</v>
      </c>
    </row>
    <row r="13" spans="1:17" ht="15" customHeight="1" x14ac:dyDescent="0.2">
      <c r="A13" s="1035">
        <v>2</v>
      </c>
      <c r="B13" s="1036" t="s">
        <v>42</v>
      </c>
      <c r="C13" s="1037"/>
      <c r="D13" s="1038">
        <v>2330</v>
      </c>
      <c r="E13" s="1810">
        <f>'Expenditures 15-22'!K51</f>
        <v>5172</v>
      </c>
      <c r="F13" s="1039"/>
      <c r="G13" s="1810">
        <f t="shared" si="0"/>
        <v>5172</v>
      </c>
      <c r="H13" s="1040">
        <v>21264</v>
      </c>
      <c r="I13" s="1039"/>
      <c r="J13" s="1810">
        <f t="shared" si="1"/>
        <v>21264</v>
      </c>
    </row>
    <row r="14" spans="1:17" ht="15" customHeight="1" x14ac:dyDescent="0.2">
      <c r="A14" s="1035">
        <v>3</v>
      </c>
      <c r="B14" s="1036" t="s">
        <v>43</v>
      </c>
      <c r="C14" s="1037"/>
      <c r="D14" s="1041">
        <v>2490</v>
      </c>
      <c r="E14" s="1810">
        <f>'Expenditures 15-22'!K56</f>
        <v>81238</v>
      </c>
      <c r="F14" s="1039"/>
      <c r="G14" s="1810">
        <f t="shared" si="0"/>
        <v>81238</v>
      </c>
      <c r="H14" s="1040">
        <v>0</v>
      </c>
      <c r="I14" s="1039"/>
      <c r="J14" s="1810">
        <f t="shared" si="1"/>
        <v>0</v>
      </c>
    </row>
    <row r="15" spans="1:17" ht="15" customHeight="1" x14ac:dyDescent="0.2">
      <c r="A15" s="1035">
        <v>4</v>
      </c>
      <c r="B15" s="1036" t="s">
        <v>1068</v>
      </c>
      <c r="C15" s="1037"/>
      <c r="D15" s="1038">
        <v>2510</v>
      </c>
      <c r="E15" s="1810">
        <f>'Expenditures 15-22'!K59</f>
        <v>194562</v>
      </c>
      <c r="F15" s="1810">
        <f>'Expenditures 15-22'!K122</f>
        <v>0</v>
      </c>
      <c r="G15" s="1810">
        <f t="shared" si="0"/>
        <v>194562</v>
      </c>
      <c r="H15" s="1040">
        <v>194749</v>
      </c>
      <c r="I15" s="1040"/>
      <c r="J15" s="1810">
        <f t="shared" si="1"/>
        <v>194749</v>
      </c>
    </row>
    <row r="16" spans="1:17" ht="15" customHeight="1" x14ac:dyDescent="0.2">
      <c r="A16" s="1035">
        <v>5</v>
      </c>
      <c r="B16" s="1036" t="s">
        <v>101</v>
      </c>
      <c r="C16" s="1037"/>
      <c r="D16" s="1038">
        <v>2570</v>
      </c>
      <c r="E16" s="1810">
        <f>'Expenditures 15-22'!K64</f>
        <v>0</v>
      </c>
      <c r="F16" s="1039"/>
      <c r="G16" s="1810">
        <f t="shared" si="0"/>
        <v>0</v>
      </c>
      <c r="H16" s="1040">
        <v>0</v>
      </c>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v>0</v>
      </c>
      <c r="I17" s="1039"/>
      <c r="J17" s="1810">
        <f t="shared" si="1"/>
        <v>0</v>
      </c>
    </row>
    <row r="18" spans="1:10" ht="22.5" customHeight="1" x14ac:dyDescent="0.2">
      <c r="A18" s="1042">
        <v>7</v>
      </c>
      <c r="B18" s="2334" t="s">
        <v>7</v>
      </c>
      <c r="C18" s="2335"/>
      <c r="D18" s="2336"/>
      <c r="E18" s="1043"/>
      <c r="F18" s="1043"/>
      <c r="G18" s="1811">
        <f t="shared" si="0"/>
        <v>0</v>
      </c>
      <c r="H18" s="1040">
        <v>0</v>
      </c>
      <c r="I18" s="1040"/>
      <c r="J18" s="1810">
        <f t="shared" si="1"/>
        <v>0</v>
      </c>
    </row>
    <row r="19" spans="1:10" ht="12.75" customHeight="1" thickBot="1" x14ac:dyDescent="0.25">
      <c r="A19" s="1035">
        <v>8</v>
      </c>
      <c r="B19" s="1044" t="s">
        <v>1161</v>
      </c>
      <c r="D19" s="1045"/>
      <c r="E19" s="1812">
        <f t="shared" ref="E19:J19" si="2">SUM(E12:E17)-E18</f>
        <v>579579</v>
      </c>
      <c r="F19" s="1812">
        <f t="shared" si="2"/>
        <v>0</v>
      </c>
      <c r="G19" s="1812">
        <f t="shared" si="2"/>
        <v>579579</v>
      </c>
      <c r="H19" s="1812">
        <f t="shared" si="2"/>
        <v>514401</v>
      </c>
      <c r="I19" s="1812">
        <f t="shared" si="2"/>
        <v>0</v>
      </c>
      <c r="J19" s="1812">
        <f t="shared" si="2"/>
        <v>514401</v>
      </c>
    </row>
    <row r="20" spans="1:10" ht="13.5" thickTop="1" x14ac:dyDescent="0.2">
      <c r="A20" s="1035">
        <v>9</v>
      </c>
      <c r="B20" s="2337" t="s">
        <v>1975</v>
      </c>
      <c r="C20" s="2337"/>
      <c r="D20" s="2338"/>
      <c r="E20" s="1046"/>
      <c r="F20" s="1046"/>
      <c r="G20" s="1046"/>
      <c r="H20" s="1046"/>
      <c r="I20" s="1046"/>
      <c r="J20" s="1813">
        <f>IF(AND(G19&gt;0,J19&gt;0),(((J19-G19)/G19)),"Enter Budget Data")</f>
        <v>-0.11245749069583266</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t="s">
        <v>2186</v>
      </c>
      <c r="D28" s="2341"/>
      <c r="E28" s="1054"/>
      <c r="F28" s="2341" t="s">
        <v>2165</v>
      </c>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1977</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Normal="110" zoomScalePageLayoutView="110" workbookViewId="0">
      <selection sqref="A1:M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2148</v>
      </c>
    </row>
    <row r="6" spans="1:2" x14ac:dyDescent="0.2">
      <c r="A6" s="1068">
        <v>2</v>
      </c>
      <c r="B6" s="329" t="s">
        <v>2149</v>
      </c>
    </row>
    <row r="7" spans="1:2" x14ac:dyDescent="0.2">
      <c r="A7" s="1068">
        <v>3</v>
      </c>
      <c r="B7" s="329" t="s">
        <v>2150</v>
      </c>
    </row>
    <row r="8" spans="1:2" x14ac:dyDescent="0.2">
      <c r="A8" s="1068">
        <v>4</v>
      </c>
      <c r="B8" s="329" t="s">
        <v>2151</v>
      </c>
    </row>
    <row r="9" spans="1:2" x14ac:dyDescent="0.2">
      <c r="A9" s="1068">
        <v>5</v>
      </c>
      <c r="B9" s="329" t="s">
        <v>2152</v>
      </c>
    </row>
    <row r="10" spans="1:2" x14ac:dyDescent="0.2">
      <c r="A10" s="1068">
        <v>6</v>
      </c>
      <c r="B10" s="329" t="s">
        <v>2153</v>
      </c>
    </row>
    <row r="11" spans="1:2" x14ac:dyDescent="0.2">
      <c r="A11" s="1068">
        <v>7</v>
      </c>
      <c r="B11" s="329" t="s">
        <v>2154</v>
      </c>
    </row>
    <row r="12" spans="1:2" x14ac:dyDescent="0.2">
      <c r="A12" s="1068">
        <v>8</v>
      </c>
      <c r="B12" s="329" t="s">
        <v>2155</v>
      </c>
    </row>
    <row r="13" spans="1:2" x14ac:dyDescent="0.2">
      <c r="A13" s="1068">
        <v>9</v>
      </c>
      <c r="B13" s="329" t="s">
        <v>2156</v>
      </c>
    </row>
    <row r="14" spans="1:2" x14ac:dyDescent="0.2">
      <c r="A14" s="1068">
        <v>10</v>
      </c>
      <c r="B14" s="329" t="s">
        <v>2157</v>
      </c>
    </row>
    <row r="15" spans="1:2" x14ac:dyDescent="0.2">
      <c r="A15" s="1068">
        <v>11</v>
      </c>
      <c r="B15" s="329" t="s">
        <v>2158</v>
      </c>
    </row>
    <row r="16" spans="1:2" x14ac:dyDescent="0.2">
      <c r="A16" s="1068">
        <v>12</v>
      </c>
      <c r="B16" s="329" t="s">
        <v>2159</v>
      </c>
    </row>
    <row r="17" spans="1:2" x14ac:dyDescent="0.2">
      <c r="A17" s="1068">
        <v>13</v>
      </c>
      <c r="B17" s="329" t="s">
        <v>2160</v>
      </c>
    </row>
    <row r="18" spans="1:2" x14ac:dyDescent="0.2">
      <c r="A18" s="1068">
        <v>14</v>
      </c>
      <c r="B18" s="329" t="s">
        <v>2161</v>
      </c>
    </row>
    <row r="19" spans="1:2" x14ac:dyDescent="0.2">
      <c r="A19" s="1068">
        <v>15</v>
      </c>
      <c r="B19" s="329" t="s">
        <v>2163</v>
      </c>
    </row>
    <row r="20" spans="1:2" x14ac:dyDescent="0.2">
      <c r="A20" s="1068">
        <v>16</v>
      </c>
      <c r="B20" s="329" t="s">
        <v>2162</v>
      </c>
    </row>
    <row r="21" spans="1:2" x14ac:dyDescent="0.2">
      <c r="A21" s="1068">
        <v>17</v>
      </c>
      <c r="B21" s="329" t="s">
        <v>2164</v>
      </c>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Carbondale CHSD 165</v>
      </c>
    </row>
    <row r="65" spans="2:2" x14ac:dyDescent="0.2">
      <c r="B65" s="1070">
        <f>COVER!A13</f>
        <v>30039165016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3" zoomScale="110" zoomScaleNormal="110" workbookViewId="0">
      <selection activeCell="D1" sqref="D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5" t="s">
        <v>1611</v>
      </c>
    </row>
    <row r="23" spans="1:5" x14ac:dyDescent="0.2">
      <c r="A23" s="168"/>
      <c r="B23" s="162" t="s">
        <v>1852</v>
      </c>
      <c r="D23" s="167" t="s">
        <v>637</v>
      </c>
      <c r="E23" s="1835"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14" colorId="8" zoomScaleNormal="110" zoomScalePageLayoutView="110" workbookViewId="0">
      <selection sqref="A1:M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2" r:id="rId4">
          <objectPr defaultSize="0" r:id="rId5">
            <anchor moveWithCells="1">
              <from>
                <xdr:col>1</xdr:col>
                <xdr:colOff>19050</xdr:colOff>
                <xdr:row>2</xdr:row>
                <xdr:rowOff>104775</xdr:rowOff>
              </from>
              <to>
                <xdr:col>1</xdr:col>
                <xdr:colOff>933450</xdr:colOff>
                <xdr:row>6</xdr:row>
                <xdr:rowOff>142875</xdr:rowOff>
              </to>
            </anchor>
          </objectPr>
        </oleObject>
      </mc:Choice>
      <mc:Fallback>
        <oleObject progId="Acrobat Document" dvAspect="DVASPECT_ICON" shapeId="51202" r:id="rId4"/>
      </mc:Fallback>
    </mc:AlternateContent>
    <mc:AlternateContent xmlns:mc="http://schemas.openxmlformats.org/markup-compatibility/2006">
      <mc:Choice Requires="x14">
        <oleObject progId="Acrobat Document" dvAspect="DVASPECT_ICON" shapeId="51204" r:id="rId6">
          <objectPr defaultSize="0" r:id="rId7">
            <anchor moveWithCells="1">
              <from>
                <xdr:col>1</xdr:col>
                <xdr:colOff>1181100</xdr:colOff>
                <xdr:row>2</xdr:row>
                <xdr:rowOff>104775</xdr:rowOff>
              </from>
              <to>
                <xdr:col>1</xdr:col>
                <xdr:colOff>2095500</xdr:colOff>
                <xdr:row>6</xdr:row>
                <xdr:rowOff>142875</xdr:rowOff>
              </to>
            </anchor>
          </objectPr>
        </oleObject>
      </mc:Choice>
      <mc:Fallback>
        <oleObject progId="Acrobat Document" dvAspect="DVASPECT_ICON" shapeId="51204" r:id="rId6"/>
      </mc:Fallback>
    </mc:AlternateContent>
    <mc:AlternateContent xmlns:mc="http://schemas.openxmlformats.org/markup-compatibility/2006">
      <mc:Choice Requires="x14">
        <oleObject progId="Acrobat Document" dvAspect="DVASPECT_ICON" shapeId="51205" r:id="rId8">
          <objectPr defaultSize="0" r:id="rId9">
            <anchor moveWithCells="1">
              <from>
                <xdr:col>1</xdr:col>
                <xdr:colOff>2305050</xdr:colOff>
                <xdr:row>2</xdr:row>
                <xdr:rowOff>123825</xdr:rowOff>
              </from>
              <to>
                <xdr:col>1</xdr:col>
                <xdr:colOff>3219450</xdr:colOff>
                <xdr:row>6</xdr:row>
                <xdr:rowOff>152400</xdr:rowOff>
              </to>
            </anchor>
          </objectPr>
        </oleObject>
      </mc:Choice>
      <mc:Fallback>
        <oleObject progId="Acrobat Document" dvAspect="DVASPECT_ICON" shapeId="51205" r:id="rId8"/>
      </mc:Fallback>
    </mc:AlternateContent>
    <mc:AlternateContent xmlns:mc="http://schemas.openxmlformats.org/markup-compatibility/2006">
      <mc:Choice Requires="x14">
        <oleObject progId="Acrobat Document" dvAspect="DVASPECT_ICON" shapeId="51206" r:id="rId10">
          <objectPr defaultSize="0" r:id="rId11">
            <anchor moveWithCells="1">
              <from>
                <xdr:col>1</xdr:col>
                <xdr:colOff>28575</xdr:colOff>
                <xdr:row>7</xdr:row>
                <xdr:rowOff>47625</xdr:rowOff>
              </from>
              <to>
                <xdr:col>1</xdr:col>
                <xdr:colOff>942975</xdr:colOff>
                <xdr:row>11</xdr:row>
                <xdr:rowOff>85725</xdr:rowOff>
              </to>
            </anchor>
          </objectPr>
        </oleObject>
      </mc:Choice>
      <mc:Fallback>
        <oleObject progId="Acrobat Document" dvAspect="DVASPECT_ICON" shapeId="51206" r:id="rId10"/>
      </mc:Fallback>
    </mc:AlternateContent>
    <mc:AlternateContent xmlns:mc="http://schemas.openxmlformats.org/markup-compatibility/2006">
      <mc:Choice Requires="x14">
        <oleObject progId="Acrobat Document" dvAspect="DVASPECT_ICON" shapeId="51207" r:id="rId12">
          <objectPr defaultSize="0" r:id="rId13">
            <anchor moveWithCells="1">
              <from>
                <xdr:col>1</xdr:col>
                <xdr:colOff>1162050</xdr:colOff>
                <xdr:row>7</xdr:row>
                <xdr:rowOff>76200</xdr:rowOff>
              </from>
              <to>
                <xdr:col>1</xdr:col>
                <xdr:colOff>2076450</xdr:colOff>
                <xdr:row>11</xdr:row>
                <xdr:rowOff>114300</xdr:rowOff>
              </to>
            </anchor>
          </objectPr>
        </oleObject>
      </mc:Choice>
      <mc:Fallback>
        <oleObject progId="Acrobat Document" dvAspect="DVASPECT_ICON" shapeId="5120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M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1981</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1982</v>
      </c>
      <c r="B4" s="2365"/>
      <c r="C4" s="2365"/>
      <c r="D4" s="2365"/>
      <c r="E4" s="2365"/>
      <c r="F4" s="2366"/>
      <c r="G4" s="1074"/>
      <c r="H4" s="1074"/>
    </row>
    <row r="5" spans="1:8" ht="14.25" customHeight="1" x14ac:dyDescent="0.2">
      <c r="A5" s="2367" t="s">
        <v>1978</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12228769</v>
      </c>
      <c r="C8" s="1814">
        <f>'Acct Summary 7-8'!D8</f>
        <v>1948522</v>
      </c>
      <c r="D8" s="1814">
        <f>'Acct Summary 7-8'!F8</f>
        <v>846544</v>
      </c>
      <c r="E8" s="1814">
        <f>'Acct Summary 7-8'!I8</f>
        <v>234089</v>
      </c>
      <c r="F8" s="1814">
        <f>SUM(B8:E8)</f>
        <v>15257924</v>
      </c>
    </row>
    <row r="9" spans="1:8" s="1079" customFormat="1" ht="14.25" customHeight="1" thickBot="1" x14ac:dyDescent="0.25">
      <c r="A9" s="1078" t="s">
        <v>1369</v>
      </c>
      <c r="B9" s="1815">
        <f>'Acct Summary 7-8'!C17</f>
        <v>12155630</v>
      </c>
      <c r="C9" s="1815">
        <f>'Acct Summary 7-8'!D17</f>
        <v>2616069</v>
      </c>
      <c r="D9" s="1815">
        <f>'Acct Summary 7-8'!F17</f>
        <v>808786</v>
      </c>
      <c r="E9" s="1814"/>
      <c r="F9" s="1814">
        <f>SUM(B9:E9)</f>
        <v>15580485</v>
      </c>
    </row>
    <row r="10" spans="1:8" s="1079" customFormat="1" ht="14.25" thickTop="1" thickBot="1" x14ac:dyDescent="0.25">
      <c r="A10" s="1080" t="s">
        <v>1370</v>
      </c>
      <c r="B10" s="1816">
        <f>(B8-B9)</f>
        <v>73139</v>
      </c>
      <c r="C10" s="1816">
        <f>(C8-C9)</f>
        <v>-667547</v>
      </c>
      <c r="D10" s="1816">
        <f>(D8-D9)</f>
        <v>37758</v>
      </c>
      <c r="E10" s="1815">
        <f>(E8-E9)</f>
        <v>234089</v>
      </c>
      <c r="F10" s="1817">
        <f>SUM(F8-F9)</f>
        <v>-322561</v>
      </c>
    </row>
    <row r="11" spans="1:8" s="1079" customFormat="1" ht="14.25" thickTop="1" thickBot="1" x14ac:dyDescent="0.25">
      <c r="A11" s="1081" t="s">
        <v>1979</v>
      </c>
      <c r="B11" s="1818">
        <f>'Acct Summary 7-8'!C81</f>
        <v>3323378</v>
      </c>
      <c r="C11" s="1818">
        <f>'Acct Summary 7-8'!D81</f>
        <v>1561984</v>
      </c>
      <c r="D11" s="1818">
        <f>'Acct Summary 7-8'!F81</f>
        <v>1186576</v>
      </c>
      <c r="E11" s="1818">
        <f>'Acct Summary 7-8'!I81</f>
        <v>1085864</v>
      </c>
      <c r="F11" s="1819">
        <f>SUM(B11:E11)</f>
        <v>7157802</v>
      </c>
    </row>
    <row r="12" spans="1:8" ht="16.5" customHeight="1" thickTop="1" x14ac:dyDescent="0.2">
      <c r="A12" s="1082"/>
      <c r="B12" s="1083"/>
      <c r="C12" s="2349" t="str">
        <f>IF(AND(F10&lt;0,F11&gt;=0,ABS(F10*3)&gt;ABS(F11)),A16,IF(AND(F10&lt;0,F11&gt;0,ABS(F10*3)&lt;=ABS(F11)),A17,IF(AND(F10&lt;0,F11&lt;0),A16,IF(F11=0,A19,A18))))</f>
        <v>Unbalanced -  however, a deficit reduction plan is not required at this time.</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9" colorId="8" zoomScaleNormal="110" zoomScalePageLayoutView="110" workbookViewId="0">
      <selection activeCell="D1" sqref="D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29'!D39&gt;0,"OK","PLEASE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30039165016</v>
      </c>
    </row>
    <row r="3" spans="1:2" x14ac:dyDescent="0.2">
      <c r="A3" t="s">
        <v>956</v>
      </c>
      <c r="B3" s="138" t="str">
        <f>COVER!A15</f>
        <v>Jackson</v>
      </c>
    </row>
    <row r="4" spans="1:2" x14ac:dyDescent="0.2">
      <c r="A4" t="s">
        <v>1007</v>
      </c>
      <c r="B4" s="138" t="str">
        <f>COVER!A17</f>
        <v>Carbondale CHSD 165</v>
      </c>
    </row>
    <row r="5" spans="1:2" x14ac:dyDescent="0.2">
      <c r="A5" t="s">
        <v>704</v>
      </c>
      <c r="B5" s="138" t="str">
        <f>COVER!A38</f>
        <v>Stephen Murphy</v>
      </c>
    </row>
    <row r="6" spans="1:2" x14ac:dyDescent="0.2">
      <c r="A6" t="s">
        <v>709</v>
      </c>
      <c r="B6" s="138">
        <f>COVER!P35</f>
        <v>0</v>
      </c>
    </row>
    <row r="7" spans="1:2" x14ac:dyDescent="0.2">
      <c r="A7" t="s">
        <v>705</v>
      </c>
      <c r="B7" s="138">
        <f>COVER!I38</f>
        <v>0</v>
      </c>
    </row>
    <row r="8" spans="1:2" x14ac:dyDescent="0.2">
      <c r="A8" t="s">
        <v>706</v>
      </c>
      <c r="B8" s="138" t="str">
        <f>COVER!T38</f>
        <v>Cheryl Graff</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Sarah Kary, CPA</v>
      </c>
    </row>
    <row r="18" spans="1:2" x14ac:dyDescent="0.2">
      <c r="A18" t="s">
        <v>1150</v>
      </c>
      <c r="B18" s="138" t="str">
        <f>COVER!T17</f>
        <v>1191 West Saint Louis Street</v>
      </c>
    </row>
    <row r="19" spans="1:2" x14ac:dyDescent="0.2">
      <c r="A19" t="s">
        <v>886</v>
      </c>
      <c r="B19" s="138" t="str">
        <f>COVER!T25</f>
        <v>sarahkary@emlingcpa.com</v>
      </c>
    </row>
    <row r="20" spans="1:2" x14ac:dyDescent="0.2">
      <c r="A20" t="s">
        <v>887</v>
      </c>
      <c r="B20" s="138" t="str">
        <f>COVER!T19</f>
        <v xml:space="preserve">Nashville </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3302957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-20421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-20421</v>
      </c>
      <c r="C91" s="2" t="s">
        <v>573</v>
      </c>
      <c r="D91" s="2" t="str">
        <f t="shared" si="0"/>
        <v>Error?</v>
      </c>
    </row>
    <row r="92" spans="1:4" x14ac:dyDescent="0.2">
      <c r="A92" s="5">
        <v>31</v>
      </c>
      <c r="B92" s="138">
        <f>'Assets-Liab 5-6'!C39</f>
        <v>3323378</v>
      </c>
      <c r="D92" s="2" t="str">
        <f t="shared" si="0"/>
        <v>Error?</v>
      </c>
    </row>
    <row r="93" spans="1:4" x14ac:dyDescent="0.2">
      <c r="A93" s="5">
        <v>32</v>
      </c>
      <c r="B93" s="138">
        <f>'Assets-Liab 5-6'!C41</f>
        <v>3302957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1562138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154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154</v>
      </c>
      <c r="C122" s="2" t="s">
        <v>573</v>
      </c>
      <c r="D122" s="2" t="str">
        <f t="shared" si="0"/>
        <v>Error?</v>
      </c>
    </row>
    <row r="123" spans="1:4" x14ac:dyDescent="0.2">
      <c r="A123" s="5">
        <v>62</v>
      </c>
      <c r="B123" s="138">
        <f>'Assets-Liab 5-6'!D39</f>
        <v>1561984</v>
      </c>
      <c r="D123" s="2" t="str">
        <f t="shared" si="0"/>
        <v>Error?</v>
      </c>
    </row>
    <row r="124" spans="1:4" x14ac:dyDescent="0.2">
      <c r="A124" s="5">
        <v>63</v>
      </c>
      <c r="B124" s="138">
        <f>'Assets-Liab 5-6'!D41</f>
        <v>1562138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419782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419782</v>
      </c>
      <c r="D140" s="2" t="str">
        <f t="shared" si="1"/>
        <v>Error?</v>
      </c>
    </row>
    <row r="141" spans="1:4" x14ac:dyDescent="0.2">
      <c r="A141" s="5">
        <v>80</v>
      </c>
      <c r="B141" s="138">
        <f>'Assets-Liab 5-6'!E41</f>
        <v>419782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1186576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1186576</v>
      </c>
      <c r="D170" s="2" t="str">
        <f t="shared" si="1"/>
        <v>Error?</v>
      </c>
    </row>
    <row r="171" spans="1:4" x14ac:dyDescent="0.2">
      <c r="A171" s="5">
        <v>110</v>
      </c>
      <c r="B171" s="138">
        <f>'Assets-Liab 5-6'!F41</f>
        <v>1186576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488803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488803</v>
      </c>
      <c r="D189" s="2" t="str">
        <f t="shared" si="1"/>
        <v>Error?</v>
      </c>
    </row>
    <row r="190" spans="1:4" x14ac:dyDescent="0.2">
      <c r="A190" s="5">
        <v>129</v>
      </c>
      <c r="B190" s="138">
        <f>'Assets-Liab 5-6'!G41</f>
        <v>488803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345078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345078</v>
      </c>
      <c r="D212" s="2" t="str">
        <f t="shared" si="2"/>
        <v>Error?</v>
      </c>
    </row>
    <row r="213" spans="1:4" x14ac:dyDescent="0.2">
      <c r="A213" s="12">
        <v>152</v>
      </c>
      <c r="B213" s="138">
        <f>'Assets-Liab 5-6'!H41</f>
        <v>345078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147429</v>
      </c>
      <c r="D273" s="2" t="str">
        <f t="shared" si="3"/>
        <v>Error?</v>
      </c>
    </row>
    <row r="274" spans="1:4" x14ac:dyDescent="0.2">
      <c r="A274" s="5">
        <v>213</v>
      </c>
      <c r="B274" s="138">
        <f>'Assets-Liab 5-6'!M17</f>
        <v>33355721</v>
      </c>
      <c r="D274" s="2" t="str">
        <f t="shared" si="3"/>
        <v>Error?</v>
      </c>
    </row>
    <row r="275" spans="1:4" x14ac:dyDescent="0.2">
      <c r="A275" s="5">
        <v>214</v>
      </c>
      <c r="B275" s="138">
        <f>'Assets-Liab 5-6'!M18</f>
        <v>3207872</v>
      </c>
      <c r="D275" s="2" t="str">
        <f t="shared" si="3"/>
        <v>Error?</v>
      </c>
    </row>
    <row r="276" spans="1:4" x14ac:dyDescent="0.2">
      <c r="A276" s="5">
        <v>215</v>
      </c>
      <c r="B276" s="138">
        <f>'Assets-Liab 5-6'!M19</f>
        <v>5018530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41729552</v>
      </c>
      <c r="C279" s="2" t="s">
        <v>573</v>
      </c>
      <c r="D279" s="2" t="str">
        <f t="shared" si="3"/>
        <v>Error?</v>
      </c>
    </row>
    <row r="280" spans="1:4" x14ac:dyDescent="0.2">
      <c r="A280" s="5">
        <v>219</v>
      </c>
      <c r="B280" s="138">
        <f>'Assets-Liab 5-6'!M40</f>
        <v>41729552</v>
      </c>
      <c r="D280" s="2" t="str">
        <f t="shared" si="3"/>
        <v>Error?</v>
      </c>
    </row>
    <row r="281" spans="1:4" x14ac:dyDescent="0.2">
      <c r="A281" s="5">
        <v>220</v>
      </c>
      <c r="B281" s="138">
        <f>'Assets-Liab 5-6'!M41</f>
        <v>41729552</v>
      </c>
      <c r="C281" s="2" t="s">
        <v>573</v>
      </c>
      <c r="D281" s="2" t="str">
        <f t="shared" si="3"/>
        <v>Error?</v>
      </c>
    </row>
    <row r="282" spans="1:4" x14ac:dyDescent="0.2">
      <c r="A282" s="5">
        <v>221</v>
      </c>
      <c r="B282" s="138">
        <f>'Assets-Liab 5-6'!N21</f>
        <v>419782</v>
      </c>
      <c r="D282" s="2" t="str">
        <f t="shared" si="3"/>
        <v>Error?</v>
      </c>
    </row>
    <row r="283" spans="1:4" x14ac:dyDescent="0.2">
      <c r="A283" s="5">
        <v>222</v>
      </c>
      <c r="B283" s="138">
        <f>'Assets-Liab 5-6'!N22</f>
        <v>176641</v>
      </c>
      <c r="D283" s="2" t="str">
        <f t="shared" si="3"/>
        <v>Error?</v>
      </c>
    </row>
    <row r="284" spans="1:4" x14ac:dyDescent="0.2">
      <c r="A284" s="5">
        <v>223</v>
      </c>
      <c r="B284" s="138">
        <f>'Assets-Liab 5-6'!N23</f>
        <v>596423</v>
      </c>
      <c r="C284" s="2" t="s">
        <v>573</v>
      </c>
      <c r="D284" s="2" t="str">
        <f t="shared" si="3"/>
        <v>Error?</v>
      </c>
    </row>
    <row r="285" spans="1:4" x14ac:dyDescent="0.2">
      <c r="A285" s="5">
        <v>224</v>
      </c>
      <c r="B285" s="138">
        <f>'Assets-Liab 5-6'!N36</f>
        <v>596423</v>
      </c>
      <c r="D285" s="2" t="str">
        <f t="shared" si="3"/>
        <v>Error?</v>
      </c>
    </row>
    <row r="286" spans="1:4" x14ac:dyDescent="0.2">
      <c r="A286" s="10">
        <v>225</v>
      </c>
      <c r="D286" s="2" t="str">
        <f t="shared" si="3"/>
        <v>OK</v>
      </c>
    </row>
    <row r="287" spans="1:4" x14ac:dyDescent="0.2">
      <c r="A287" s="5">
        <v>226</v>
      </c>
      <c r="B287" s="138">
        <f>'Assets-Liab 5-6'!N37</f>
        <v>596423</v>
      </c>
      <c r="C287" s="2" t="s">
        <v>573</v>
      </c>
      <c r="D287" s="2" t="str">
        <f t="shared" si="3"/>
        <v>Error?</v>
      </c>
    </row>
    <row r="288" spans="1:4" x14ac:dyDescent="0.2">
      <c r="A288" s="5">
        <v>227</v>
      </c>
      <c r="B288" s="138">
        <f>'Assets-Liab 5-6'!N41</f>
        <v>596423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150000</v>
      </c>
      <c r="D320" s="2" t="str">
        <f t="shared" si="4"/>
        <v>Error?</v>
      </c>
    </row>
    <row r="321" spans="1:4" x14ac:dyDescent="0.2">
      <c r="A321" s="5">
        <v>260</v>
      </c>
      <c r="B321" s="138">
        <f>'Acct Summary 7-8'!C26</f>
        <v>15000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3346636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96831</v>
      </c>
      <c r="D716" s="2" t="str">
        <f t="shared" si="10"/>
        <v>Error?</v>
      </c>
    </row>
    <row r="717" spans="1:4" x14ac:dyDescent="0.2">
      <c r="A717" s="5">
        <v>656</v>
      </c>
      <c r="B717" s="138">
        <f>'Expenditures 15-22'!C13</f>
        <v>424965</v>
      </c>
      <c r="D717" s="2" t="str">
        <f t="shared" si="10"/>
        <v>Error?</v>
      </c>
    </row>
    <row r="718" spans="1:4" x14ac:dyDescent="0.2">
      <c r="A718" s="5">
        <v>657</v>
      </c>
      <c r="B718" s="138">
        <f>'Expenditures 15-22'!C14</f>
        <v>491562</v>
      </c>
      <c r="D718" s="2" t="str">
        <f t="shared" si="10"/>
        <v>Error?</v>
      </c>
    </row>
    <row r="719" spans="1:4" x14ac:dyDescent="0.2">
      <c r="A719" s="5">
        <v>658</v>
      </c>
      <c r="B719" s="138">
        <f>'Expenditures 15-22'!C15</f>
        <v>13645</v>
      </c>
      <c r="D719" s="2" t="str">
        <f t="shared" si="10"/>
        <v>Error?</v>
      </c>
    </row>
    <row r="720" spans="1:4" x14ac:dyDescent="0.2">
      <c r="A720" s="5">
        <v>659</v>
      </c>
      <c r="B720" s="138">
        <f>'Expenditures 15-22'!C33</f>
        <v>5692883</v>
      </c>
      <c r="C720" s="2" t="s">
        <v>573</v>
      </c>
      <c r="D720" s="2" t="str">
        <f t="shared" si="10"/>
        <v>Error?</v>
      </c>
    </row>
    <row r="721" spans="1:4" x14ac:dyDescent="0.2">
      <c r="A721" s="5">
        <v>660</v>
      </c>
      <c r="B721" s="138">
        <f>'Expenditures 15-22'!C36</f>
        <v>174487</v>
      </c>
      <c r="D721" s="2" t="str">
        <f t="shared" si="10"/>
        <v>Error?</v>
      </c>
    </row>
    <row r="722" spans="1:4" x14ac:dyDescent="0.2">
      <c r="A722" s="5">
        <v>661</v>
      </c>
      <c r="B722" s="138">
        <f>'Expenditures 15-22'!C37</f>
        <v>431533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228621</v>
      </c>
      <c r="D726" s="2" t="str">
        <f t="shared" si="10"/>
        <v>Error?</v>
      </c>
    </row>
    <row r="727" spans="1:4" x14ac:dyDescent="0.2">
      <c r="A727" s="5">
        <v>666</v>
      </c>
      <c r="B727" s="138">
        <f>'Expenditures 15-22'!C42</f>
        <v>834641</v>
      </c>
      <c r="C727" s="2" t="s">
        <v>573</v>
      </c>
      <c r="D727" s="2" t="str">
        <f t="shared" si="10"/>
        <v>Error?</v>
      </c>
    </row>
    <row r="728" spans="1:4" x14ac:dyDescent="0.2">
      <c r="A728" s="5">
        <v>667</v>
      </c>
      <c r="B728" s="138">
        <f>'Expenditures 15-22'!C44</f>
        <v>22597</v>
      </c>
      <c r="D728" s="2" t="str">
        <f t="shared" si="10"/>
        <v>Error?</v>
      </c>
    </row>
    <row r="729" spans="1:4" x14ac:dyDescent="0.2">
      <c r="A729" s="5">
        <v>668</v>
      </c>
      <c r="B729" s="138">
        <f>'Expenditures 15-22'!C45</f>
        <v>28820</v>
      </c>
      <c r="D729" s="2" t="str">
        <f t="shared" si="10"/>
        <v>Error?</v>
      </c>
    </row>
    <row r="730" spans="1:4" x14ac:dyDescent="0.2">
      <c r="A730" s="5">
        <v>669</v>
      </c>
      <c r="B730" s="138">
        <f>'Expenditures 15-22'!C46</f>
        <v>6330</v>
      </c>
      <c r="D730" s="2" t="str">
        <f t="shared" si="10"/>
        <v>Error?</v>
      </c>
    </row>
    <row r="731" spans="1:4" x14ac:dyDescent="0.2">
      <c r="A731" s="5">
        <v>670</v>
      </c>
      <c r="B731" s="138">
        <f>'Expenditures 15-22'!C47</f>
        <v>57747</v>
      </c>
      <c r="C731" s="2" t="s">
        <v>573</v>
      </c>
      <c r="D731" s="2" t="str">
        <f t="shared" si="10"/>
        <v>Error?</v>
      </c>
    </row>
    <row r="732" spans="1:4" x14ac:dyDescent="0.2">
      <c r="A732" s="5">
        <v>671</v>
      </c>
      <c r="B732" s="138">
        <f>'Expenditures 15-22'!C49</f>
        <v>70510</v>
      </c>
      <c r="D732" s="2" t="str">
        <f t="shared" si="10"/>
        <v>Error?</v>
      </c>
    </row>
    <row r="733" spans="1:4" x14ac:dyDescent="0.2">
      <c r="A733" s="5">
        <v>672</v>
      </c>
      <c r="B733" s="138">
        <f>'Expenditures 15-22'!C50</f>
        <v>240241</v>
      </c>
      <c r="D733" s="2" t="str">
        <f t="shared" si="10"/>
        <v>Error?</v>
      </c>
    </row>
    <row r="734" spans="1:4" x14ac:dyDescent="0.2">
      <c r="A734" s="5">
        <v>673</v>
      </c>
      <c r="B734" s="138">
        <f>'Expenditures 15-22'!C53</f>
        <v>310751</v>
      </c>
      <c r="C734" s="2" t="s">
        <v>573</v>
      </c>
      <c r="D734" s="2" t="str">
        <f t="shared" si="10"/>
        <v>Error?</v>
      </c>
    </row>
    <row r="735" spans="1:4" x14ac:dyDescent="0.2">
      <c r="A735" s="5">
        <v>674</v>
      </c>
      <c r="B735" s="138">
        <f>'Expenditures 15-22'!C55</f>
        <v>398318</v>
      </c>
      <c r="D735" s="2" t="str">
        <f t="shared" si="10"/>
        <v>Error?</v>
      </c>
    </row>
    <row r="736" spans="1:4" x14ac:dyDescent="0.2">
      <c r="A736" s="5">
        <v>675</v>
      </c>
      <c r="B736" s="138">
        <f>'Expenditures 15-22'!C56</f>
        <v>66231</v>
      </c>
      <c r="D736" s="2" t="str">
        <f t="shared" si="10"/>
        <v>Error?</v>
      </c>
    </row>
    <row r="737" spans="1:4" x14ac:dyDescent="0.2">
      <c r="A737" s="5">
        <v>676</v>
      </c>
      <c r="B737" s="138">
        <f>'Expenditures 15-22'!C57</f>
        <v>464549</v>
      </c>
      <c r="C737" s="2" t="s">
        <v>573</v>
      </c>
      <c r="D737" s="2" t="str">
        <f t="shared" si="10"/>
        <v>Error?</v>
      </c>
    </row>
    <row r="738" spans="1:4" x14ac:dyDescent="0.2">
      <c r="A738" s="5">
        <v>677</v>
      </c>
      <c r="B738" s="138">
        <f>'Expenditures 15-22'!C59</f>
        <v>140726</v>
      </c>
      <c r="D738" s="2" t="str">
        <f t="shared" si="10"/>
        <v>Error?</v>
      </c>
    </row>
    <row r="739" spans="1:4" x14ac:dyDescent="0.2">
      <c r="A739" s="5">
        <v>678</v>
      </c>
      <c r="B739" s="138">
        <f>'Expenditures 15-22'!C60</f>
        <v>81556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155909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378191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104966</v>
      </c>
      <c r="D754" s="2" t="str">
        <f t="shared" si="10"/>
        <v>Error?</v>
      </c>
    </row>
    <row r="755" spans="1:4" x14ac:dyDescent="0.2">
      <c r="A755" s="5">
        <v>694</v>
      </c>
      <c r="B755" s="138">
        <f>'Expenditures 15-22'!C74</f>
        <v>2150845</v>
      </c>
      <c r="C755" s="2" t="s">
        <v>573</v>
      </c>
      <c r="D755" s="2" t="str">
        <f t="shared" si="10"/>
        <v>Error?</v>
      </c>
    </row>
    <row r="756" spans="1:4" x14ac:dyDescent="0.2">
      <c r="A756" s="5">
        <v>695</v>
      </c>
      <c r="B756" s="138">
        <f>'Expenditures 15-22'!C75</f>
        <v>171954</v>
      </c>
      <c r="D756" s="2" t="str">
        <f t="shared" si="10"/>
        <v>Error?</v>
      </c>
    </row>
    <row r="757" spans="1:4" x14ac:dyDescent="0.2">
      <c r="A757" s="5">
        <v>696</v>
      </c>
      <c r="B757" s="138">
        <f>'Expenditures 15-22'!C114</f>
        <v>8015682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859365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27708</v>
      </c>
      <c r="D774" s="2" t="str">
        <f t="shared" si="11"/>
        <v>Error?</v>
      </c>
    </row>
    <row r="775" spans="1:4" x14ac:dyDescent="0.2">
      <c r="A775" s="5">
        <v>714</v>
      </c>
      <c r="B775" s="138">
        <f>'Expenditures 15-22'!D13</f>
        <v>108076</v>
      </c>
      <c r="D775" s="2" t="str">
        <f t="shared" si="11"/>
        <v>Error?</v>
      </c>
    </row>
    <row r="776" spans="1:4" x14ac:dyDescent="0.2">
      <c r="A776" s="5">
        <v>715</v>
      </c>
      <c r="B776" s="138">
        <f>'Expenditures 15-22'!D14</f>
        <v>62037</v>
      </c>
      <c r="D776" s="2" t="str">
        <f t="shared" si="11"/>
        <v>Error?</v>
      </c>
    </row>
    <row r="777" spans="1:4" x14ac:dyDescent="0.2">
      <c r="A777" s="5">
        <v>716</v>
      </c>
      <c r="B777" s="138">
        <f>'Expenditures 15-22'!D15</f>
        <v>197</v>
      </c>
      <c r="D777" s="2" t="str">
        <f t="shared" si="11"/>
        <v>Error?</v>
      </c>
    </row>
    <row r="778" spans="1:4" x14ac:dyDescent="0.2">
      <c r="A778" s="5">
        <v>717</v>
      </c>
      <c r="B778" s="138">
        <f>'Expenditures 15-22'!D33</f>
        <v>1402353</v>
      </c>
      <c r="C778" s="2" t="s">
        <v>573</v>
      </c>
      <c r="D778" s="2" t="str">
        <f t="shared" si="11"/>
        <v>Error?</v>
      </c>
    </row>
    <row r="779" spans="1:4" x14ac:dyDescent="0.2">
      <c r="A779" s="5">
        <v>718</v>
      </c>
      <c r="B779" s="138">
        <f>'Expenditures 15-22'!D36</f>
        <v>41824</v>
      </c>
      <c r="D779" s="2" t="str">
        <f t="shared" si="11"/>
        <v>Error?</v>
      </c>
    </row>
    <row r="780" spans="1:4" x14ac:dyDescent="0.2">
      <c r="A780" s="5">
        <v>719</v>
      </c>
      <c r="B780" s="138">
        <f>'Expenditures 15-22'!D37</f>
        <v>108132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59519</v>
      </c>
      <c r="D784" s="2" t="str">
        <f t="shared" si="11"/>
        <v>Error?</v>
      </c>
    </row>
    <row r="785" spans="1:4" x14ac:dyDescent="0.2">
      <c r="A785" s="5">
        <v>724</v>
      </c>
      <c r="B785" s="138">
        <f>'Expenditures 15-22'!D42</f>
        <v>209475</v>
      </c>
      <c r="C785" s="2" t="s">
        <v>573</v>
      </c>
      <c r="D785" s="2" t="str">
        <f t="shared" si="11"/>
        <v>Error?</v>
      </c>
    </row>
    <row r="786" spans="1:4" x14ac:dyDescent="0.2">
      <c r="A786" s="5">
        <v>725</v>
      </c>
      <c r="B786" s="138">
        <f>'Expenditures 15-22'!D44</f>
        <v>7704</v>
      </c>
      <c r="D786" s="2" t="str">
        <f t="shared" si="11"/>
        <v>Error?</v>
      </c>
    </row>
    <row r="787" spans="1:4" x14ac:dyDescent="0.2">
      <c r="A787" s="5">
        <v>726</v>
      </c>
      <c r="B787" s="138">
        <f>'Expenditures 15-22'!D45</f>
        <v>9314</v>
      </c>
      <c r="D787" s="2" t="str">
        <f t="shared" si="11"/>
        <v>Error?</v>
      </c>
    </row>
    <row r="788" spans="1:4" x14ac:dyDescent="0.2">
      <c r="A788" s="5">
        <v>727</v>
      </c>
      <c r="B788" s="138">
        <f>'Expenditures 15-22'!D46</f>
        <v>2441</v>
      </c>
      <c r="D788" s="2" t="str">
        <f t="shared" si="11"/>
        <v>Error?</v>
      </c>
    </row>
    <row r="789" spans="1:4" x14ac:dyDescent="0.2">
      <c r="A789" s="5">
        <v>728</v>
      </c>
      <c r="B789" s="138">
        <f>'Expenditures 15-22'!D47</f>
        <v>19459</v>
      </c>
      <c r="C789" s="2" t="s">
        <v>573</v>
      </c>
      <c r="D789" s="2" t="str">
        <f t="shared" si="11"/>
        <v>Error?</v>
      </c>
    </row>
    <row r="790" spans="1:4" x14ac:dyDescent="0.2">
      <c r="A790" s="5">
        <v>729</v>
      </c>
      <c r="B790" s="138">
        <f>'Expenditures 15-22'!D49</f>
        <v>23473</v>
      </c>
      <c r="D790" s="2" t="str">
        <f t="shared" si="11"/>
        <v>Error?</v>
      </c>
    </row>
    <row r="791" spans="1:4" x14ac:dyDescent="0.2">
      <c r="A791" s="5">
        <v>730</v>
      </c>
      <c r="B791" s="138">
        <f>'Expenditures 15-22'!D50</f>
        <v>58366</v>
      </c>
      <c r="D791" s="2" t="str">
        <f t="shared" si="11"/>
        <v>Error?</v>
      </c>
    </row>
    <row r="792" spans="1:4" x14ac:dyDescent="0.2">
      <c r="A792" s="5">
        <v>731</v>
      </c>
      <c r="B792" s="138">
        <f>'Expenditures 15-22'!D53</f>
        <v>81839</v>
      </c>
      <c r="C792" s="2" t="s">
        <v>573</v>
      </c>
      <c r="D792" s="2" t="str">
        <f t="shared" si="11"/>
        <v>Error?</v>
      </c>
    </row>
    <row r="793" spans="1:4" x14ac:dyDescent="0.2">
      <c r="A793" s="5">
        <v>732</v>
      </c>
      <c r="B793" s="138">
        <f>'Expenditures 15-22'!D55</f>
        <v>106539</v>
      </c>
      <c r="D793" s="2" t="str">
        <f t="shared" si="11"/>
        <v>Error?</v>
      </c>
    </row>
    <row r="794" spans="1:4" x14ac:dyDescent="0.2">
      <c r="A794" s="5">
        <v>733</v>
      </c>
      <c r="B794" s="138">
        <f>'Expenditures 15-22'!D56</f>
        <v>15007</v>
      </c>
      <c r="D794" s="2" t="str">
        <f t="shared" si="11"/>
        <v>Error?</v>
      </c>
    </row>
    <row r="795" spans="1:4" x14ac:dyDescent="0.2">
      <c r="A795" s="5">
        <v>734</v>
      </c>
      <c r="B795" s="138">
        <f>'Expenditures 15-22'!D57</f>
        <v>121546</v>
      </c>
      <c r="C795" s="2" t="s">
        <v>573</v>
      </c>
      <c r="D795" s="2" t="str">
        <f t="shared" si="11"/>
        <v>Error?</v>
      </c>
    </row>
    <row r="796" spans="1:4" x14ac:dyDescent="0.2">
      <c r="A796" s="5">
        <v>735</v>
      </c>
      <c r="B796" s="138">
        <f>'Expenditures 15-22'!D59</f>
        <v>43558</v>
      </c>
      <c r="D796" s="2" t="str">
        <f t="shared" si="11"/>
        <v>Error?</v>
      </c>
    </row>
    <row r="797" spans="1:4" x14ac:dyDescent="0.2">
      <c r="A797" s="5">
        <v>736</v>
      </c>
      <c r="B797" s="138">
        <f>'Expenditures 15-22'!D60</f>
        <v>17514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61432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122504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24403</v>
      </c>
      <c r="D812" s="2" t="str">
        <f t="shared" si="11"/>
        <v>Error?</v>
      </c>
    </row>
    <row r="813" spans="1:4" x14ac:dyDescent="0.2">
      <c r="A813" s="5">
        <v>752</v>
      </c>
      <c r="B813" s="138">
        <f>'Expenditures 15-22'!D74</f>
        <v>579226</v>
      </c>
      <c r="C813" s="2" t="s">
        <v>573</v>
      </c>
      <c r="D813" s="2" t="str">
        <f t="shared" si="11"/>
        <v>Error?</v>
      </c>
    </row>
    <row r="814" spans="1:4" x14ac:dyDescent="0.2">
      <c r="A814" s="5">
        <v>753</v>
      </c>
      <c r="B814" s="138">
        <f>'Expenditures 15-22'!D75</f>
        <v>39326</v>
      </c>
      <c r="D814" s="2" t="str">
        <f t="shared" si="11"/>
        <v>Error?</v>
      </c>
    </row>
    <row r="815" spans="1:4" x14ac:dyDescent="0.2">
      <c r="A815" s="5">
        <v>754</v>
      </c>
      <c r="B815" s="138">
        <f>'Expenditures 15-22'!D114</f>
        <v>2020905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62446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50563</v>
      </c>
      <c r="D832" s="2" t="str">
        <f t="shared" si="12"/>
        <v>Error?</v>
      </c>
    </row>
    <row r="833" spans="1:4" x14ac:dyDescent="0.2">
      <c r="A833" s="5">
        <v>772</v>
      </c>
      <c r="B833" s="138">
        <f>'Expenditures 15-22'!E13</f>
        <v>8881</v>
      </c>
      <c r="D833" s="2" t="str">
        <f t="shared" si="12"/>
        <v>Error?</v>
      </c>
    </row>
    <row r="834" spans="1:4" x14ac:dyDescent="0.2">
      <c r="A834" s="5">
        <v>773</v>
      </c>
      <c r="B834" s="138">
        <f>'Expenditures 15-22'!E14</f>
        <v>103461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299958</v>
      </c>
      <c r="C836" s="2" t="s">
        <v>573</v>
      </c>
      <c r="D836" s="2" t="str">
        <f t="shared" si="12"/>
        <v>Error?</v>
      </c>
    </row>
    <row r="837" spans="1:4" x14ac:dyDescent="0.2">
      <c r="A837" s="5">
        <v>776</v>
      </c>
      <c r="B837" s="138">
        <f>'Expenditures 15-22'!E36</f>
        <v>1974</v>
      </c>
      <c r="D837" s="2" t="str">
        <f t="shared" si="12"/>
        <v>Error?</v>
      </c>
    </row>
    <row r="838" spans="1:4" x14ac:dyDescent="0.2">
      <c r="A838" s="5">
        <v>777</v>
      </c>
      <c r="B838" s="138">
        <f>'Expenditures 15-22'!E37</f>
        <v>3396</v>
      </c>
      <c r="D838" s="2" t="str">
        <f t="shared" si="12"/>
        <v>Error?</v>
      </c>
    </row>
    <row r="839" spans="1:4" x14ac:dyDescent="0.2">
      <c r="A839" s="5">
        <v>778</v>
      </c>
      <c r="B839" s="138">
        <f>'Expenditures 15-22'!E38</f>
        <v>68852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108</v>
      </c>
      <c r="D842" s="2" t="str">
        <f t="shared" si="12"/>
        <v>Error?</v>
      </c>
    </row>
    <row r="843" spans="1:4" x14ac:dyDescent="0.2">
      <c r="A843" s="5">
        <v>782</v>
      </c>
      <c r="B843" s="138">
        <f>'Expenditures 15-22'!E42</f>
        <v>74330</v>
      </c>
      <c r="C843" s="2" t="s">
        <v>573</v>
      </c>
      <c r="D843" s="2" t="str">
        <f t="shared" si="12"/>
        <v>Error?</v>
      </c>
    </row>
    <row r="844" spans="1:4" x14ac:dyDescent="0.2">
      <c r="A844" s="5">
        <v>783</v>
      </c>
      <c r="B844" s="138">
        <f>'Expenditures 15-22'!E44</f>
        <v>52658</v>
      </c>
      <c r="D844" s="2" t="str">
        <f t="shared" si="12"/>
        <v>Error?</v>
      </c>
    </row>
    <row r="845" spans="1:4" x14ac:dyDescent="0.2">
      <c r="A845" s="5">
        <v>784</v>
      </c>
      <c r="B845" s="138">
        <f>'Expenditures 15-22'!E45</f>
        <v>4767</v>
      </c>
      <c r="D845" s="2" t="str">
        <f t="shared" si="12"/>
        <v>Error?</v>
      </c>
    </row>
    <row r="846" spans="1:4" x14ac:dyDescent="0.2">
      <c r="A846" s="5">
        <v>785</v>
      </c>
      <c r="B846" s="138">
        <f>'Expenditures 15-22'!E46</f>
        <v>2549</v>
      </c>
      <c r="D846" s="2" t="str">
        <f t="shared" si="12"/>
        <v>Error?</v>
      </c>
    </row>
    <row r="847" spans="1:4" x14ac:dyDescent="0.2">
      <c r="A847" s="5">
        <v>786</v>
      </c>
      <c r="B847" s="138">
        <f>'Expenditures 15-22'!E47</f>
        <v>59974</v>
      </c>
      <c r="C847" s="2" t="s">
        <v>573</v>
      </c>
      <c r="D847" s="2" t="str">
        <f t="shared" si="12"/>
        <v>Error?</v>
      </c>
    </row>
    <row r="848" spans="1:4" x14ac:dyDescent="0.2">
      <c r="A848" s="5">
        <v>787</v>
      </c>
      <c r="B848" s="138">
        <f>'Expenditures 15-22'!E49</f>
        <v>46364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50603</v>
      </c>
      <c r="C850" s="2" t="s">
        <v>573</v>
      </c>
      <c r="D850" s="2" t="str">
        <f t="shared" si="12"/>
        <v>Error?</v>
      </c>
    </row>
    <row r="851" spans="1:4" x14ac:dyDescent="0.2">
      <c r="A851" s="5">
        <v>790</v>
      </c>
      <c r="B851" s="138">
        <f>'Expenditures 15-22'!E55</f>
        <v>9195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9195</v>
      </c>
      <c r="C853" s="2" t="s">
        <v>573</v>
      </c>
      <c r="D853" s="2" t="str">
        <f t="shared" si="12"/>
        <v>Error?</v>
      </c>
    </row>
    <row r="854" spans="1:4" x14ac:dyDescent="0.2">
      <c r="A854" s="5">
        <v>793</v>
      </c>
      <c r="B854" s="138">
        <f>'Expenditures 15-22'!E59</f>
        <v>2727</v>
      </c>
      <c r="D854" s="2" t="str">
        <f t="shared" si="12"/>
        <v>Error?</v>
      </c>
    </row>
    <row r="855" spans="1:4" x14ac:dyDescent="0.2">
      <c r="A855" s="5">
        <v>794</v>
      </c>
      <c r="B855" s="138">
        <f>'Expenditures 15-22'!E60</f>
        <v>9346</v>
      </c>
      <c r="D855" s="2" t="str">
        <f t="shared" si="12"/>
        <v>Error?</v>
      </c>
    </row>
    <row r="856" spans="1:4" x14ac:dyDescent="0.2">
      <c r="A856" s="5">
        <v>795</v>
      </c>
      <c r="B856" s="138">
        <f>'Expenditures 15-22'!E61</f>
        <v>289362</v>
      </c>
      <c r="D856" s="2" t="str">
        <f t="shared" si="12"/>
        <v>Error?</v>
      </c>
    </row>
    <row r="857" spans="1:4" x14ac:dyDescent="0.2">
      <c r="A857" s="5">
        <v>796</v>
      </c>
      <c r="B857" s="138">
        <f>'Expenditures 15-22'!E62</f>
        <v>28578</v>
      </c>
      <c r="D857" s="2" t="str">
        <f t="shared" si="12"/>
        <v>Error?</v>
      </c>
    </row>
    <row r="858" spans="1:4" x14ac:dyDescent="0.2">
      <c r="A858" s="5">
        <v>797</v>
      </c>
      <c r="B858" s="138">
        <f>'Expenditures 15-22'!E63</f>
        <v>483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330496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22341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22341</v>
      </c>
      <c r="C869" s="2" t="s">
        <v>573</v>
      </c>
      <c r="D869" s="2" t="str">
        <f t="shared" si="12"/>
        <v>Error?</v>
      </c>
    </row>
    <row r="870" spans="1:4" x14ac:dyDescent="0.2">
      <c r="A870" s="5">
        <v>809</v>
      </c>
      <c r="B870" s="138">
        <f>'Expenditures 15-22'!E73</f>
        <v>2836</v>
      </c>
      <c r="D870" s="2" t="str">
        <f t="shared" si="12"/>
        <v>Error?</v>
      </c>
    </row>
    <row r="871" spans="1:4" x14ac:dyDescent="0.2">
      <c r="A871" s="5">
        <v>810</v>
      </c>
      <c r="B871" s="138">
        <f>'Expenditures 15-22'!E74</f>
        <v>549775</v>
      </c>
      <c r="C871" s="2" t="s">
        <v>573</v>
      </c>
      <c r="D871" s="2" t="str">
        <f t="shared" si="12"/>
        <v>Error?</v>
      </c>
    </row>
    <row r="872" spans="1:4" x14ac:dyDescent="0.2">
      <c r="A872" s="5">
        <v>811</v>
      </c>
      <c r="B872" s="138">
        <f>'Expenditures 15-22'!E75</f>
        <v>27736</v>
      </c>
      <c r="D872" s="2" t="str">
        <f t="shared" si="12"/>
        <v>Error?</v>
      </c>
    </row>
    <row r="873" spans="1:4" x14ac:dyDescent="0.2">
      <c r="A873" s="5">
        <v>812</v>
      </c>
      <c r="B873" s="138">
        <f>'Expenditures 15-22'!E114</f>
        <v>1395149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111911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8252</v>
      </c>
      <c r="D890" s="2" t="str">
        <f t="shared" si="12"/>
        <v>Error?</v>
      </c>
    </row>
    <row r="891" spans="1:4" x14ac:dyDescent="0.2">
      <c r="A891" s="5">
        <v>830</v>
      </c>
      <c r="B891" s="138">
        <f>'Expenditures 15-22'!F13</f>
        <v>14628</v>
      </c>
      <c r="D891" s="2" t="str">
        <f t="shared" si="12"/>
        <v>Error?</v>
      </c>
    </row>
    <row r="892" spans="1:4" x14ac:dyDescent="0.2">
      <c r="A892" s="5">
        <v>831</v>
      </c>
      <c r="B892" s="138">
        <f>'Expenditures 15-22'!F14</f>
        <v>49756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259824</v>
      </c>
      <c r="C894" s="2" t="s">
        <v>573</v>
      </c>
      <c r="D894" s="2" t="str">
        <f t="shared" si="12"/>
        <v>Error?</v>
      </c>
    </row>
    <row r="895" spans="1:4" x14ac:dyDescent="0.2">
      <c r="A895" s="5">
        <v>834</v>
      </c>
      <c r="B895" s="138">
        <f>'Expenditures 15-22'!F36</f>
        <v>734</v>
      </c>
      <c r="D895" s="2" t="str">
        <f t="shared" ref="D895:D958" si="13">IF(ISBLANK(B895),"OK",IF(A895-B895=0,"OK","Error?"))</f>
        <v>Error?</v>
      </c>
    </row>
    <row r="896" spans="1:4" x14ac:dyDescent="0.2">
      <c r="A896" s="5">
        <v>835</v>
      </c>
      <c r="B896" s="138">
        <f>'Expenditures 15-22'!F37</f>
        <v>1394</v>
      </c>
      <c r="D896" s="2" t="str">
        <f t="shared" si="13"/>
        <v>Error?</v>
      </c>
    </row>
    <row r="897" spans="1:4" x14ac:dyDescent="0.2">
      <c r="A897" s="5">
        <v>836</v>
      </c>
      <c r="B897" s="138">
        <f>'Expenditures 15-22'!F38</f>
        <v>5153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7281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14052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14052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41568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41568</v>
      </c>
      <c r="C911" s="2" t="s">
        <v>573</v>
      </c>
      <c r="D911" s="2" t="str">
        <f t="shared" si="13"/>
        <v>Error?</v>
      </c>
    </row>
    <row r="912" spans="1:4" x14ac:dyDescent="0.2">
      <c r="A912" s="5">
        <v>851</v>
      </c>
      <c r="B912" s="138">
        <f>'Expenditures 15-22'!F59</f>
        <v>3008</v>
      </c>
      <c r="D912" s="2" t="str">
        <f t="shared" si="13"/>
        <v>Error?</v>
      </c>
    </row>
    <row r="913" spans="1:4" x14ac:dyDescent="0.2">
      <c r="A913" s="5">
        <v>852</v>
      </c>
      <c r="B913" s="138">
        <f>'Expenditures 15-22'!F60</f>
        <v>1938</v>
      </c>
      <c r="D913" s="2" t="str">
        <f t="shared" si="13"/>
        <v>Error?</v>
      </c>
    </row>
    <row r="914" spans="1:4" x14ac:dyDescent="0.2">
      <c r="A914" s="5">
        <v>853</v>
      </c>
      <c r="B914" s="138">
        <f>'Expenditures 15-22'!F61</f>
        <v>4112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253572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262630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325531</v>
      </c>
      <c r="C929" s="2" t="s">
        <v>573</v>
      </c>
      <c r="D929" s="2" t="str">
        <f t="shared" si="13"/>
        <v>Error?</v>
      </c>
    </row>
    <row r="930" spans="1:4" x14ac:dyDescent="0.2">
      <c r="A930" s="5">
        <v>869</v>
      </c>
      <c r="B930" s="138">
        <f>'Expenditures 15-22'!F75</f>
        <v>3469</v>
      </c>
      <c r="D930" s="2" t="str">
        <f t="shared" si="13"/>
        <v>Error?</v>
      </c>
    </row>
    <row r="931" spans="1:4" x14ac:dyDescent="0.2">
      <c r="A931" s="5">
        <v>870</v>
      </c>
      <c r="B931" s="138">
        <f>'Expenditures 15-22'!F114</f>
        <v>588824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8917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13350</v>
      </c>
      <c r="D948" s="2" t="str">
        <f t="shared" si="13"/>
        <v>Error?</v>
      </c>
    </row>
    <row r="949" spans="1:4" x14ac:dyDescent="0.2">
      <c r="A949" s="5">
        <v>888</v>
      </c>
      <c r="B949" s="138">
        <f>'Expenditures 15-22'!G13</f>
        <v>2661</v>
      </c>
      <c r="D949" s="2" t="str">
        <f t="shared" si="13"/>
        <v>Error?</v>
      </c>
    </row>
    <row r="950" spans="1:4" x14ac:dyDescent="0.2">
      <c r="A950" s="5">
        <v>889</v>
      </c>
      <c r="B950" s="138">
        <f>'Expenditures 15-22'!G14</f>
        <v>8759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52212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2474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2474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21791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21791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3252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3252</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567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567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28084</v>
      </c>
      <c r="C987" s="2" t="s">
        <v>573</v>
      </c>
      <c r="D987" s="2" t="str">
        <f t="shared" si="14"/>
        <v>Error?</v>
      </c>
    </row>
    <row r="988" spans="1:4" x14ac:dyDescent="0.2">
      <c r="A988" s="5">
        <v>927</v>
      </c>
      <c r="B988" s="138">
        <f>'Expenditures 15-22'!G75</f>
        <v>960</v>
      </c>
      <c r="D988" s="2" t="str">
        <f t="shared" si="14"/>
        <v>Error?</v>
      </c>
    </row>
    <row r="989" spans="1:4" x14ac:dyDescent="0.2">
      <c r="A989" s="5">
        <v>928</v>
      </c>
      <c r="B989" s="138">
        <f>'Expenditures 15-22'!G114</f>
        <v>81256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3012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387</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387</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933</v>
      </c>
      <c r="C1024" s="2" t="s">
        <v>573</v>
      </c>
      <c r="D1024" s="2" t="str">
        <f t="shared" si="15"/>
        <v>Error?</v>
      </c>
    </row>
    <row r="1025" spans="1:4" x14ac:dyDescent="0.2">
      <c r="A1025" s="5">
        <v>964</v>
      </c>
      <c r="B1025" s="138">
        <f>'Expenditures 15-22'!H55</f>
        <v>2014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2014</v>
      </c>
      <c r="C1027" s="2" t="s">
        <v>573</v>
      </c>
      <c r="D1027" s="2" t="str">
        <f t="shared" si="15"/>
        <v>Error?</v>
      </c>
    </row>
    <row r="1028" spans="1:4" x14ac:dyDescent="0.2">
      <c r="A1028" s="5">
        <v>967</v>
      </c>
      <c r="B1028" s="138">
        <f>'Expenditures 15-22'!H59</f>
        <v>4543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4543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7877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42925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53814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4389275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196704</v>
      </c>
      <c r="C1104" s="2" t="s">
        <v>573</v>
      </c>
      <c r="D1104" s="2" t="str">
        <f t="shared" si="16"/>
        <v>Error?</v>
      </c>
    </row>
    <row r="1105" spans="1:4" x14ac:dyDescent="0.2">
      <c r="A1105" s="5">
        <v>1044</v>
      </c>
      <c r="B1105" s="138">
        <f>'Expenditures 15-22'!K13</f>
        <v>559211</v>
      </c>
      <c r="C1105" s="2" t="s">
        <v>573</v>
      </c>
      <c r="D1105" s="2" t="str">
        <f t="shared" si="16"/>
        <v>Error?</v>
      </c>
    </row>
    <row r="1106" spans="1:4" x14ac:dyDescent="0.2">
      <c r="A1106" s="5">
        <v>1045</v>
      </c>
      <c r="B1106" s="138">
        <f>'Expenditures 15-22'!K14</f>
        <v>715575</v>
      </c>
      <c r="C1106" s="2" t="s">
        <v>573</v>
      </c>
      <c r="D1106" s="2" t="str">
        <f t="shared" si="16"/>
        <v>Error?</v>
      </c>
    </row>
    <row r="1107" spans="1:4" x14ac:dyDescent="0.2">
      <c r="A1107" s="5">
        <v>1046</v>
      </c>
      <c r="B1107" s="138">
        <f>'Expenditures 15-22'!K15</f>
        <v>13842</v>
      </c>
      <c r="C1107" s="2" t="s">
        <v>573</v>
      </c>
      <c r="D1107" s="2" t="str">
        <f t="shared" si="16"/>
        <v>Error?</v>
      </c>
    </row>
    <row r="1108" spans="1:4" x14ac:dyDescent="0.2">
      <c r="A1108" s="5">
        <v>1047</v>
      </c>
      <c r="B1108" s="138">
        <f>'Expenditures 15-22'!K33</f>
        <v>7710242</v>
      </c>
      <c r="C1108" s="2" t="s">
        <v>573</v>
      </c>
      <c r="D1108" s="2" t="str">
        <f t="shared" si="16"/>
        <v>Error?</v>
      </c>
    </row>
    <row r="1109" spans="1:4" x14ac:dyDescent="0.2">
      <c r="A1109" s="5">
        <v>1048</v>
      </c>
      <c r="B1109" s="138">
        <f>'Expenditures 15-22'!K36</f>
        <v>219019</v>
      </c>
      <c r="C1109" s="2" t="s">
        <v>573</v>
      </c>
      <c r="D1109" s="2" t="str">
        <f t="shared" si="16"/>
        <v>Error?</v>
      </c>
    </row>
    <row r="1110" spans="1:4" x14ac:dyDescent="0.2">
      <c r="A1110" s="5">
        <v>1049</v>
      </c>
      <c r="B1110" s="138">
        <f>'Expenditures 15-22'!K37</f>
        <v>544842</v>
      </c>
      <c r="C1110" s="2" t="s">
        <v>573</v>
      </c>
      <c r="D1110" s="2" t="str">
        <f t="shared" si="16"/>
        <v>Error?</v>
      </c>
    </row>
    <row r="1111" spans="1:4" x14ac:dyDescent="0.2">
      <c r="A1111" s="5">
        <v>1050</v>
      </c>
      <c r="B1111" s="138">
        <f>'Expenditures 15-22'!K38</f>
        <v>76479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288248</v>
      </c>
      <c r="C1114" s="2" t="s">
        <v>573</v>
      </c>
      <c r="D1114" s="2" t="str">
        <f t="shared" si="16"/>
        <v>Error?</v>
      </c>
    </row>
    <row r="1115" spans="1:4" x14ac:dyDescent="0.2">
      <c r="A1115" s="5">
        <v>1054</v>
      </c>
      <c r="B1115" s="138">
        <f>'Expenditures 15-22'!K42</f>
        <v>1128588</v>
      </c>
      <c r="C1115" s="2" t="s">
        <v>573</v>
      </c>
      <c r="D1115" s="2" t="str">
        <f t="shared" si="16"/>
        <v>Error?</v>
      </c>
    </row>
    <row r="1116" spans="1:4" x14ac:dyDescent="0.2">
      <c r="A1116" s="5">
        <v>1055</v>
      </c>
      <c r="B1116" s="138">
        <f>'Expenditures 15-22'!K44</f>
        <v>82959</v>
      </c>
      <c r="C1116" s="2" t="s">
        <v>573</v>
      </c>
      <c r="D1116" s="2" t="str">
        <f t="shared" si="16"/>
        <v>Error?</v>
      </c>
    </row>
    <row r="1117" spans="1:4" x14ac:dyDescent="0.2">
      <c r="A1117" s="5">
        <v>1056</v>
      </c>
      <c r="B1117" s="138">
        <f>'Expenditures 15-22'!K45</f>
        <v>78744</v>
      </c>
      <c r="C1117" s="2" t="s">
        <v>573</v>
      </c>
      <c r="D1117" s="2" t="str">
        <f t="shared" si="16"/>
        <v>Error?</v>
      </c>
    </row>
    <row r="1118" spans="1:4" x14ac:dyDescent="0.2">
      <c r="A1118" s="5">
        <v>1057</v>
      </c>
      <c r="B1118" s="138">
        <f>'Expenditures 15-22'!K46</f>
        <v>11320</v>
      </c>
      <c r="C1118" s="2" t="s">
        <v>573</v>
      </c>
      <c r="D1118" s="2" t="str">
        <f t="shared" si="16"/>
        <v>Error?</v>
      </c>
    </row>
    <row r="1119" spans="1:4" x14ac:dyDescent="0.2">
      <c r="A1119" s="5">
        <v>1058</v>
      </c>
      <c r="B1119" s="138">
        <f>'Expenditures 15-22'!K47</f>
        <v>173023</v>
      </c>
      <c r="C1119" s="2" t="s">
        <v>573</v>
      </c>
      <c r="D1119" s="2" t="str">
        <f t="shared" si="16"/>
        <v>Error?</v>
      </c>
    </row>
    <row r="1120" spans="1:4" x14ac:dyDescent="0.2">
      <c r="A1120" s="5">
        <v>1059</v>
      </c>
      <c r="B1120" s="138">
        <f>'Expenditures 15-22'!K49</f>
        <v>140347</v>
      </c>
      <c r="C1120" s="2" t="s">
        <v>573</v>
      </c>
      <c r="D1120" s="2" t="str">
        <f t="shared" si="16"/>
        <v>Error?</v>
      </c>
    </row>
    <row r="1121" spans="1:4" x14ac:dyDescent="0.2">
      <c r="A1121" s="5">
        <v>1060</v>
      </c>
      <c r="B1121" s="138">
        <f>'Expenditures 15-22'!K50</f>
        <v>298607</v>
      </c>
      <c r="C1121" s="2" t="s">
        <v>573</v>
      </c>
      <c r="D1121" s="2" t="str">
        <f t="shared" si="16"/>
        <v>Error?</v>
      </c>
    </row>
    <row r="1122" spans="1:4" x14ac:dyDescent="0.2">
      <c r="A1122" s="5">
        <v>1061</v>
      </c>
      <c r="B1122" s="138">
        <f>'Expenditures 15-22'!K53</f>
        <v>444126</v>
      </c>
      <c r="C1122" s="2" t="s">
        <v>573</v>
      </c>
      <c r="D1122" s="2" t="str">
        <f t="shared" si="16"/>
        <v>Error?</v>
      </c>
    </row>
    <row r="1123" spans="1:4" x14ac:dyDescent="0.2">
      <c r="A1123" s="5">
        <v>1062</v>
      </c>
      <c r="B1123" s="138">
        <f>'Expenditures 15-22'!K55</f>
        <v>560886</v>
      </c>
      <c r="C1123" s="2" t="s">
        <v>573</v>
      </c>
      <c r="D1123" s="2" t="str">
        <f t="shared" si="16"/>
        <v>Error?</v>
      </c>
    </row>
    <row r="1124" spans="1:4" x14ac:dyDescent="0.2">
      <c r="A1124" s="5">
        <v>1063</v>
      </c>
      <c r="B1124" s="138">
        <f>'Expenditures 15-22'!K56</f>
        <v>81238</v>
      </c>
      <c r="C1124" s="2" t="s">
        <v>573</v>
      </c>
      <c r="D1124" s="2" t="str">
        <f t="shared" si="16"/>
        <v>Error?</v>
      </c>
    </row>
    <row r="1125" spans="1:4" x14ac:dyDescent="0.2">
      <c r="A1125" s="5">
        <v>1064</v>
      </c>
      <c r="B1125" s="138">
        <f>'Expenditures 15-22'!K57</f>
        <v>642124</v>
      </c>
      <c r="C1125" s="2" t="s">
        <v>573</v>
      </c>
      <c r="D1125" s="2" t="str">
        <f t="shared" si="16"/>
        <v>Error?</v>
      </c>
    </row>
    <row r="1126" spans="1:4" x14ac:dyDescent="0.2">
      <c r="A1126" s="5">
        <v>1065</v>
      </c>
      <c r="B1126" s="138">
        <f>'Expenditures 15-22'!K59</f>
        <v>194562</v>
      </c>
      <c r="C1126" s="2" t="s">
        <v>573</v>
      </c>
      <c r="D1126" s="2" t="str">
        <f t="shared" si="16"/>
        <v>Error?</v>
      </c>
    </row>
    <row r="1127" spans="1:4" x14ac:dyDescent="0.2">
      <c r="A1127" s="5">
        <v>1066</v>
      </c>
      <c r="B1127" s="138">
        <f>'Expenditures 15-22'!K60</f>
        <v>110921</v>
      </c>
      <c r="C1127" s="2" t="s">
        <v>573</v>
      </c>
      <c r="D1127" s="2" t="str">
        <f t="shared" si="16"/>
        <v>Error?</v>
      </c>
    </row>
    <row r="1128" spans="1:4" x14ac:dyDescent="0.2">
      <c r="A1128" s="5">
        <v>1067</v>
      </c>
      <c r="B1128" s="138">
        <f>'Expenditures 15-22'!K61</f>
        <v>293474</v>
      </c>
      <c r="C1128" s="2" t="s">
        <v>573</v>
      </c>
      <c r="D1128" s="2" t="str">
        <f t="shared" si="16"/>
        <v>Error?</v>
      </c>
    </row>
    <row r="1129" spans="1:4" x14ac:dyDescent="0.2">
      <c r="A1129" s="5">
        <v>1068</v>
      </c>
      <c r="B1129" s="138">
        <f>'Expenditures 15-22'!K62</f>
        <v>28578</v>
      </c>
      <c r="C1129" s="2" t="s">
        <v>573</v>
      </c>
      <c r="D1129" s="2" t="str">
        <f t="shared" si="16"/>
        <v>Error?</v>
      </c>
    </row>
    <row r="1130" spans="1:4" x14ac:dyDescent="0.2">
      <c r="A1130" s="5">
        <v>1069</v>
      </c>
      <c r="B1130" s="138">
        <f>'Expenditures 15-22'!K63</f>
        <v>471396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1098931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22341</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22341</v>
      </c>
      <c r="C1141" s="2" t="s">
        <v>573</v>
      </c>
      <c r="D1141" s="2" t="str">
        <f t="shared" si="16"/>
        <v>Error?</v>
      </c>
    </row>
    <row r="1142" spans="1:4" x14ac:dyDescent="0.2">
      <c r="A1142" s="5">
        <v>1081</v>
      </c>
      <c r="B1142" s="138">
        <f>'Expenditures 15-22'!K73</f>
        <v>132205</v>
      </c>
      <c r="C1142" s="2" t="s">
        <v>573</v>
      </c>
      <c r="D1142" s="2" t="str">
        <f t="shared" si="16"/>
        <v>Error?</v>
      </c>
    </row>
    <row r="1143" spans="1:4" x14ac:dyDescent="0.2">
      <c r="A1143" s="5">
        <v>1082</v>
      </c>
      <c r="B1143" s="138">
        <f>'Expenditures 15-22'!K74</f>
        <v>3641338</v>
      </c>
      <c r="C1143" s="2" t="s">
        <v>573</v>
      </c>
      <c r="D1143" s="2" t="str">
        <f t="shared" si="16"/>
        <v>Error?</v>
      </c>
    </row>
    <row r="1144" spans="1:4" x14ac:dyDescent="0.2">
      <c r="A1144" s="5">
        <v>1083</v>
      </c>
      <c r="B1144" s="138">
        <f>'Expenditures 15-22'!K75</f>
        <v>243445</v>
      </c>
      <c r="C1144" s="2" t="s">
        <v>573</v>
      </c>
      <c r="D1144" s="2" t="str">
        <f t="shared" si="16"/>
        <v>Error?</v>
      </c>
    </row>
    <row r="1145" spans="1:4" x14ac:dyDescent="0.2">
      <c r="A1145" s="5">
        <v>1084</v>
      </c>
      <c r="B1145" s="138">
        <f>'Expenditures 15-22'!K102</f>
        <v>560605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12155630</v>
      </c>
      <c r="C1152" s="2" t="s">
        <v>573</v>
      </c>
      <c r="D1152" s="2" t="str">
        <f t="shared" si="17"/>
        <v>Error?</v>
      </c>
    </row>
    <row r="1153" spans="1:4" x14ac:dyDescent="0.2">
      <c r="A1153" s="5">
        <v>1092</v>
      </c>
      <c r="B1153" s="138">
        <f>'Expenditures 15-22'!K115</f>
        <v>73139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214264</v>
      </c>
      <c r="D1221" s="2" t="str">
        <f t="shared" si="18"/>
        <v>Error?</v>
      </c>
    </row>
    <row r="1222" spans="1:4" x14ac:dyDescent="0.2">
      <c r="A1222" s="10">
        <v>1161</v>
      </c>
      <c r="D1222" s="2" t="str">
        <f t="shared" si="18"/>
        <v>OK</v>
      </c>
    </row>
    <row r="1223" spans="1:4" x14ac:dyDescent="0.2">
      <c r="A1223" s="5">
        <v>1162</v>
      </c>
      <c r="B1223" s="138">
        <f>'Expenditures 15-22'!C127</f>
        <v>214264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214264</v>
      </c>
      <c r="C1225" s="2" t="s">
        <v>573</v>
      </c>
      <c r="D1225" s="2" t="str">
        <f t="shared" si="18"/>
        <v>Error?</v>
      </c>
    </row>
    <row r="1226" spans="1:4" x14ac:dyDescent="0.2">
      <c r="A1226" s="5">
        <v>1165</v>
      </c>
      <c r="B1226" s="138">
        <f>'Expenditures 15-22'!C151</f>
        <v>214264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39464</v>
      </c>
      <c r="D1229" s="2" t="str">
        <f t="shared" si="18"/>
        <v>Error?</v>
      </c>
    </row>
    <row r="1230" spans="1:4" x14ac:dyDescent="0.2">
      <c r="A1230" s="10">
        <v>1169</v>
      </c>
      <c r="D1230" s="2" t="str">
        <f t="shared" si="18"/>
        <v>OK</v>
      </c>
    </row>
    <row r="1231" spans="1:4" x14ac:dyDescent="0.2">
      <c r="A1231" s="5">
        <v>1170</v>
      </c>
      <c r="B1231" s="138">
        <f>'Expenditures 15-22'!D127</f>
        <v>39464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39464</v>
      </c>
      <c r="C1233" s="2" t="s">
        <v>573</v>
      </c>
      <c r="D1233" s="2" t="str">
        <f t="shared" si="18"/>
        <v>Error?</v>
      </c>
    </row>
    <row r="1234" spans="1:4" x14ac:dyDescent="0.2">
      <c r="A1234" s="5">
        <v>1173</v>
      </c>
      <c r="B1234" s="138">
        <f>'Expenditures 15-22'!D151</f>
        <v>39464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1698008</v>
      </c>
      <c r="D1237" s="2" t="str">
        <f t="shared" si="18"/>
        <v>Error?</v>
      </c>
    </row>
    <row r="1238" spans="1:4" x14ac:dyDescent="0.2">
      <c r="A1238" s="10">
        <v>1177</v>
      </c>
      <c r="D1238" s="2" t="str">
        <f t="shared" si="18"/>
        <v>OK</v>
      </c>
    </row>
    <row r="1239" spans="1:4" x14ac:dyDescent="0.2">
      <c r="A1239" s="5">
        <v>1178</v>
      </c>
      <c r="B1239" s="138">
        <f>'Expenditures 15-22'!E127</f>
        <v>1698008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1698008</v>
      </c>
      <c r="C1241" s="2" t="s">
        <v>573</v>
      </c>
      <c r="D1241" s="2" t="str">
        <f t="shared" si="18"/>
        <v>Error?</v>
      </c>
    </row>
    <row r="1242" spans="1:4" x14ac:dyDescent="0.2">
      <c r="A1242" s="5">
        <v>1181</v>
      </c>
      <c r="B1242" s="138">
        <f>'Expenditures 15-22'!E151</f>
        <v>1698008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614530</v>
      </c>
      <c r="D1245" s="2" t="str">
        <f t="shared" si="18"/>
        <v>Error?</v>
      </c>
    </row>
    <row r="1246" spans="1:4" x14ac:dyDescent="0.2">
      <c r="A1246" s="10">
        <v>1185</v>
      </c>
      <c r="D1246" s="2" t="str">
        <f t="shared" si="18"/>
        <v>OK</v>
      </c>
    </row>
    <row r="1247" spans="1:4" x14ac:dyDescent="0.2">
      <c r="A1247" s="5">
        <v>1186</v>
      </c>
      <c r="B1247" s="138">
        <f>'Expenditures 15-22'!F127</f>
        <v>614530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614530</v>
      </c>
      <c r="C1249" s="2" t="s">
        <v>573</v>
      </c>
      <c r="D1249" s="2" t="str">
        <f t="shared" si="18"/>
        <v>Error?</v>
      </c>
    </row>
    <row r="1250" spans="1:4" x14ac:dyDescent="0.2">
      <c r="A1250" s="5">
        <v>1189</v>
      </c>
      <c r="B1250" s="138">
        <f>'Expenditures 15-22'!F151</f>
        <v>614530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49803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49803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49803</v>
      </c>
      <c r="C1258" s="2" t="s">
        <v>573</v>
      </c>
      <c r="D1258" s="2" t="str">
        <f t="shared" si="18"/>
        <v>Error?</v>
      </c>
    </row>
    <row r="1259" spans="1:4" x14ac:dyDescent="0.2">
      <c r="A1259" s="5">
        <v>1198</v>
      </c>
      <c r="B1259" s="138">
        <f>'Expenditures 15-22'!G151</f>
        <v>49803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2616069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2616069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2616069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2616069</v>
      </c>
      <c r="C1288" s="2" t="s">
        <v>573</v>
      </c>
      <c r="D1288" s="2" t="str">
        <f t="shared" si="19"/>
        <v>Error?</v>
      </c>
    </row>
    <row r="1289" spans="1:4" x14ac:dyDescent="0.2">
      <c r="A1289" s="5">
        <v>1228</v>
      </c>
      <c r="B1289" s="138">
        <f>'Expenditures 15-22'!K152</f>
        <v>-667547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122297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1826102</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1949799</v>
      </c>
      <c r="C1317" s="2" t="s">
        <v>573</v>
      </c>
      <c r="D1317" s="2" t="str">
        <f t="shared" si="19"/>
        <v>Error?</v>
      </c>
    </row>
    <row r="1318" spans="1:4" x14ac:dyDescent="0.2">
      <c r="A1318" s="5">
        <v>1257</v>
      </c>
      <c r="B1318" s="138">
        <f>'Expenditures 15-22'!H174</f>
        <v>1949799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122297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1826102</v>
      </c>
      <c r="C1329" s="2" t="s">
        <v>573</v>
      </c>
      <c r="D1329" s="2" t="str">
        <f t="shared" si="19"/>
        <v>Error?</v>
      </c>
    </row>
    <row r="1330" spans="1:4" x14ac:dyDescent="0.2">
      <c r="A1330" s="5">
        <v>1269</v>
      </c>
      <c r="B1330" s="138">
        <f>'Expenditures 15-22'!K171</f>
        <v>1400</v>
      </c>
      <c r="C1330" s="2" t="s">
        <v>573</v>
      </c>
      <c r="D1330" s="2" t="str">
        <f t="shared" si="19"/>
        <v>Error?</v>
      </c>
    </row>
    <row r="1331" spans="1:4" x14ac:dyDescent="0.2">
      <c r="A1331" s="5">
        <v>1270</v>
      </c>
      <c r="B1331" s="138">
        <f>'Expenditures 15-22'!K172</f>
        <v>1949799</v>
      </c>
      <c r="C1331" s="2" t="s">
        <v>573</v>
      </c>
      <c r="D1331" s="2" t="str">
        <f t="shared" si="19"/>
        <v>Error?</v>
      </c>
    </row>
    <row r="1332" spans="1:4" x14ac:dyDescent="0.2">
      <c r="A1332" s="5">
        <v>1271</v>
      </c>
      <c r="B1332" s="138">
        <f>'Expenditures 15-22'!K174</f>
        <v>1949799</v>
      </c>
      <c r="C1332" s="2" t="s">
        <v>573</v>
      </c>
      <c r="D1332" s="2" t="str">
        <f t="shared" si="19"/>
        <v>Error?</v>
      </c>
    </row>
    <row r="1333" spans="1:4" x14ac:dyDescent="0.2">
      <c r="A1333" s="5">
        <v>1272</v>
      </c>
      <c r="B1333" s="138">
        <f>'Expenditures 15-22'!K175</f>
        <v>-795771</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789487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789487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789487</v>
      </c>
      <c r="C1353" s="2" t="s">
        <v>573</v>
      </c>
      <c r="D1353" s="2" t="str">
        <f t="shared" si="20"/>
        <v>Error?</v>
      </c>
    </row>
    <row r="1354" spans="1:4" x14ac:dyDescent="0.2">
      <c r="A1354" s="5">
        <v>1293</v>
      </c>
      <c r="B1354" s="138">
        <f>'Expenditures 15-22'!F182</f>
        <v>19299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19299</v>
      </c>
      <c r="C1358" s="2" t="s">
        <v>573</v>
      </c>
      <c r="D1358" s="2" t="str">
        <f t="shared" si="20"/>
        <v>Error?</v>
      </c>
    </row>
    <row r="1359" spans="1:4" x14ac:dyDescent="0.2">
      <c r="A1359" s="5">
        <v>1298</v>
      </c>
      <c r="B1359" s="138">
        <f>'Expenditures 15-22'!F210</f>
        <v>19299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808786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808786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808786</v>
      </c>
      <c r="C1388" s="2" t="s">
        <v>573</v>
      </c>
      <c r="D1388" s="2" t="str">
        <f t="shared" si="20"/>
        <v>Error?</v>
      </c>
    </row>
    <row r="1389" spans="1:4" x14ac:dyDescent="0.2">
      <c r="A1389" s="5">
        <v>1328</v>
      </c>
      <c r="B1389" s="138">
        <f>'Expenditures 15-22'!K211</f>
        <v>37758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20136</v>
      </c>
      <c r="D1406" s="2" t="str">
        <f t="shared" si="20"/>
        <v>Error?</v>
      </c>
    </row>
    <row r="1407" spans="1:4" x14ac:dyDescent="0.2">
      <c r="A1407" s="5">
        <v>1346</v>
      </c>
      <c r="B1407" s="138">
        <f>'Expenditures 15-22'!D222</f>
        <v>6133</v>
      </c>
      <c r="D1407" s="2" t="str">
        <f t="shared" ref="D1407:D1470" si="21">IF(ISBLANK(B1407),"OK",IF(A1407-B1407=0,"OK","Error?"))</f>
        <v>Error?</v>
      </c>
    </row>
    <row r="1408" spans="1:4" x14ac:dyDescent="0.2">
      <c r="A1408" s="5">
        <v>1347</v>
      </c>
      <c r="B1408" s="138">
        <f>'Expenditures 15-22'!D223</f>
        <v>38942</v>
      </c>
      <c r="D1408" s="2" t="str">
        <f t="shared" si="21"/>
        <v>Error?</v>
      </c>
    </row>
    <row r="1409" spans="1:4" x14ac:dyDescent="0.2">
      <c r="A1409" s="5">
        <v>1348</v>
      </c>
      <c r="B1409" s="138">
        <f>'Expenditures 15-22'!D224</f>
        <v>2699</v>
      </c>
      <c r="D1409" s="2" t="str">
        <f t="shared" si="21"/>
        <v>Error?</v>
      </c>
    </row>
    <row r="1410" spans="1:4" x14ac:dyDescent="0.2">
      <c r="A1410" s="5">
        <v>1349</v>
      </c>
      <c r="B1410" s="138">
        <f>'Expenditures 15-22'!D229</f>
        <v>174730</v>
      </c>
      <c r="C1410" s="2" t="s">
        <v>573</v>
      </c>
      <c r="D1410" s="2" t="str">
        <f t="shared" si="21"/>
        <v>Error?</v>
      </c>
    </row>
    <row r="1411" spans="1:4" x14ac:dyDescent="0.2">
      <c r="A1411" s="5">
        <v>1350</v>
      </c>
      <c r="B1411" s="138">
        <f>'Expenditures 15-22'!D232</f>
        <v>26436</v>
      </c>
      <c r="D1411" s="2" t="str">
        <f t="shared" si="21"/>
        <v>Error?</v>
      </c>
    </row>
    <row r="1412" spans="1:4" x14ac:dyDescent="0.2">
      <c r="A1412" s="5">
        <v>1351</v>
      </c>
      <c r="B1412" s="138">
        <f>'Expenditures 15-22'!D233</f>
        <v>23498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46866</v>
      </c>
      <c r="D1416" s="2" t="str">
        <f t="shared" si="21"/>
        <v>Error?</v>
      </c>
    </row>
    <row r="1417" spans="1:4" x14ac:dyDescent="0.2">
      <c r="A1417" s="5">
        <v>1356</v>
      </c>
      <c r="B1417" s="138">
        <f>'Expenditures 15-22'!D238</f>
        <v>96800</v>
      </c>
      <c r="C1417" s="2" t="s">
        <v>573</v>
      </c>
      <c r="D1417" s="2" t="str">
        <f t="shared" si="21"/>
        <v>Error?</v>
      </c>
    </row>
    <row r="1418" spans="1:4" x14ac:dyDescent="0.2">
      <c r="A1418" s="5">
        <v>1357</v>
      </c>
      <c r="B1418" s="138">
        <f>'Expenditures 15-22'!D240</f>
        <v>322</v>
      </c>
      <c r="D1418" s="2" t="str">
        <f t="shared" si="21"/>
        <v>Error?</v>
      </c>
    </row>
    <row r="1419" spans="1:4" x14ac:dyDescent="0.2">
      <c r="A1419" s="5">
        <v>1358</v>
      </c>
      <c r="B1419" s="138">
        <f>'Expenditures 15-22'!D241</f>
        <v>5608</v>
      </c>
      <c r="D1419" s="2" t="str">
        <f t="shared" si="21"/>
        <v>Error?</v>
      </c>
    </row>
    <row r="1420" spans="1:4" x14ac:dyDescent="0.2">
      <c r="A1420" s="5">
        <v>1359</v>
      </c>
      <c r="B1420" s="138">
        <f>'Expenditures 15-22'!D242</f>
        <v>666</v>
      </c>
      <c r="D1420" s="2" t="str">
        <f t="shared" si="21"/>
        <v>Error?</v>
      </c>
    </row>
    <row r="1421" spans="1:4" x14ac:dyDescent="0.2">
      <c r="A1421" s="5">
        <v>1360</v>
      </c>
      <c r="B1421" s="138">
        <f>'Expenditures 15-22'!D243</f>
        <v>6596</v>
      </c>
      <c r="C1421" s="2" t="s">
        <v>573</v>
      </c>
      <c r="D1421" s="2" t="str">
        <f t="shared" si="21"/>
        <v>Error?</v>
      </c>
    </row>
    <row r="1422" spans="1:4" x14ac:dyDescent="0.2">
      <c r="A1422" s="5">
        <v>1361</v>
      </c>
      <c r="B1422" s="138">
        <f>'Expenditures 15-22'!D245</f>
        <v>2553</v>
      </c>
      <c r="D1422" s="2" t="str">
        <f t="shared" si="21"/>
        <v>Error?</v>
      </c>
    </row>
    <row r="1423" spans="1:4" x14ac:dyDescent="0.2">
      <c r="A1423" s="5">
        <v>1362</v>
      </c>
      <c r="B1423" s="138">
        <f>'Expenditures 15-22'!D246</f>
        <v>19848</v>
      </c>
      <c r="D1423" s="2" t="str">
        <f t="shared" si="21"/>
        <v>Error?</v>
      </c>
    </row>
    <row r="1424" spans="1:4" x14ac:dyDescent="0.2">
      <c r="A1424" s="5">
        <v>1363</v>
      </c>
      <c r="B1424" s="138">
        <f>'Expenditures 15-22'!D257</f>
        <v>22505</v>
      </c>
      <c r="C1424" s="2" t="s">
        <v>573</v>
      </c>
      <c r="D1424" s="2" t="str">
        <f t="shared" si="21"/>
        <v>Error?</v>
      </c>
    </row>
    <row r="1425" spans="1:4" x14ac:dyDescent="0.2">
      <c r="A1425" s="5">
        <v>1364</v>
      </c>
      <c r="B1425" s="138">
        <f>'Expenditures 15-22'!D259</f>
        <v>23978</v>
      </c>
      <c r="D1425" s="2" t="str">
        <f t="shared" si="21"/>
        <v>Error?</v>
      </c>
    </row>
    <row r="1426" spans="1:4" x14ac:dyDescent="0.2">
      <c r="A1426" s="5">
        <v>1365</v>
      </c>
      <c r="B1426" s="138">
        <f>'Expenditures 15-22'!D260</f>
        <v>3367</v>
      </c>
      <c r="D1426" s="2" t="str">
        <f t="shared" si="21"/>
        <v>Error?</v>
      </c>
    </row>
    <row r="1427" spans="1:4" x14ac:dyDescent="0.2">
      <c r="A1427" s="5">
        <v>1366</v>
      </c>
      <c r="B1427" s="138">
        <f>'Expenditures 15-22'!D261</f>
        <v>27345</v>
      </c>
      <c r="C1427" s="2" t="s">
        <v>573</v>
      </c>
      <c r="D1427" s="2" t="str">
        <f t="shared" si="21"/>
        <v>Error?</v>
      </c>
    </row>
    <row r="1428" spans="1:4" x14ac:dyDescent="0.2">
      <c r="A1428" s="5">
        <v>1367</v>
      </c>
      <c r="B1428" s="138">
        <f>'Expenditures 15-22'!D263</f>
        <v>9383</v>
      </c>
      <c r="D1428" s="2" t="str">
        <f t="shared" si="21"/>
        <v>Error?</v>
      </c>
    </row>
    <row r="1429" spans="1:4" x14ac:dyDescent="0.2">
      <c r="A1429" s="5">
        <v>1368</v>
      </c>
      <c r="B1429" s="138">
        <f>'Expenditures 15-22'!D264</f>
        <v>17829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45479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33293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105984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21858</v>
      </c>
      <c r="D1445" s="2" t="str">
        <f t="shared" si="21"/>
        <v>Error?</v>
      </c>
    </row>
    <row r="1446" spans="1:4" x14ac:dyDescent="0.2">
      <c r="A1446" s="5">
        <v>1385</v>
      </c>
      <c r="B1446" s="138">
        <f>'Expenditures 15-22'!D279</f>
        <v>281088</v>
      </c>
      <c r="C1446" s="2" t="s">
        <v>573</v>
      </c>
      <c r="D1446" s="2" t="str">
        <f t="shared" si="21"/>
        <v>Error?</v>
      </c>
    </row>
    <row r="1447" spans="1:4" x14ac:dyDescent="0.2">
      <c r="A1447" s="5">
        <v>1386</v>
      </c>
      <c r="B1447" s="138">
        <f>'Expenditures 15-22'!D280</f>
        <v>36263</v>
      </c>
      <c r="D1447" s="2" t="str">
        <f t="shared" si="21"/>
        <v>Error?</v>
      </c>
    </row>
    <row r="1448" spans="1:4" x14ac:dyDescent="0.2">
      <c r="A1448" s="5">
        <v>1387</v>
      </c>
      <c r="B1448" s="138">
        <f>'Expenditures 15-22'!D295</f>
        <v>492081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20136</v>
      </c>
      <c r="C1470" s="2" t="s">
        <v>573</v>
      </c>
      <c r="D1470" s="2" t="str">
        <f t="shared" si="21"/>
        <v>Error?</v>
      </c>
    </row>
    <row r="1471" spans="1:4" x14ac:dyDescent="0.2">
      <c r="A1471" s="5">
        <v>1410</v>
      </c>
      <c r="B1471" s="138">
        <f>'Expenditures 15-22'!K222</f>
        <v>6133</v>
      </c>
      <c r="C1471" s="2" t="s">
        <v>573</v>
      </c>
      <c r="D1471" s="2" t="str">
        <f t="shared" ref="D1471:D1534" si="22">IF(ISBLANK(B1471),"OK",IF(A1471-B1471=0,"OK","Error?"))</f>
        <v>Error?</v>
      </c>
    </row>
    <row r="1472" spans="1:4" x14ac:dyDescent="0.2">
      <c r="A1472" s="5">
        <v>1411</v>
      </c>
      <c r="B1472" s="138">
        <f>'Expenditures 15-22'!K223</f>
        <v>38942</v>
      </c>
      <c r="C1472" s="2" t="s">
        <v>573</v>
      </c>
      <c r="D1472" s="2" t="str">
        <f t="shared" si="22"/>
        <v>Error?</v>
      </c>
    </row>
    <row r="1473" spans="1:4" x14ac:dyDescent="0.2">
      <c r="A1473" s="5">
        <v>1412</v>
      </c>
      <c r="B1473" s="138">
        <f>'Expenditures 15-22'!K224</f>
        <v>2699</v>
      </c>
      <c r="C1473" s="2" t="s">
        <v>573</v>
      </c>
      <c r="D1473" s="2" t="str">
        <f t="shared" si="22"/>
        <v>Error?</v>
      </c>
    </row>
    <row r="1474" spans="1:4" x14ac:dyDescent="0.2">
      <c r="A1474" s="5">
        <v>1413</v>
      </c>
      <c r="B1474" s="138">
        <f>'Expenditures 15-22'!K229</f>
        <v>174730</v>
      </c>
      <c r="C1474" s="2" t="s">
        <v>573</v>
      </c>
      <c r="D1474" s="2" t="str">
        <f t="shared" si="22"/>
        <v>Error?</v>
      </c>
    </row>
    <row r="1475" spans="1:4" x14ac:dyDescent="0.2">
      <c r="A1475" s="5">
        <v>1414</v>
      </c>
      <c r="B1475" s="138">
        <f>'Expenditures 15-22'!K232</f>
        <v>26436</v>
      </c>
      <c r="C1475" s="2" t="s">
        <v>573</v>
      </c>
      <c r="D1475" s="2" t="str">
        <f t="shared" si="22"/>
        <v>Error?</v>
      </c>
    </row>
    <row r="1476" spans="1:4" x14ac:dyDescent="0.2">
      <c r="A1476" s="5">
        <v>1415</v>
      </c>
      <c r="B1476" s="138">
        <f>'Expenditures 15-22'!K233</f>
        <v>23498</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46866</v>
      </c>
      <c r="C1480" s="2" t="s">
        <v>573</v>
      </c>
      <c r="D1480" s="2" t="str">
        <f t="shared" si="22"/>
        <v>Error?</v>
      </c>
    </row>
    <row r="1481" spans="1:4" x14ac:dyDescent="0.2">
      <c r="A1481" s="5">
        <v>1420</v>
      </c>
      <c r="B1481" s="138">
        <f>'Expenditures 15-22'!K238</f>
        <v>96800</v>
      </c>
      <c r="C1481" s="2" t="s">
        <v>573</v>
      </c>
      <c r="D1481" s="2" t="str">
        <f t="shared" si="22"/>
        <v>Error?</v>
      </c>
    </row>
    <row r="1482" spans="1:4" x14ac:dyDescent="0.2">
      <c r="A1482" s="5">
        <v>1421</v>
      </c>
      <c r="B1482" s="138">
        <f>'Expenditures 15-22'!K240</f>
        <v>322</v>
      </c>
      <c r="C1482" s="2" t="s">
        <v>573</v>
      </c>
      <c r="D1482" s="2" t="str">
        <f t="shared" si="22"/>
        <v>Error?</v>
      </c>
    </row>
    <row r="1483" spans="1:4" x14ac:dyDescent="0.2">
      <c r="A1483" s="5">
        <v>1422</v>
      </c>
      <c r="B1483" s="138">
        <f>'Expenditures 15-22'!K241</f>
        <v>5608</v>
      </c>
      <c r="C1483" s="2" t="s">
        <v>573</v>
      </c>
      <c r="D1483" s="2" t="str">
        <f t="shared" si="22"/>
        <v>Error?</v>
      </c>
    </row>
    <row r="1484" spans="1:4" x14ac:dyDescent="0.2">
      <c r="A1484" s="5">
        <v>1423</v>
      </c>
      <c r="B1484" s="138">
        <f>'Expenditures 15-22'!K242</f>
        <v>666</v>
      </c>
      <c r="C1484" s="2" t="s">
        <v>573</v>
      </c>
      <c r="D1484" s="2" t="str">
        <f t="shared" si="22"/>
        <v>Error?</v>
      </c>
    </row>
    <row r="1485" spans="1:4" x14ac:dyDescent="0.2">
      <c r="A1485" s="5">
        <v>1424</v>
      </c>
      <c r="B1485" s="138">
        <f>'Expenditures 15-22'!K243</f>
        <v>6596</v>
      </c>
      <c r="C1485" s="2" t="s">
        <v>573</v>
      </c>
      <c r="D1485" s="2" t="str">
        <f t="shared" si="22"/>
        <v>Error?</v>
      </c>
    </row>
    <row r="1486" spans="1:4" x14ac:dyDescent="0.2">
      <c r="A1486" s="5">
        <v>1425</v>
      </c>
      <c r="B1486" s="138">
        <f>'Expenditures 15-22'!K245</f>
        <v>2553</v>
      </c>
      <c r="C1486" s="2" t="s">
        <v>573</v>
      </c>
      <c r="D1486" s="2" t="str">
        <f t="shared" si="22"/>
        <v>Error?</v>
      </c>
    </row>
    <row r="1487" spans="1:4" x14ac:dyDescent="0.2">
      <c r="A1487" s="5">
        <v>1426</v>
      </c>
      <c r="B1487" s="138">
        <f>'Expenditures 15-22'!K246</f>
        <v>19848</v>
      </c>
      <c r="C1487" s="2" t="s">
        <v>573</v>
      </c>
      <c r="D1487" s="2" t="str">
        <f t="shared" si="22"/>
        <v>Error?</v>
      </c>
    </row>
    <row r="1488" spans="1:4" x14ac:dyDescent="0.2">
      <c r="A1488" s="5">
        <v>1427</v>
      </c>
      <c r="B1488" s="138">
        <f>'Expenditures 15-22'!K257</f>
        <v>22505</v>
      </c>
      <c r="C1488" s="2" t="s">
        <v>573</v>
      </c>
      <c r="D1488" s="2" t="str">
        <f t="shared" si="22"/>
        <v>Error?</v>
      </c>
    </row>
    <row r="1489" spans="1:4" x14ac:dyDescent="0.2">
      <c r="A1489" s="5">
        <v>1428</v>
      </c>
      <c r="B1489" s="138">
        <f>'Expenditures 15-22'!K259</f>
        <v>23978</v>
      </c>
      <c r="C1489" s="2" t="s">
        <v>573</v>
      </c>
      <c r="D1489" s="2" t="str">
        <f t="shared" si="22"/>
        <v>Error?</v>
      </c>
    </row>
    <row r="1490" spans="1:4" x14ac:dyDescent="0.2">
      <c r="A1490" s="5">
        <v>1429</v>
      </c>
      <c r="B1490" s="138">
        <f>'Expenditures 15-22'!K260</f>
        <v>3367</v>
      </c>
      <c r="C1490" s="2" t="s">
        <v>573</v>
      </c>
      <c r="D1490" s="2" t="str">
        <f t="shared" si="22"/>
        <v>Error?</v>
      </c>
    </row>
    <row r="1491" spans="1:4" x14ac:dyDescent="0.2">
      <c r="A1491" s="5">
        <v>1430</v>
      </c>
      <c r="B1491" s="138">
        <f>'Expenditures 15-22'!K261</f>
        <v>27345</v>
      </c>
      <c r="C1491" s="2" t="s">
        <v>573</v>
      </c>
      <c r="D1491" s="2" t="str">
        <f t="shared" si="22"/>
        <v>Error?</v>
      </c>
    </row>
    <row r="1492" spans="1:4" x14ac:dyDescent="0.2">
      <c r="A1492" s="5">
        <v>1431</v>
      </c>
      <c r="B1492" s="138">
        <f>'Expenditures 15-22'!K263</f>
        <v>9383</v>
      </c>
      <c r="C1492" s="2" t="s">
        <v>573</v>
      </c>
      <c r="D1492" s="2" t="str">
        <f t="shared" si="22"/>
        <v>Error?</v>
      </c>
    </row>
    <row r="1493" spans="1:4" x14ac:dyDescent="0.2">
      <c r="A1493" s="5">
        <v>1432</v>
      </c>
      <c r="B1493" s="138">
        <f>'Expenditures 15-22'!K264</f>
        <v>17829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45479</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33293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105984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21858</v>
      </c>
      <c r="C1509" s="2" t="s">
        <v>573</v>
      </c>
      <c r="D1509" s="2" t="str">
        <f t="shared" si="22"/>
        <v>Error?</v>
      </c>
    </row>
    <row r="1510" spans="1:4" x14ac:dyDescent="0.2">
      <c r="A1510" s="5">
        <v>1449</v>
      </c>
      <c r="B1510" s="138">
        <f>'Expenditures 15-22'!K279</f>
        <v>281088</v>
      </c>
      <c r="C1510" s="2" t="s">
        <v>573</v>
      </c>
      <c r="D1510" s="2" t="str">
        <f t="shared" si="22"/>
        <v>Error?</v>
      </c>
    </row>
    <row r="1511" spans="1:4" x14ac:dyDescent="0.2">
      <c r="A1511" s="5">
        <v>1450</v>
      </c>
      <c r="B1511" s="138">
        <f>'Expenditures 15-22'!K280</f>
        <v>36263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492081</v>
      </c>
      <c r="C1517" s="2" t="s">
        <v>573</v>
      </c>
      <c r="D1517" s="2" t="str">
        <f t="shared" si="22"/>
        <v>Error?</v>
      </c>
    </row>
    <row r="1518" spans="1:4" x14ac:dyDescent="0.2">
      <c r="A1518" s="5">
        <v>1457</v>
      </c>
      <c r="B1518" s="138">
        <f>'Expenditures 15-22'!K296</f>
        <v>10977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938132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938132</v>
      </c>
      <c r="C1535" s="2" t="s">
        <v>573</v>
      </c>
      <c r="D1535" s="2" t="str">
        <f t="shared" ref="D1535:D1598" si="23">IF(ISBLANK(B1535),"OK",IF(A1535-B1535=0,"OK","Error?"))</f>
        <v>Error?</v>
      </c>
    </row>
    <row r="1536" spans="1:4" x14ac:dyDescent="0.2">
      <c r="A1536" s="5">
        <v>1475</v>
      </c>
      <c r="B1536" s="138">
        <f>'Expenditures 15-22'!E312</f>
        <v>938132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938132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938132</v>
      </c>
      <c r="C1559" s="2" t="s">
        <v>573</v>
      </c>
      <c r="D1559" s="2" t="str">
        <f t="shared" si="23"/>
        <v>Error?</v>
      </c>
    </row>
    <row r="1560" spans="1:4" x14ac:dyDescent="0.2">
      <c r="A1560" s="5">
        <v>1499</v>
      </c>
      <c r="B1560" s="138">
        <f>'Expenditures 15-22'!K312</f>
        <v>938132</v>
      </c>
      <c r="C1560" s="2" t="s">
        <v>573</v>
      </c>
      <c r="D1560" s="2" t="str">
        <f t="shared" si="23"/>
        <v>Error?</v>
      </c>
    </row>
    <row r="1561" spans="1:4" x14ac:dyDescent="0.2">
      <c r="A1561" s="5">
        <v>1500</v>
      </c>
      <c r="B1561" s="138">
        <f>'Expenditures 15-22'!K313</f>
        <v>-141753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3085239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3323378</v>
      </c>
      <c r="C1630" s="2" t="s">
        <v>573</v>
      </c>
      <c r="D1630" s="2" t="str">
        <f t="shared" si="24"/>
        <v>Error?</v>
      </c>
    </row>
    <row r="1631" spans="1:4" x14ac:dyDescent="0.2">
      <c r="A1631" s="5">
        <v>1570</v>
      </c>
      <c r="B1631" s="138">
        <f>'Acct Summary 7-8'!D79</f>
        <v>1229531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1561984</v>
      </c>
      <c r="C1644" s="2" t="s">
        <v>573</v>
      </c>
      <c r="D1644" s="2" t="str">
        <f t="shared" si="24"/>
        <v>Error?</v>
      </c>
    </row>
    <row r="1645" spans="1:4" x14ac:dyDescent="0.2">
      <c r="A1645" s="5">
        <v>1584</v>
      </c>
      <c r="B1645" s="138">
        <f>'Acct Summary 7-8'!E79</f>
        <v>1215553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419782</v>
      </c>
      <c r="C1658" s="2" t="s">
        <v>573</v>
      </c>
      <c r="D1658" s="2" t="str">
        <f t="shared" si="24"/>
        <v>Error?</v>
      </c>
    </row>
    <row r="1659" spans="1:4" x14ac:dyDescent="0.2">
      <c r="A1659" s="5">
        <v>1598</v>
      </c>
      <c r="B1659" s="138">
        <f>'Acct Summary 7-8'!F79</f>
        <v>1148818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1186576</v>
      </c>
      <c r="C1672" s="2" t="s">
        <v>573</v>
      </c>
      <c r="D1672" s="2" t="str">
        <f t="shared" si="25"/>
        <v>Error?</v>
      </c>
    </row>
    <row r="1673" spans="1:4" x14ac:dyDescent="0.2">
      <c r="A1673" s="5">
        <v>1612</v>
      </c>
      <c r="B1673" s="138">
        <f>'Acct Summary 7-8'!G79</f>
        <v>477826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488803</v>
      </c>
      <c r="C1686" s="2" t="s">
        <v>573</v>
      </c>
      <c r="D1686" s="2" t="str">
        <f t="shared" si="25"/>
        <v>Error?</v>
      </c>
    </row>
    <row r="1687" spans="1:4" x14ac:dyDescent="0.2">
      <c r="A1687" s="5">
        <v>1626</v>
      </c>
      <c r="B1687" s="138">
        <f>'Acct Summary 7-8'!H79</f>
        <v>486831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345078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7467212</v>
      </c>
      <c r="C1744" s="2" t="s">
        <v>573</v>
      </c>
      <c r="D1744" s="2" t="str">
        <f t="shared" si="26"/>
        <v>Error?</v>
      </c>
    </row>
    <row r="1745" spans="1:5" x14ac:dyDescent="0.2">
      <c r="A1745" s="5">
        <v>1684</v>
      </c>
      <c r="B1745" s="138">
        <f>'Tax Sched 23'!B5</f>
        <v>1481154</v>
      </c>
      <c r="C1745" s="2" t="s">
        <v>573</v>
      </c>
      <c r="D1745" s="2" t="str">
        <f t="shared" si="26"/>
        <v>Error?</v>
      </c>
    </row>
    <row r="1746" spans="1:5" x14ac:dyDescent="0.2">
      <c r="A1746" s="5">
        <v>1685</v>
      </c>
      <c r="B1746" s="138">
        <f>'Tax Sched 23'!B6</f>
        <v>1144408</v>
      </c>
      <c r="C1746" s="2" t="s">
        <v>573</v>
      </c>
      <c r="D1746" s="2" t="str">
        <f t="shared" si="26"/>
        <v>Error?</v>
      </c>
    </row>
    <row r="1747" spans="1:5" x14ac:dyDescent="0.2">
      <c r="A1747" s="5">
        <v>1686</v>
      </c>
      <c r="B1747" s="138">
        <f>'Tax Sched 23'!B7</f>
        <v>570713</v>
      </c>
      <c r="C1747" s="2" t="s">
        <v>573</v>
      </c>
      <c r="D1747" s="2" t="str">
        <f t="shared" si="26"/>
        <v>Error?</v>
      </c>
    </row>
    <row r="1748" spans="1:5" x14ac:dyDescent="0.2">
      <c r="A1748" s="5">
        <v>1687</v>
      </c>
      <c r="B1748" s="138">
        <f>'Tax Sched 23'!B8</f>
        <v>246854</v>
      </c>
      <c r="C1748" s="2" t="s">
        <v>573</v>
      </c>
      <c r="D1748" s="2" t="str">
        <f t="shared" si="26"/>
        <v>Error?</v>
      </c>
    </row>
    <row r="1749" spans="1:5" x14ac:dyDescent="0.2">
      <c r="A1749" s="5">
        <v>1688</v>
      </c>
      <c r="B1749" s="138">
        <f>'Tax Sched 23'!B10</f>
        <v>217308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345621</v>
      </c>
      <c r="C1752" s="2" t="s">
        <v>573</v>
      </c>
      <c r="D1752" s="2" t="str">
        <f t="shared" si="26"/>
        <v>Error?</v>
      </c>
    </row>
    <row r="1753" spans="1:5" x14ac:dyDescent="0.2">
      <c r="A1753" s="5">
        <v>1692</v>
      </c>
      <c r="B1753" s="138">
        <f>'Tax Sched 23'!B12</f>
        <v>183688</v>
      </c>
      <c r="C1753" s="2" t="s">
        <v>573</v>
      </c>
      <c r="D1753" s="2" t="str">
        <f t="shared" si="26"/>
        <v>Error?</v>
      </c>
    </row>
    <row r="1754" spans="1:5" x14ac:dyDescent="0.2">
      <c r="A1754" s="5">
        <v>1693</v>
      </c>
      <c r="B1754" s="138">
        <f>'Tax Sched 23'!B14</f>
        <v>98766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11987835</v>
      </c>
      <c r="C1759" s="2" t="s">
        <v>573</v>
      </c>
      <c r="D1759" s="2" t="str">
        <f t="shared" si="26"/>
        <v>Error?</v>
      </c>
    </row>
    <row r="1760" spans="1:5" x14ac:dyDescent="0.2">
      <c r="A1760" s="5">
        <v>1699</v>
      </c>
      <c r="B1760" s="138">
        <f>'Tax Sched 23'!D4</f>
        <v>7467212</v>
      </c>
      <c r="C1760" s="2" t="s">
        <v>573</v>
      </c>
      <c r="D1760" s="2" t="str">
        <f t="shared" si="26"/>
        <v>Error?</v>
      </c>
    </row>
    <row r="1761" spans="1:5" x14ac:dyDescent="0.2">
      <c r="A1761" s="5">
        <v>1700</v>
      </c>
      <c r="B1761" s="138">
        <f>'Tax Sched 23'!D5</f>
        <v>1481154</v>
      </c>
      <c r="C1761" s="2" t="s">
        <v>573</v>
      </c>
      <c r="D1761" s="2" t="str">
        <f t="shared" si="26"/>
        <v>Error?</v>
      </c>
    </row>
    <row r="1762" spans="1:5" s="8" customFormat="1" x14ac:dyDescent="0.2">
      <c r="A1762" s="5">
        <v>1701</v>
      </c>
      <c r="B1762" s="138">
        <f>'Tax Sched 23'!D6</f>
        <v>1144408</v>
      </c>
      <c r="C1762" s="2" t="s">
        <v>573</v>
      </c>
      <c r="D1762" s="2" t="str">
        <f t="shared" si="26"/>
        <v>Error?</v>
      </c>
      <c r="E1762" s="9"/>
    </row>
    <row r="1763" spans="1:5" x14ac:dyDescent="0.2">
      <c r="A1763" s="5">
        <v>1702</v>
      </c>
      <c r="B1763" s="138">
        <f>'Tax Sched 23'!D7</f>
        <v>570713</v>
      </c>
      <c r="C1763" s="2" t="s">
        <v>573</v>
      </c>
      <c r="D1763" s="2" t="str">
        <f t="shared" si="26"/>
        <v>Error?</v>
      </c>
    </row>
    <row r="1764" spans="1:5" x14ac:dyDescent="0.2">
      <c r="A1764" s="5">
        <v>1703</v>
      </c>
      <c r="B1764" s="138">
        <f>'Tax Sched 23'!D8</f>
        <v>246854</v>
      </c>
      <c r="C1764" s="2" t="s">
        <v>573</v>
      </c>
      <c r="D1764" s="2" t="str">
        <f t="shared" si="26"/>
        <v>Error?</v>
      </c>
    </row>
    <row r="1765" spans="1:5" x14ac:dyDescent="0.2">
      <c r="A1765" s="5">
        <v>1704</v>
      </c>
      <c r="B1765" s="138">
        <f>'Tax Sched 23'!D10</f>
        <v>217308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345621</v>
      </c>
      <c r="C1768" s="2" t="s">
        <v>573</v>
      </c>
      <c r="D1768" s="2" t="str">
        <f t="shared" si="26"/>
        <v>Error?</v>
      </c>
    </row>
    <row r="1769" spans="1:5" x14ac:dyDescent="0.2">
      <c r="A1769" s="5">
        <v>1708</v>
      </c>
      <c r="B1769" s="138">
        <f>'Tax Sched 23'!D12</f>
        <v>183688</v>
      </c>
      <c r="C1769" s="2" t="s">
        <v>573</v>
      </c>
      <c r="D1769" s="2" t="str">
        <f t="shared" si="26"/>
        <v>Error?</v>
      </c>
    </row>
    <row r="1770" spans="1:5" x14ac:dyDescent="0.2">
      <c r="A1770" s="5">
        <v>1709</v>
      </c>
      <c r="B1770" s="138">
        <f>'Tax Sched 23'!D14</f>
        <v>98766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11987835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7853000</v>
      </c>
      <c r="C1792" s="2" t="s">
        <v>573</v>
      </c>
      <c r="D1792" s="2" t="str">
        <f t="shared" si="27"/>
        <v>Error?</v>
      </c>
    </row>
    <row r="1793" spans="1:4" x14ac:dyDescent="0.2">
      <c r="A1793" s="5">
        <v>1732</v>
      </c>
      <c r="B1793" s="138">
        <f>'Tax Sched 23'!F5</f>
        <v>1500981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577000</v>
      </c>
      <c r="C1795" s="2" t="s">
        <v>573</v>
      </c>
      <c r="D1795" s="2" t="str">
        <f t="shared" si="27"/>
        <v>Error?</v>
      </c>
    </row>
    <row r="1796" spans="1:4" x14ac:dyDescent="0.2">
      <c r="A1796" s="5">
        <v>1735</v>
      </c>
      <c r="B1796" s="138">
        <f>'Tax Sched 23'!F8</f>
        <v>290000</v>
      </c>
      <c r="C1796" s="2" t="s">
        <v>573</v>
      </c>
      <c r="D1796" s="2" t="str">
        <f t="shared" si="27"/>
        <v>Error?</v>
      </c>
    </row>
    <row r="1797" spans="1:4" x14ac:dyDescent="0.2">
      <c r="A1797" s="5">
        <v>1736</v>
      </c>
      <c r="B1797" s="138">
        <f>'Tax Sched 23'!F10</f>
        <v>218000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380500</v>
      </c>
      <c r="C1800" s="2" t="s">
        <v>573</v>
      </c>
      <c r="D1800" s="2" t="str">
        <f t="shared" si="27"/>
        <v>Error?</v>
      </c>
    </row>
    <row r="1801" spans="1:4" x14ac:dyDescent="0.2">
      <c r="A1801" s="5">
        <v>1740</v>
      </c>
      <c r="B1801" s="138">
        <f>'Tax Sched 23'!F12</f>
        <v>245000</v>
      </c>
      <c r="C1801" s="2" t="s">
        <v>573</v>
      </c>
      <c r="D1801" s="2" t="str">
        <f t="shared" si="27"/>
        <v>Error?</v>
      </c>
    </row>
    <row r="1802" spans="1:4" x14ac:dyDescent="0.2">
      <c r="A1802" s="5">
        <v>1741</v>
      </c>
      <c r="B1802" s="138">
        <f>'Tax Sched 23'!F14</f>
        <v>101000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11423481</v>
      </c>
      <c r="C1807" s="2" t="s">
        <v>573</v>
      </c>
      <c r="D1807" s="2" t="str">
        <f t="shared" si="27"/>
        <v>Error?</v>
      </c>
    </row>
    <row r="1808" spans="1:4" x14ac:dyDescent="0.2">
      <c r="A1808" s="5">
        <v>1747</v>
      </c>
      <c r="B1808" s="138">
        <f>'Tax Sched 23'!E4</f>
        <v>7853000</v>
      </c>
      <c r="D1808" s="2" t="str">
        <f t="shared" si="27"/>
        <v>Error?</v>
      </c>
    </row>
    <row r="1809" spans="1:4" x14ac:dyDescent="0.2">
      <c r="A1809" s="5">
        <v>1748</v>
      </c>
      <c r="B1809" s="138">
        <f>'Tax Sched 23'!E5</f>
        <v>1500981</v>
      </c>
      <c r="D1809" s="2" t="str">
        <f t="shared" si="27"/>
        <v>Error?</v>
      </c>
    </row>
    <row r="1810" spans="1:4" x14ac:dyDescent="0.2">
      <c r="A1810" s="5">
        <v>1749</v>
      </c>
      <c r="B1810" s="138">
        <f>'Tax Sched 23'!E6</f>
        <v>0</v>
      </c>
      <c r="D1810" s="2" t="str">
        <f t="shared" si="27"/>
        <v>Error?</v>
      </c>
    </row>
    <row r="1811" spans="1:4" x14ac:dyDescent="0.2">
      <c r="A1811" s="5">
        <v>1750</v>
      </c>
      <c r="B1811" s="138">
        <f>'Tax Sched 23'!E7</f>
        <v>577000</v>
      </c>
      <c r="D1811" s="2" t="str">
        <f t="shared" si="27"/>
        <v>Error?</v>
      </c>
    </row>
    <row r="1812" spans="1:4" x14ac:dyDescent="0.2">
      <c r="A1812" s="5">
        <v>1751</v>
      </c>
      <c r="B1812" s="138">
        <f>'Tax Sched 23'!E8</f>
        <v>290000</v>
      </c>
      <c r="D1812" s="2" t="str">
        <f t="shared" si="27"/>
        <v>Error?</v>
      </c>
    </row>
    <row r="1813" spans="1:4" x14ac:dyDescent="0.2">
      <c r="A1813" s="5">
        <v>1752</v>
      </c>
      <c r="B1813" s="138">
        <f>'Tax Sched 23'!E10</f>
        <v>218000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380500</v>
      </c>
      <c r="D1816" s="2" t="str">
        <f t="shared" si="27"/>
        <v>Error?</v>
      </c>
    </row>
    <row r="1817" spans="1:4" x14ac:dyDescent="0.2">
      <c r="A1817" s="5">
        <v>1756</v>
      </c>
      <c r="B1817" s="138">
        <f>'Tax Sched 23'!E12</f>
        <v>245000</v>
      </c>
      <c r="D1817" s="2" t="str">
        <f t="shared" si="27"/>
        <v>Error?</v>
      </c>
    </row>
    <row r="1818" spans="1:4" x14ac:dyDescent="0.2">
      <c r="A1818" s="5">
        <v>1757</v>
      </c>
      <c r="B1818" s="138">
        <f>'Tax Sched 23'!E14</f>
        <v>101000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11423481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2422525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98766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98766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98766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147429</v>
      </c>
      <c r="D2008" s="2" t="str">
        <f t="shared" si="30"/>
        <v>Error?</v>
      </c>
    </row>
    <row r="2009" spans="1:4" x14ac:dyDescent="0.2">
      <c r="A2009" s="5">
        <v>1948</v>
      </c>
      <c r="B2009" s="138">
        <f>'Cap Outlay Deprec 26'!C8</f>
        <v>33355721</v>
      </c>
      <c r="D2009" s="2" t="str">
        <f t="shared" si="30"/>
        <v>Error?</v>
      </c>
    </row>
    <row r="2010" spans="1:4" x14ac:dyDescent="0.2">
      <c r="A2010" s="5">
        <v>1949</v>
      </c>
      <c r="B2010" s="138">
        <f>'Cap Outlay Deprec 26'!C10</f>
        <v>3207872</v>
      </c>
      <c r="D2010" s="2" t="str">
        <f t="shared" si="30"/>
        <v>Error?</v>
      </c>
    </row>
    <row r="2011" spans="1:4" x14ac:dyDescent="0.2">
      <c r="A2011" s="5">
        <v>1950</v>
      </c>
      <c r="B2011" s="138">
        <f>'Cap Outlay Deprec 26'!C12</f>
        <v>4697661</v>
      </c>
      <c r="D2011" s="2" t="str">
        <f t="shared" si="30"/>
        <v>Error?</v>
      </c>
    </row>
    <row r="2012" spans="1:4" x14ac:dyDescent="0.2">
      <c r="A2012" s="5">
        <v>1951</v>
      </c>
      <c r="B2012" s="138">
        <f>'Cap Outlay Deprec 26'!C13</f>
        <v>189810</v>
      </c>
      <c r="D2012" s="2" t="str">
        <f t="shared" si="30"/>
        <v>Error?</v>
      </c>
    </row>
    <row r="2013" spans="1:4" x14ac:dyDescent="0.2">
      <c r="A2013" s="5">
        <v>1952</v>
      </c>
      <c r="B2013" s="138">
        <f>'Cap Outlay Deprec 26'!C16</f>
        <v>41598493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81256</v>
      </c>
      <c r="D2017" s="2" t="str">
        <f t="shared" si="30"/>
        <v>Error?</v>
      </c>
    </row>
    <row r="2018" spans="1:4" x14ac:dyDescent="0.2">
      <c r="A2018" s="5">
        <v>1957</v>
      </c>
      <c r="B2018" s="138">
        <f>'Cap Outlay Deprec 26'!D13</f>
        <v>49803</v>
      </c>
      <c r="D2018" s="2" t="str">
        <f t="shared" si="30"/>
        <v>Error?</v>
      </c>
    </row>
    <row r="2019" spans="1:4" x14ac:dyDescent="0.2">
      <c r="A2019" s="5">
        <v>1958</v>
      </c>
      <c r="B2019" s="138">
        <f>'Cap Outlay Deprec 26'!D16</f>
        <v>131059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147429</v>
      </c>
      <c r="C2026" s="2" t="s">
        <v>573</v>
      </c>
      <c r="D2026" s="2" t="str">
        <f t="shared" si="30"/>
        <v>Error?</v>
      </c>
    </row>
    <row r="2027" spans="1:4" x14ac:dyDescent="0.2">
      <c r="A2027" s="5">
        <v>1966</v>
      </c>
      <c r="B2027" s="138">
        <f>'Cap Outlay Deprec 26'!F8</f>
        <v>33355721</v>
      </c>
      <c r="C2027" s="2" t="s">
        <v>573</v>
      </c>
      <c r="D2027" s="2" t="str">
        <f t="shared" si="30"/>
        <v>Error?</v>
      </c>
    </row>
    <row r="2028" spans="1:4" x14ac:dyDescent="0.2">
      <c r="A2028" s="5">
        <v>1967</v>
      </c>
      <c r="B2028" s="138">
        <f>'Cap Outlay Deprec 26'!F10</f>
        <v>3207872</v>
      </c>
      <c r="C2028" s="2" t="s">
        <v>573</v>
      </c>
      <c r="D2028" s="2" t="str">
        <f t="shared" si="30"/>
        <v>Error?</v>
      </c>
    </row>
    <row r="2029" spans="1:4" x14ac:dyDescent="0.2">
      <c r="A2029" s="5">
        <v>1968</v>
      </c>
      <c r="B2029" s="138">
        <f>'Cap Outlay Deprec 26'!F12</f>
        <v>4778917</v>
      </c>
      <c r="C2029" s="2" t="s">
        <v>573</v>
      </c>
      <c r="D2029" s="2" t="str">
        <f t="shared" si="30"/>
        <v>Error?</v>
      </c>
    </row>
    <row r="2030" spans="1:4" x14ac:dyDescent="0.2">
      <c r="A2030" s="5">
        <v>1969</v>
      </c>
      <c r="B2030" s="138">
        <f>'Cap Outlay Deprec 26'!F13</f>
        <v>239613</v>
      </c>
      <c r="C2030" s="2" t="s">
        <v>573</v>
      </c>
      <c r="D2030" s="2" t="str">
        <f t="shared" si="30"/>
        <v>Error?</v>
      </c>
    </row>
    <row r="2031" spans="1:4" x14ac:dyDescent="0.2">
      <c r="A2031" s="5">
        <v>1970</v>
      </c>
      <c r="B2031" s="138">
        <f>'Cap Outlay Deprec 26'!F16</f>
        <v>41729552</v>
      </c>
      <c r="C2031" s="2" t="s">
        <v>573</v>
      </c>
      <c r="D2031" s="2" t="str">
        <f t="shared" si="30"/>
        <v>Error?</v>
      </c>
    </row>
    <row r="2032" spans="1:4" x14ac:dyDescent="0.2">
      <c r="A2032" s="10">
        <v>1971</v>
      </c>
      <c r="D2032" s="2" t="str">
        <f t="shared" si="30"/>
        <v>OK</v>
      </c>
    </row>
    <row r="2033" spans="1:4" x14ac:dyDescent="0.2">
      <c r="A2033" s="5">
        <v>1972</v>
      </c>
      <c r="B2033" s="138">
        <f>'Cap Outlay Deprec 26'!H8</f>
        <v>33355721</v>
      </c>
      <c r="D2033" s="2" t="str">
        <f t="shared" si="30"/>
        <v>Error?</v>
      </c>
    </row>
    <row r="2034" spans="1:4" x14ac:dyDescent="0.2">
      <c r="A2034" s="5">
        <v>1973</v>
      </c>
      <c r="B2034" s="138">
        <f>'Cap Outlay Deprec 26'!H10</f>
        <v>2851874</v>
      </c>
      <c r="D2034" s="2" t="str">
        <f t="shared" si="30"/>
        <v>Error?</v>
      </c>
    </row>
    <row r="2035" spans="1:4" x14ac:dyDescent="0.2">
      <c r="A2035" s="5">
        <v>1974</v>
      </c>
      <c r="B2035" s="138">
        <f>'Cap Outlay Deprec 26'!H12</f>
        <v>4313837</v>
      </c>
      <c r="D2035" s="2" t="str">
        <f t="shared" si="30"/>
        <v>Error?</v>
      </c>
    </row>
    <row r="2036" spans="1:4" x14ac:dyDescent="0.2">
      <c r="A2036" s="5">
        <v>1975</v>
      </c>
      <c r="B2036" s="138">
        <f>'Cap Outlay Deprec 26'!H13</f>
        <v>172294</v>
      </c>
      <c r="D2036" s="2" t="str">
        <f t="shared" si="30"/>
        <v>Error?</v>
      </c>
    </row>
    <row r="2037" spans="1:4" x14ac:dyDescent="0.2">
      <c r="A2037" s="5">
        <v>1976</v>
      </c>
      <c r="B2037" s="138">
        <f>'Cap Outlay Deprec 26'!H16</f>
        <v>40693726</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20435</v>
      </c>
      <c r="D2040" s="2" t="str">
        <f t="shared" si="30"/>
        <v>Error?</v>
      </c>
    </row>
    <row r="2041" spans="1:4" x14ac:dyDescent="0.2">
      <c r="A2041" s="5">
        <v>1980</v>
      </c>
      <c r="B2041" s="138">
        <f>'Cap Outlay Deprec 26'!I12</f>
        <v>113574</v>
      </c>
      <c r="D2041" s="2" t="str">
        <f t="shared" si="30"/>
        <v>Error?</v>
      </c>
    </row>
    <row r="2042" spans="1:4" x14ac:dyDescent="0.2">
      <c r="A2042" s="5">
        <v>1981</v>
      </c>
      <c r="B2042" s="138">
        <f>'Cap Outlay Deprec 26'!I13</f>
        <v>9023</v>
      </c>
      <c r="D2042" s="2" t="str">
        <f t="shared" si="30"/>
        <v>Error?</v>
      </c>
    </row>
    <row r="2043" spans="1:4" x14ac:dyDescent="0.2">
      <c r="A2043" s="5">
        <v>1982</v>
      </c>
      <c r="B2043" s="138">
        <f>'Cap Outlay Deprec 26'!I16</f>
        <v>143032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33355721</v>
      </c>
      <c r="C2051" s="2" t="s">
        <v>573</v>
      </c>
      <c r="D2051" s="2" t="str">
        <f t="shared" si="31"/>
        <v>Error?</v>
      </c>
    </row>
    <row r="2052" spans="1:4" x14ac:dyDescent="0.2">
      <c r="A2052" s="5">
        <v>1991</v>
      </c>
      <c r="B2052" s="138">
        <f>'Cap Outlay Deprec 26'!K10</f>
        <v>2872309</v>
      </c>
      <c r="C2052" s="2" t="s">
        <v>573</v>
      </c>
      <c r="D2052" s="2" t="str">
        <f t="shared" si="31"/>
        <v>Error?</v>
      </c>
    </row>
    <row r="2053" spans="1:4" x14ac:dyDescent="0.2">
      <c r="A2053" s="5">
        <v>1992</v>
      </c>
      <c r="B2053" s="138">
        <f>'Cap Outlay Deprec 26'!K12</f>
        <v>4427411</v>
      </c>
      <c r="C2053" s="2" t="s">
        <v>573</v>
      </c>
      <c r="D2053" s="2" t="str">
        <f t="shared" si="31"/>
        <v>Error?</v>
      </c>
    </row>
    <row r="2054" spans="1:4" x14ac:dyDescent="0.2">
      <c r="A2054" s="5">
        <v>1993</v>
      </c>
      <c r="B2054" s="138">
        <f>'Cap Outlay Deprec 26'!K13</f>
        <v>181317</v>
      </c>
      <c r="C2054" s="2" t="s">
        <v>573</v>
      </c>
      <c r="D2054" s="2" t="str">
        <f t="shared" si="31"/>
        <v>Error?</v>
      </c>
    </row>
    <row r="2055" spans="1:4" x14ac:dyDescent="0.2">
      <c r="A2055" s="5">
        <v>1994</v>
      </c>
      <c r="B2055" s="138">
        <f>'Cap Outlay Deprec 26'!K16</f>
        <v>40836758</v>
      </c>
      <c r="C2055" s="2" t="s">
        <v>573</v>
      </c>
      <c r="D2055" s="2" t="str">
        <f t="shared" si="31"/>
        <v>Error?</v>
      </c>
    </row>
    <row r="2056" spans="1:4" x14ac:dyDescent="0.2">
      <c r="A2056" s="5">
        <v>1995</v>
      </c>
      <c r="B2056" s="138">
        <f>'Cap Outlay Deprec 26'!L5</f>
        <v>147429</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335563</v>
      </c>
      <c r="C2058" s="2" t="s">
        <v>573</v>
      </c>
      <c r="D2058" s="2" t="str">
        <f t="shared" si="31"/>
        <v>Error?</v>
      </c>
    </row>
    <row r="2059" spans="1:4" x14ac:dyDescent="0.2">
      <c r="A2059" s="5">
        <v>1998</v>
      </c>
      <c r="B2059" s="138">
        <f>'Cap Outlay Deprec 26'!L12</f>
        <v>351506</v>
      </c>
      <c r="C2059" s="2" t="s">
        <v>573</v>
      </c>
      <c r="D2059" s="2" t="str">
        <f t="shared" si="31"/>
        <v>Error?</v>
      </c>
    </row>
    <row r="2060" spans="1:4" x14ac:dyDescent="0.2">
      <c r="A2060" s="5">
        <v>1999</v>
      </c>
      <c r="B2060" s="138">
        <f>'Cap Outlay Deprec 26'!L13</f>
        <v>58296</v>
      </c>
      <c r="C2060" s="2" t="s">
        <v>573</v>
      </c>
      <c r="D2060" s="2" t="str">
        <f t="shared" si="31"/>
        <v>Error?</v>
      </c>
    </row>
    <row r="2061" spans="1:4" x14ac:dyDescent="0.2">
      <c r="A2061" s="5">
        <v>2000</v>
      </c>
      <c r="B2061" s="138">
        <f>'Cap Outlay Deprec 26'!L16</f>
        <v>892794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517680</v>
      </c>
      <c r="C2088" s="2" t="s">
        <v>573</v>
      </c>
      <c r="D2088" s="2" t="str">
        <f t="shared" si="31"/>
        <v>Error?</v>
      </c>
    </row>
    <row r="2089" spans="1:4" x14ac:dyDescent="0.2">
      <c r="A2089" s="5">
        <v>2028</v>
      </c>
      <c r="B2089" s="138">
        <f>'Expenditures 15-22'!K92</f>
        <v>42925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1150000</v>
      </c>
      <c r="C2105" s="2" t="s">
        <v>573</v>
      </c>
      <c r="D2105" s="2" t="str">
        <f t="shared" si="31"/>
        <v>Error?</v>
      </c>
    </row>
    <row r="2106" spans="1:4" x14ac:dyDescent="0.2">
      <c r="A2106" s="5">
        <v>2045</v>
      </c>
      <c r="B2106" s="138">
        <f>'Acct Summary 7-8'!I48</f>
        <v>15000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8681118</v>
      </c>
      <c r="C2551" s="2" t="s">
        <v>573</v>
      </c>
      <c r="D2551" s="2" t="str">
        <f t="shared" si="38"/>
        <v>Error?</v>
      </c>
    </row>
    <row r="2552" spans="1:4" x14ac:dyDescent="0.2">
      <c r="A2552" s="10">
        <v>2491</v>
      </c>
      <c r="D2552" s="2" t="str">
        <f t="shared" si="38"/>
        <v>OK</v>
      </c>
    </row>
    <row r="2553" spans="1:4" x14ac:dyDescent="0.2">
      <c r="A2553" s="5">
        <v>2492</v>
      </c>
      <c r="B2553" s="138">
        <f>'Acct Summary 7-8'!C6</f>
        <v>2296631</v>
      </c>
      <c r="C2553" s="2" t="s">
        <v>573</v>
      </c>
      <c r="D2553" s="2" t="str">
        <f t="shared" si="38"/>
        <v>Error?</v>
      </c>
    </row>
    <row r="2554" spans="1:4" x14ac:dyDescent="0.2">
      <c r="A2554" s="5">
        <v>2493</v>
      </c>
      <c r="B2554" s="138">
        <f>'Acct Summary 7-8'!C7</f>
        <v>1251020</v>
      </c>
      <c r="C2554" s="2" t="s">
        <v>573</v>
      </c>
      <c r="D2554" s="2" t="str">
        <f t="shared" si="38"/>
        <v>Error?</v>
      </c>
    </row>
    <row r="2555" spans="1:4" x14ac:dyDescent="0.2">
      <c r="A2555" s="5">
        <v>2494</v>
      </c>
      <c r="B2555" s="138">
        <f>'Acct Summary 7-8'!C8</f>
        <v>12228769</v>
      </c>
      <c r="C2555" s="2" t="s">
        <v>573</v>
      </c>
      <c r="D2555" s="2" t="str">
        <f t="shared" si="38"/>
        <v>Error?</v>
      </c>
    </row>
    <row r="2556" spans="1:4" x14ac:dyDescent="0.2">
      <c r="A2556" s="5">
        <v>2495</v>
      </c>
      <c r="B2556" s="138">
        <f>'Acct Summary 7-8'!C12</f>
        <v>7710242</v>
      </c>
      <c r="C2556" s="2" t="s">
        <v>573</v>
      </c>
      <c r="D2556" s="2" t="str">
        <f t="shared" si="38"/>
        <v>Error?</v>
      </c>
    </row>
    <row r="2557" spans="1:4" x14ac:dyDescent="0.2">
      <c r="A2557" s="5">
        <v>2496</v>
      </c>
      <c r="B2557" s="138">
        <f>'Acct Summary 7-8'!C13</f>
        <v>3641338</v>
      </c>
      <c r="C2557" s="2" t="s">
        <v>573</v>
      </c>
      <c r="D2557" s="2" t="str">
        <f t="shared" si="38"/>
        <v>Error?</v>
      </c>
    </row>
    <row r="2558" spans="1:4" x14ac:dyDescent="0.2">
      <c r="A2558" s="5">
        <v>2497</v>
      </c>
      <c r="B2558" s="138">
        <f>'Acct Summary 7-8'!C14</f>
        <v>243445</v>
      </c>
      <c r="C2558" s="2" t="s">
        <v>573</v>
      </c>
      <c r="D2558" s="2" t="str">
        <f t="shared" si="38"/>
        <v>Error?</v>
      </c>
    </row>
    <row r="2559" spans="1:4" x14ac:dyDescent="0.2">
      <c r="A2559" s="5">
        <v>2498</v>
      </c>
      <c r="B2559" s="138">
        <f>'Acct Summary 7-8'!C15</f>
        <v>560605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12155630</v>
      </c>
      <c r="C2561" s="2" t="s">
        <v>573</v>
      </c>
      <c r="D2561" s="2" t="str">
        <f t="shared" si="39"/>
        <v>Error?</v>
      </c>
    </row>
    <row r="2562" spans="1:4" x14ac:dyDescent="0.2">
      <c r="A2562" s="5">
        <v>2501</v>
      </c>
      <c r="B2562" s="138">
        <f>'Acct Summary 7-8'!C20</f>
        <v>73139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1948522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1948522</v>
      </c>
      <c r="C2568" s="2" t="s">
        <v>573</v>
      </c>
      <c r="D2568" s="2" t="str">
        <f t="shared" si="39"/>
        <v>Error?</v>
      </c>
    </row>
    <row r="2569" spans="1:4" x14ac:dyDescent="0.2">
      <c r="A2569" s="5">
        <v>2508</v>
      </c>
      <c r="B2569" s="138">
        <f>'Acct Summary 7-8'!D13</f>
        <v>2616069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2616069</v>
      </c>
      <c r="C2573" s="2" t="s">
        <v>573</v>
      </c>
      <c r="D2573" s="2" t="str">
        <f t="shared" si="39"/>
        <v>Error?</v>
      </c>
    </row>
    <row r="2574" spans="1:4" x14ac:dyDescent="0.2">
      <c r="A2574" s="5">
        <v>2513</v>
      </c>
      <c r="B2574" s="138">
        <f>'Acct Summary 7-8'!D20</f>
        <v>-667547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584869</v>
      </c>
      <c r="C2591" s="2" t="s">
        <v>573</v>
      </c>
      <c r="D2591" s="2" t="str">
        <f t="shared" si="39"/>
        <v>Error?</v>
      </c>
    </row>
    <row r="2592" spans="1:4" x14ac:dyDescent="0.2">
      <c r="A2592" s="10">
        <v>2531</v>
      </c>
      <c r="D2592" s="2" t="str">
        <f t="shared" si="39"/>
        <v>OK</v>
      </c>
    </row>
    <row r="2593" spans="1:4" x14ac:dyDescent="0.2">
      <c r="A2593" s="5">
        <v>2532</v>
      </c>
      <c r="B2593" s="138">
        <f>'Acct Summary 7-8'!F6</f>
        <v>261675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846544</v>
      </c>
      <c r="C2595" s="2" t="s">
        <v>573</v>
      </c>
      <c r="D2595" s="2" t="str">
        <f t="shared" si="39"/>
        <v>Error?</v>
      </c>
    </row>
    <row r="2596" spans="1:4" x14ac:dyDescent="0.2">
      <c r="A2596" s="5">
        <v>2535</v>
      </c>
      <c r="B2596" s="138">
        <f>'Acct Summary 7-8'!F13</f>
        <v>808786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808786</v>
      </c>
      <c r="C2600" s="2" t="s">
        <v>573</v>
      </c>
      <c r="D2600" s="2" t="str">
        <f t="shared" si="39"/>
        <v>Error?</v>
      </c>
    </row>
    <row r="2601" spans="1:4" x14ac:dyDescent="0.2">
      <c r="A2601" s="5">
        <v>2540</v>
      </c>
      <c r="B2601" s="138">
        <f>'Acct Summary 7-8'!F20</f>
        <v>37758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503058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503058</v>
      </c>
      <c r="C2606" s="2" t="s">
        <v>573</v>
      </c>
      <c r="D2606" s="2" t="str">
        <f t="shared" si="39"/>
        <v>Error?</v>
      </c>
    </row>
    <row r="2607" spans="1:4" x14ac:dyDescent="0.2">
      <c r="A2607" s="5">
        <v>2546</v>
      </c>
      <c r="B2607" s="138">
        <f>'Acct Summary 7-8'!G12</f>
        <v>174730</v>
      </c>
      <c r="C2607" s="2" t="s">
        <v>573</v>
      </c>
      <c r="D2607" s="2" t="str">
        <f t="shared" si="39"/>
        <v>Error?</v>
      </c>
    </row>
    <row r="2608" spans="1:4" x14ac:dyDescent="0.2">
      <c r="A2608" s="5">
        <v>2547</v>
      </c>
      <c r="B2608" s="138">
        <f>'Acct Summary 7-8'!G13</f>
        <v>281088</v>
      </c>
      <c r="C2608" s="2" t="s">
        <v>573</v>
      </c>
      <c r="D2608" s="2" t="str">
        <f t="shared" si="39"/>
        <v>Error?</v>
      </c>
    </row>
    <row r="2609" spans="1:4" x14ac:dyDescent="0.2">
      <c r="A2609" s="5">
        <v>2548</v>
      </c>
      <c r="B2609" s="138">
        <f>'Acct Summary 7-8'!G14</f>
        <v>36263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492081</v>
      </c>
      <c r="C2612" s="2" t="s">
        <v>573</v>
      </c>
      <c r="D2612" s="2" t="str">
        <f t="shared" si="39"/>
        <v>Error?</v>
      </c>
    </row>
    <row r="2613" spans="1:4" x14ac:dyDescent="0.2">
      <c r="A2613" s="5">
        <v>2552</v>
      </c>
      <c r="B2613" s="138">
        <f>'Acct Summary 7-8'!G20</f>
        <v>10977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1154028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1154028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1949799</v>
      </c>
      <c r="C2634" s="2" t="s">
        <v>573</v>
      </c>
      <c r="D2634" s="2" t="str">
        <f t="shared" si="40"/>
        <v>Error?</v>
      </c>
    </row>
    <row r="2635" spans="1:4" x14ac:dyDescent="0.2">
      <c r="A2635" s="5">
        <v>2574</v>
      </c>
      <c r="B2635" s="138">
        <f>'Acct Summary 7-8'!E17</f>
        <v>1949799</v>
      </c>
      <c r="C2635" s="2" t="s">
        <v>573</v>
      </c>
      <c r="D2635" s="2" t="str">
        <f t="shared" si="40"/>
        <v>Error?</v>
      </c>
    </row>
    <row r="2636" spans="1:4" x14ac:dyDescent="0.2">
      <c r="A2636" s="5">
        <v>2575</v>
      </c>
      <c r="B2636" s="138">
        <f>'Acct Summary 7-8'!E20</f>
        <v>-795771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796379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796379</v>
      </c>
      <c r="C2658" s="2" t="s">
        <v>573</v>
      </c>
      <c r="D2658" s="2" t="str">
        <f t="shared" si="40"/>
        <v>Error?</v>
      </c>
    </row>
    <row r="2659" spans="1:4" x14ac:dyDescent="0.2">
      <c r="A2659" s="5">
        <v>2598</v>
      </c>
      <c r="B2659" s="138">
        <f>'Acct Summary 7-8'!H13</f>
        <v>938132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938132</v>
      </c>
      <c r="C2661" s="2" t="s">
        <v>573</v>
      </c>
      <c r="D2661" s="2" t="str">
        <f t="shared" si="40"/>
        <v>Error?</v>
      </c>
    </row>
    <row r="2662" spans="1:4" x14ac:dyDescent="0.2">
      <c r="A2662" s="5">
        <v>2601</v>
      </c>
      <c r="B2662" s="138">
        <f>'Acct Summary 7-8'!H20</f>
        <v>-141753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4239</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933</v>
      </c>
      <c r="D2723" s="2" t="str">
        <f t="shared" si="41"/>
        <v>Error?</v>
      </c>
    </row>
    <row r="2724" spans="1:4" x14ac:dyDescent="0.2">
      <c r="A2724" s="5">
        <v>2663</v>
      </c>
      <c r="B2724" s="138">
        <f>'Expenditures 15-22'!K51</f>
        <v>5172</v>
      </c>
      <c r="C2724" s="2" t="s">
        <v>573</v>
      </c>
      <c r="D2724" s="2" t="str">
        <f t="shared" si="41"/>
        <v>Error?</v>
      </c>
    </row>
    <row r="2725" spans="1:4" x14ac:dyDescent="0.2">
      <c r="A2725" s="5">
        <v>2664</v>
      </c>
      <c r="B2725" s="138">
        <f>'Expenditures 15-22'!D247</f>
        <v>104</v>
      </c>
      <c r="D2725" s="2" t="str">
        <f t="shared" si="41"/>
        <v>Error?</v>
      </c>
    </row>
    <row r="2726" spans="1:4" x14ac:dyDescent="0.2">
      <c r="A2726" s="5">
        <v>2665</v>
      </c>
      <c r="B2726" s="138">
        <f>'Expenditures 15-22'!K247</f>
        <v>104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517680</v>
      </c>
      <c r="C2789" s="2" t="s">
        <v>573</v>
      </c>
      <c r="D2789" s="2" t="str">
        <f t="shared" si="42"/>
        <v>Error?</v>
      </c>
    </row>
    <row r="2790" spans="1:4" x14ac:dyDescent="0.2">
      <c r="A2790" s="5">
        <v>2729</v>
      </c>
      <c r="B2790" s="138">
        <f>'Expenditures 15-22'!E102</f>
        <v>517680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1085864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388590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1085864</v>
      </c>
      <c r="D2912" s="2" t="str">
        <f t="shared" si="44"/>
        <v>Error?</v>
      </c>
    </row>
    <row r="2913" spans="1:4" x14ac:dyDescent="0.2">
      <c r="A2913" s="5">
        <v>2852</v>
      </c>
      <c r="B2913" s="138">
        <f>'Assets-Liab 5-6'!I41</f>
        <v>1085864</v>
      </c>
      <c r="C2913" s="2" t="s">
        <v>573</v>
      </c>
      <c r="D2913" s="2" t="str">
        <f t="shared" si="44"/>
        <v>Error?</v>
      </c>
    </row>
    <row r="2914" spans="1:4" x14ac:dyDescent="0.2">
      <c r="A2914" s="5">
        <v>2853</v>
      </c>
      <c r="B2914" s="138">
        <f>'Assets-Liab 5-6'!L33</f>
        <v>388590</v>
      </c>
      <c r="D2914" s="2" t="str">
        <f t="shared" si="44"/>
        <v>Error?</v>
      </c>
    </row>
    <row r="2915" spans="1:4" x14ac:dyDescent="0.2">
      <c r="A2915" s="10">
        <v>2854</v>
      </c>
      <c r="D2915" s="2" t="str">
        <f t="shared" si="44"/>
        <v>OK</v>
      </c>
    </row>
    <row r="2916" spans="1:4" x14ac:dyDescent="0.2">
      <c r="A2916" s="5">
        <v>2855</v>
      </c>
      <c r="B2916" s="138">
        <f>'Assets-Liab 5-6'!L34</f>
        <v>388590</v>
      </c>
      <c r="C2916" s="2" t="s">
        <v>573</v>
      </c>
      <c r="D2916" s="2" t="str">
        <f t="shared" si="44"/>
        <v>Error?</v>
      </c>
    </row>
    <row r="2917" spans="1:4" x14ac:dyDescent="0.2">
      <c r="A2917" s="5">
        <v>2856</v>
      </c>
      <c r="B2917" s="138">
        <f>'Assets-Liab 5-6'!L41</f>
        <v>388590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514505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3175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514505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3175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257435</v>
      </c>
      <c r="D3055" s="2" t="str">
        <f t="shared" si="46"/>
        <v>Error?</v>
      </c>
    </row>
    <row r="3056" spans="1:4" x14ac:dyDescent="0.2">
      <c r="A3056" s="5">
        <v>2995</v>
      </c>
      <c r="B3056" s="138">
        <f>'Expenditures 15-22'!D10</f>
        <v>80522</v>
      </c>
      <c r="D3056" s="2" t="str">
        <f t="shared" si="46"/>
        <v>Error?</v>
      </c>
    </row>
    <row r="3057" spans="1:4" x14ac:dyDescent="0.2">
      <c r="A3057" s="5">
        <v>2996</v>
      </c>
      <c r="B3057" s="138">
        <f>'Expenditures 15-22'!E10</f>
        <v>4784</v>
      </c>
      <c r="D3057" s="2" t="str">
        <f t="shared" si="46"/>
        <v>Error?</v>
      </c>
    </row>
    <row r="3058" spans="1:4" x14ac:dyDescent="0.2">
      <c r="A3058" s="5">
        <v>2997</v>
      </c>
      <c r="B3058" s="138">
        <f>'Expenditures 15-22'!F10</f>
        <v>63107</v>
      </c>
      <c r="D3058" s="2" t="str">
        <f t="shared" si="46"/>
        <v>Error?</v>
      </c>
    </row>
    <row r="3059" spans="1:4" x14ac:dyDescent="0.2">
      <c r="A3059" s="5">
        <v>2998</v>
      </c>
      <c r="B3059" s="138">
        <f>'Expenditures 15-22'!G10</f>
        <v>18525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424373</v>
      </c>
      <c r="C3062" s="2" t="s">
        <v>573</v>
      </c>
      <c r="D3062" s="2" t="str">
        <f t="shared" si="46"/>
        <v>Error?</v>
      </c>
    </row>
    <row r="3063" spans="1:4" x14ac:dyDescent="0.2">
      <c r="A3063" s="10">
        <v>3002</v>
      </c>
      <c r="D3063" s="2" t="str">
        <f t="shared" si="46"/>
        <v>OK</v>
      </c>
    </row>
    <row r="3064" spans="1:4" x14ac:dyDescent="0.2">
      <c r="A3064" s="5">
        <v>3003</v>
      </c>
      <c r="B3064" s="138">
        <f>'Expenditures 15-22'!D219</f>
        <v>16112</v>
      </c>
      <c r="D3064" s="2" t="str">
        <f t="shared" si="46"/>
        <v>Error?</v>
      </c>
    </row>
    <row r="3065" spans="1:4" x14ac:dyDescent="0.2">
      <c r="A3065" s="5">
        <v>3004</v>
      </c>
      <c r="B3065" s="138">
        <f>'Expenditures 15-22'!K219</f>
        <v>16112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234089</v>
      </c>
      <c r="C3225" s="2" t="s">
        <v>573</v>
      </c>
      <c r="D3225" s="2" t="str">
        <f t="shared" si="49"/>
        <v>Error?</v>
      </c>
    </row>
    <row r="3226" spans="1:4" x14ac:dyDescent="0.2">
      <c r="A3226" s="5">
        <v>3165</v>
      </c>
      <c r="B3226" s="138">
        <f>'Acct Summary 7-8'!I8</f>
        <v>234089</v>
      </c>
      <c r="C3226" s="2" t="s">
        <v>573</v>
      </c>
      <c r="D3226" s="2" t="str">
        <f t="shared" si="49"/>
        <v>Error?</v>
      </c>
    </row>
    <row r="3227" spans="1:4" x14ac:dyDescent="0.2">
      <c r="A3227" s="5">
        <v>3166</v>
      </c>
      <c r="B3227" s="138">
        <f>'Acct Summary 7-8'!I20</f>
        <v>234089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165000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165000</v>
      </c>
      <c r="C3232" s="2" t="s">
        <v>573</v>
      </c>
      <c r="D3232" s="2" t="str">
        <f t="shared" si="49"/>
        <v>Error?</v>
      </c>
    </row>
    <row r="3233" spans="1:4" x14ac:dyDescent="0.2">
      <c r="A3233" s="5">
        <v>3172</v>
      </c>
      <c r="B3233" s="138">
        <f>'Acct Summary 7-8'!C78</f>
        <v>238139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1000000</v>
      </c>
      <c r="C3238" s="2" t="s">
        <v>573</v>
      </c>
      <c r="D3238" s="2" t="str">
        <f t="shared" si="49"/>
        <v>Error?</v>
      </c>
    </row>
    <row r="3239" spans="1:4" x14ac:dyDescent="0.2">
      <c r="A3239" s="5">
        <v>3178</v>
      </c>
      <c r="B3239" s="138">
        <f>'Acct Summary 7-8'!D78</f>
        <v>332453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37758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10977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-795771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-141753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1165000</v>
      </c>
      <c r="C3318" s="2" t="s">
        <v>573</v>
      </c>
      <c r="D3318" s="2" t="str">
        <f t="shared" si="50"/>
        <v>Error?</v>
      </c>
    </row>
    <row r="3319" spans="1:4" x14ac:dyDescent="0.2">
      <c r="A3319" s="5">
        <v>3258</v>
      </c>
      <c r="B3319" s="138">
        <f>'Acct Summary 7-8'!I77</f>
        <v>-1165000</v>
      </c>
      <c r="C3319" s="2" t="s">
        <v>573</v>
      </c>
      <c r="D3319" s="2" t="str">
        <f t="shared" si="50"/>
        <v>Error?</v>
      </c>
    </row>
    <row r="3320" spans="1:4" x14ac:dyDescent="0.2">
      <c r="A3320" s="5">
        <v>3259</v>
      </c>
      <c r="B3320" s="138">
        <f>'Acct Summary 7-8'!I78</f>
        <v>-930911</v>
      </c>
      <c r="C3320" s="2" t="s">
        <v>573</v>
      </c>
      <c r="D3320" s="2" t="str">
        <f t="shared" si="50"/>
        <v>Error?</v>
      </c>
    </row>
    <row r="3321" spans="1:4" x14ac:dyDescent="0.2">
      <c r="A3321" s="5">
        <v>3260</v>
      </c>
      <c r="B3321" s="138">
        <f>'Acct Summary 7-8'!I79</f>
        <v>2016775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1085864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887509</v>
      </c>
      <c r="D3366" s="2" t="str">
        <f t="shared" si="51"/>
        <v>Error?</v>
      </c>
    </row>
    <row r="3367" spans="1:4" x14ac:dyDescent="0.2">
      <c r="A3367" s="5">
        <v>3306</v>
      </c>
      <c r="B3367" s="138">
        <f>'Expenditures 15-22'!C19</f>
        <v>47669</v>
      </c>
      <c r="D3367" s="2" t="str">
        <f t="shared" si="51"/>
        <v>Error?</v>
      </c>
    </row>
    <row r="3368" spans="1:4" x14ac:dyDescent="0.2">
      <c r="A3368" s="5">
        <v>3307</v>
      </c>
      <c r="B3368" s="138">
        <f>'Expenditures 15-22'!D8</f>
        <v>221733</v>
      </c>
      <c r="D3368" s="2" t="str">
        <f t="shared" si="51"/>
        <v>Error?</v>
      </c>
    </row>
    <row r="3369" spans="1:4" x14ac:dyDescent="0.2">
      <c r="A3369" s="5">
        <v>3308</v>
      </c>
      <c r="B3369" s="138">
        <f>'Expenditures 15-22'!D19</f>
        <v>10730</v>
      </c>
      <c r="D3369" s="2" t="str">
        <f t="shared" si="51"/>
        <v>Error?</v>
      </c>
    </row>
    <row r="3370" spans="1:4" x14ac:dyDescent="0.2">
      <c r="A3370" s="5">
        <v>3309</v>
      </c>
      <c r="B3370" s="138">
        <f>'Expenditures 15-22'!E8</f>
        <v>64462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6045</v>
      </c>
      <c r="D3372" s="2" t="str">
        <f t="shared" si="51"/>
        <v>Error?</v>
      </c>
    </row>
    <row r="3373" spans="1:4" x14ac:dyDescent="0.2">
      <c r="A3373" s="5">
        <v>3312</v>
      </c>
      <c r="B3373" s="138">
        <f>'Expenditures 15-22'!F19</f>
        <v>3252</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3012</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1179749</v>
      </c>
      <c r="C3380" s="2" t="s">
        <v>573</v>
      </c>
      <c r="D3380" s="2" t="str">
        <f t="shared" si="51"/>
        <v>Error?</v>
      </c>
    </row>
    <row r="3381" spans="1:4" x14ac:dyDescent="0.2">
      <c r="A3381" s="5">
        <v>3320</v>
      </c>
      <c r="B3381" s="138">
        <f>'Expenditures 15-22'!K19</f>
        <v>64663</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46544</v>
      </c>
      <c r="D3387" s="2" t="str">
        <f t="shared" si="51"/>
        <v>Error?</v>
      </c>
    </row>
    <row r="3388" spans="1:4" x14ac:dyDescent="0.2">
      <c r="A3388" s="5">
        <v>3327</v>
      </c>
      <c r="B3388" s="138">
        <f>'Expenditures 15-22'!D217</f>
        <v>32494</v>
      </c>
      <c r="D3388" s="2" t="str">
        <f t="shared" si="51"/>
        <v>Error?</v>
      </c>
    </row>
    <row r="3389" spans="1:4" x14ac:dyDescent="0.2">
      <c r="A3389" s="5">
        <v>3328</v>
      </c>
      <c r="B3389" s="138">
        <f>'Expenditures 15-22'!D228</f>
        <v>9915</v>
      </c>
      <c r="D3389" s="2" t="str">
        <f t="shared" si="51"/>
        <v>Error?</v>
      </c>
    </row>
    <row r="3390" spans="1:4" x14ac:dyDescent="0.2">
      <c r="A3390" s="5">
        <v>3329</v>
      </c>
      <c r="B3390" s="138">
        <f>'Expenditures 15-22'!K215</f>
        <v>46544</v>
      </c>
      <c r="C3390" s="2" t="s">
        <v>573</v>
      </c>
      <c r="D3390" s="2" t="str">
        <f t="shared" si="51"/>
        <v>Error?</v>
      </c>
    </row>
    <row r="3391" spans="1:4" x14ac:dyDescent="0.2">
      <c r="A3391" s="5">
        <v>3330</v>
      </c>
      <c r="B3391" s="138">
        <f>'Expenditures 15-22'!K217</f>
        <v>32494</v>
      </c>
      <c r="C3391" s="2" t="s">
        <v>573</v>
      </c>
      <c r="D3391" s="2" t="str">
        <f t="shared" ref="D3391:D3454" si="52">IF(ISBLANK(B3391),"OK",IF(A3391-B3391=0,"OK","Error?"))</f>
        <v>Error?</v>
      </c>
    </row>
    <row r="3392" spans="1:4" x14ac:dyDescent="0.2">
      <c r="A3392" s="5">
        <v>3331</v>
      </c>
      <c r="B3392" s="138">
        <f>'Expenditures 15-22'!K228</f>
        <v>9915</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3302957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1562138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419782</v>
      </c>
      <c r="D3417" s="2" t="str">
        <f t="shared" si="52"/>
        <v>Error?</v>
      </c>
    </row>
    <row r="3418" spans="1:4" x14ac:dyDescent="0.2">
      <c r="A3418" s="10">
        <v>3357</v>
      </c>
      <c r="D3418" s="2" t="str">
        <f t="shared" si="52"/>
        <v>OK</v>
      </c>
    </row>
    <row r="3419" spans="1:4" x14ac:dyDescent="0.2">
      <c r="A3419" s="5">
        <v>3358</v>
      </c>
      <c r="B3419" s="138">
        <f>'Assets-Liab 5-6'!F4</f>
        <v>1186576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488803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345078</v>
      </c>
      <c r="D3425" s="2" t="str">
        <f t="shared" si="52"/>
        <v>Error?</v>
      </c>
    </row>
    <row r="3426" spans="1:4" x14ac:dyDescent="0.2">
      <c r="A3426" s="10">
        <v>3365</v>
      </c>
      <c r="D3426" s="2" t="str">
        <f t="shared" si="52"/>
        <v>OK</v>
      </c>
    </row>
    <row r="3427" spans="1:4" x14ac:dyDescent="0.2">
      <c r="A3427" s="5">
        <v>3366</v>
      </c>
      <c r="B3427" s="138">
        <f>'Assets-Liab 5-6'!I4</f>
        <v>1085864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388590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232111</v>
      </c>
      <c r="C3446" s="2" t="s">
        <v>573</v>
      </c>
      <c r="D3446" s="2" t="str">
        <f t="shared" si="52"/>
        <v>Error?</v>
      </c>
    </row>
    <row r="3447" spans="1:4" x14ac:dyDescent="0.2">
      <c r="A3447" s="5">
        <v>3386</v>
      </c>
      <c r="B3447" s="138">
        <f>'Tax Sched 23'!D16</f>
        <v>232111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258000</v>
      </c>
      <c r="C3449" s="2" t="s">
        <v>573</v>
      </c>
      <c r="D3449" s="2" t="str">
        <f t="shared" si="52"/>
        <v>Error?</v>
      </c>
    </row>
    <row r="3450" spans="1:4" x14ac:dyDescent="0.2">
      <c r="A3450" s="5">
        <v>3389</v>
      </c>
      <c r="B3450" s="138">
        <f>'Tax Sched 23'!E16</f>
        <v>258000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18906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18906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18906</v>
      </c>
      <c r="D3567" s="2" t="str">
        <f t="shared" si="54"/>
        <v>Error?</v>
      </c>
    </row>
    <row r="3568" spans="1:4" x14ac:dyDescent="0.2">
      <c r="A3568" s="5">
        <v>3507</v>
      </c>
      <c r="B3568" s="138">
        <f>'Assets-Liab 5-6'!K41</f>
        <v>18906</v>
      </c>
      <c r="C3568" s="2" t="s">
        <v>573</v>
      </c>
      <c r="D3568" s="2" t="str">
        <f t="shared" si="54"/>
        <v>Error?</v>
      </c>
    </row>
    <row r="3569" spans="1:4" x14ac:dyDescent="0.2">
      <c r="A3569" s="5">
        <v>3508</v>
      </c>
      <c r="B3569" s="138">
        <f>'Acct Summary 7-8'!K4</f>
        <v>184479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184479</v>
      </c>
      <c r="C3571" s="2" t="s">
        <v>573</v>
      </c>
      <c r="D3571" s="2" t="str">
        <f t="shared" si="54"/>
        <v>Error?</v>
      </c>
    </row>
    <row r="3572" spans="1:4" x14ac:dyDescent="0.2">
      <c r="A3572" s="5">
        <v>3511</v>
      </c>
      <c r="B3572" s="138">
        <f>'Acct Summary 7-8'!K13</f>
        <v>368510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368510</v>
      </c>
      <c r="C3575" s="2" t="s">
        <v>573</v>
      </c>
      <c r="D3575" s="2" t="str">
        <f t="shared" si="54"/>
        <v>Error?</v>
      </c>
    </row>
    <row r="3576" spans="1:4" x14ac:dyDescent="0.2">
      <c r="A3576" s="5">
        <v>3515</v>
      </c>
      <c r="B3576" s="138">
        <f>'Acct Summary 7-8'!K20</f>
        <v>-184031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-184031</v>
      </c>
      <c r="C3588" s="2" t="s">
        <v>573</v>
      </c>
      <c r="D3588" s="2" t="str">
        <f t="shared" si="55"/>
        <v>Error?</v>
      </c>
    </row>
    <row r="3589" spans="1:4" x14ac:dyDescent="0.2">
      <c r="A3589" s="5">
        <v>3528</v>
      </c>
      <c r="B3589" s="138">
        <f>'Acct Summary 7-8'!K79</f>
        <v>202937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18906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368510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368510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368510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368510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368510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368510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368510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-184031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312073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756789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12985558</v>
      </c>
      <c r="C4122" s="2" t="s">
        <v>573</v>
      </c>
      <c r="D4122" s="2" t="str">
        <f t="shared" si="63"/>
        <v>Error?</v>
      </c>
    </row>
    <row r="4123" spans="1:4" x14ac:dyDescent="0.2">
      <c r="A4123" s="5">
        <v>4062</v>
      </c>
      <c r="B4123" s="138">
        <f>'Acct Summary 7-8'!D10</f>
        <v>1948522</v>
      </c>
      <c r="C4123" s="2" t="s">
        <v>573</v>
      </c>
      <c r="D4123" s="2" t="str">
        <f t="shared" si="63"/>
        <v>Error?</v>
      </c>
    </row>
    <row r="4124" spans="1:4" x14ac:dyDescent="0.2">
      <c r="A4124" s="5">
        <v>4063</v>
      </c>
      <c r="B4124" s="138">
        <f>'Acct Summary 7-8'!E10</f>
        <v>1154028</v>
      </c>
      <c r="C4124" s="2" t="s">
        <v>573</v>
      </c>
      <c r="D4124" s="2" t="str">
        <f t="shared" si="63"/>
        <v>Error?</v>
      </c>
    </row>
    <row r="4125" spans="1:4" x14ac:dyDescent="0.2">
      <c r="A4125" s="5">
        <v>4064</v>
      </c>
      <c r="B4125" s="138">
        <f>'Acct Summary 7-8'!F10</f>
        <v>846544</v>
      </c>
      <c r="C4125" s="2" t="s">
        <v>573</v>
      </c>
      <c r="D4125" s="2" t="str">
        <f t="shared" si="63"/>
        <v>Error?</v>
      </c>
    </row>
    <row r="4126" spans="1:4" x14ac:dyDescent="0.2">
      <c r="A4126" s="5">
        <v>4065</v>
      </c>
      <c r="B4126" s="138">
        <f>'Acct Summary 7-8'!G10</f>
        <v>503058</v>
      </c>
      <c r="C4126" s="2" t="s">
        <v>573</v>
      </c>
      <c r="D4126" s="2" t="str">
        <f t="shared" si="63"/>
        <v>Error?</v>
      </c>
    </row>
    <row r="4127" spans="1:4" x14ac:dyDescent="0.2">
      <c r="A4127" s="5">
        <v>4066</v>
      </c>
      <c r="B4127" s="138">
        <f>'Acct Summary 7-8'!H10</f>
        <v>796379</v>
      </c>
      <c r="C4127" s="2" t="s">
        <v>573</v>
      </c>
      <c r="D4127" s="2" t="str">
        <f t="shared" si="63"/>
        <v>Error?</v>
      </c>
    </row>
    <row r="4128" spans="1:4" x14ac:dyDescent="0.2">
      <c r="A4128" s="5">
        <v>4067</v>
      </c>
      <c r="B4128" s="138">
        <f>'Acct Summary 7-8'!I10</f>
        <v>234089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184479</v>
      </c>
      <c r="C4130" s="2" t="s">
        <v>573</v>
      </c>
      <c r="D4130" s="2" t="str">
        <f t="shared" si="63"/>
        <v>Error?</v>
      </c>
    </row>
    <row r="4131" spans="1:4" x14ac:dyDescent="0.2">
      <c r="A4131" s="5">
        <v>4070</v>
      </c>
      <c r="B4131" s="138">
        <f>'Acct Summary 7-8'!C18</f>
        <v>756789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12912419</v>
      </c>
      <c r="C4136" s="2" t="s">
        <v>573</v>
      </c>
      <c r="D4136" s="2" t="str">
        <f t="shared" si="63"/>
        <v>Error?</v>
      </c>
    </row>
    <row r="4137" spans="1:4" x14ac:dyDescent="0.2">
      <c r="A4137" s="5">
        <v>4076</v>
      </c>
      <c r="B4137" s="138">
        <f>'Acct Summary 7-8'!D19</f>
        <v>2616069</v>
      </c>
      <c r="C4137" s="2" t="s">
        <v>573</v>
      </c>
      <c r="D4137" s="2" t="str">
        <f t="shared" si="63"/>
        <v>Error?</v>
      </c>
    </row>
    <row r="4138" spans="1:4" x14ac:dyDescent="0.2">
      <c r="A4138" s="5">
        <v>4077</v>
      </c>
      <c r="B4138" s="138">
        <f>'Acct Summary 7-8'!E19</f>
        <v>1949799</v>
      </c>
      <c r="C4138" s="2" t="s">
        <v>573</v>
      </c>
      <c r="D4138" s="2" t="str">
        <f t="shared" si="63"/>
        <v>Error?</v>
      </c>
    </row>
    <row r="4139" spans="1:4" x14ac:dyDescent="0.2">
      <c r="A4139" s="5">
        <v>4078</v>
      </c>
      <c r="B4139" s="138">
        <f>'Acct Summary 7-8'!F19</f>
        <v>808786</v>
      </c>
      <c r="C4139" s="2" t="s">
        <v>573</v>
      </c>
      <c r="D4139" s="2" t="str">
        <f t="shared" si="63"/>
        <v>Error?</v>
      </c>
    </row>
    <row r="4140" spans="1:4" x14ac:dyDescent="0.2">
      <c r="A4140" s="5">
        <v>4079</v>
      </c>
      <c r="B4140" s="138">
        <f>'Acct Summary 7-8'!G19</f>
        <v>492081</v>
      </c>
      <c r="C4140" s="2" t="s">
        <v>573</v>
      </c>
      <c r="D4140" s="2" t="str">
        <f t="shared" si="63"/>
        <v>Error?</v>
      </c>
    </row>
    <row r="4141" spans="1:4" x14ac:dyDescent="0.2">
      <c r="A4141" s="5">
        <v>4080</v>
      </c>
      <c r="B4141" s="138">
        <f>'Acct Summary 7-8'!H19</f>
        <v>938132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368510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596423</v>
      </c>
      <c r="C4171" s="2" t="s">
        <v>573</v>
      </c>
      <c r="D4171" s="2" t="str">
        <f t="shared" si="64"/>
        <v>Error?</v>
      </c>
    </row>
    <row r="4172" spans="1:4" x14ac:dyDescent="0.2">
      <c r="A4172" s="5">
        <v>4111</v>
      </c>
      <c r="B4172" s="138">
        <f>'Short-Term Long-Term Debt 24'!J49</f>
        <v>176641</v>
      </c>
      <c r="C4172" s="2" t="s">
        <v>573</v>
      </c>
      <c r="D4172" s="2" t="str">
        <f t="shared" si="64"/>
        <v>Error?</v>
      </c>
    </row>
    <row r="4173" spans="1:4" x14ac:dyDescent="0.2">
      <c r="A4173" s="5">
        <v>4112</v>
      </c>
      <c r="B4173" s="138">
        <f>'Short-Term Long-Term Debt 24'!H49</f>
        <v>1826102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699</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1645.6200000000001</v>
      </c>
      <c r="C4265" s="2" t="s">
        <v>573</v>
      </c>
      <c r="D4265" s="2" t="str">
        <f t="shared" si="65"/>
        <v>Error?</v>
      </c>
      <c r="E4265" s="128"/>
    </row>
    <row r="4266" spans="1:5" x14ac:dyDescent="0.2">
      <c r="A4266" s="12">
        <v>4205</v>
      </c>
      <c r="B4266" s="138">
        <f>('FP Info 3'!F10)*100000</f>
        <v>314.55</v>
      </c>
      <c r="C4266" s="2" t="s">
        <v>573</v>
      </c>
      <c r="D4266" s="2" t="str">
        <f t="shared" si="65"/>
        <v>Error?</v>
      </c>
      <c r="E4266" s="128"/>
    </row>
    <row r="4267" spans="1:5" x14ac:dyDescent="0.2">
      <c r="A4267" s="12">
        <v>4206</v>
      </c>
      <c r="B4267" s="138">
        <f>('FP Info 3'!H10)*100000</f>
        <v>118.84</v>
      </c>
      <c r="C4267" s="2" t="s">
        <v>573</v>
      </c>
      <c r="D4267" s="2" t="str">
        <f t="shared" si="65"/>
        <v>Error?</v>
      </c>
      <c r="E4267" s="128"/>
    </row>
    <row r="4268" spans="1:5" x14ac:dyDescent="0.2">
      <c r="A4268" s="12">
        <v>4207</v>
      </c>
      <c r="B4268" s="138">
        <f>('FP Info 3'!J10)*100000</f>
        <v>2079</v>
      </c>
      <c r="C4268" s="2" t="s">
        <v>573</v>
      </c>
      <c r="D4268" s="2" t="str">
        <f t="shared" si="65"/>
        <v>Error?</v>
      </c>
    </row>
    <row r="4269" spans="1:5" x14ac:dyDescent="0.2">
      <c r="A4269" s="12">
        <v>4208</v>
      </c>
      <c r="B4269" s="138">
        <f>'FP Info 3'!J16</f>
        <v>7157802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9368</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22915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20851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9368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36977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45.69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14774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470970264</v>
      </c>
      <c r="D4995" s="2" t="str">
        <f t="shared" si="77"/>
        <v>Error?</v>
      </c>
    </row>
    <row r="4996" spans="1:4" x14ac:dyDescent="0.2">
      <c r="A4996" s="12">
        <v>4935</v>
      </c>
      <c r="B4996" s="138">
        <f>'FP Info 3'!H31</f>
        <v>32496948.216000002</v>
      </c>
      <c r="D4996" s="2" t="str">
        <f t="shared" si="77"/>
        <v>Error?</v>
      </c>
    </row>
    <row r="4997" spans="1:4" x14ac:dyDescent="0.2">
      <c r="A4997" s="12">
        <v>4936</v>
      </c>
      <c r="B4997" s="138">
        <f>'FP Info 3'!H37</f>
        <v>596423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7467212</v>
      </c>
      <c r="D5061" s="2" t="str">
        <f t="shared" si="78"/>
        <v>Error?</v>
      </c>
    </row>
    <row r="5062" spans="1:4" x14ac:dyDescent="0.2">
      <c r="A5062" s="10">
        <v>5001</v>
      </c>
      <c r="D5062" s="2" t="str">
        <f t="shared" si="78"/>
        <v>OK</v>
      </c>
    </row>
    <row r="5063" spans="1:4" x14ac:dyDescent="0.2">
      <c r="A5063" s="5">
        <v>5002</v>
      </c>
      <c r="B5063" s="138">
        <f>'Revenues 9-14'!C7</f>
        <v>98766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7565978</v>
      </c>
      <c r="C5066" s="2" t="s">
        <v>573</v>
      </c>
      <c r="D5066" s="2" t="str">
        <f t="shared" si="78"/>
        <v>Error?</v>
      </c>
    </row>
    <row r="5067" spans="1:4" x14ac:dyDescent="0.2">
      <c r="A5067" s="5">
        <v>5006</v>
      </c>
      <c r="B5067" s="138">
        <f>'Revenues 9-14'!C14</f>
        <v>16618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702118</v>
      </c>
      <c r="D5069" s="2" t="str">
        <f t="shared" si="78"/>
        <v>Error?</v>
      </c>
    </row>
    <row r="5070" spans="1:4" x14ac:dyDescent="0.2">
      <c r="A5070" s="5">
        <v>5009</v>
      </c>
      <c r="B5070" s="138">
        <f>'Revenues 9-14'!C17</f>
        <v>4500</v>
      </c>
      <c r="D5070" s="2" t="str">
        <f t="shared" si="78"/>
        <v>Error?</v>
      </c>
    </row>
    <row r="5071" spans="1:4" x14ac:dyDescent="0.2">
      <c r="A5071" s="5">
        <v>5010</v>
      </c>
      <c r="B5071" s="138">
        <f>'Revenues 9-14'!C18</f>
        <v>723236</v>
      </c>
      <c r="C5071" s="2" t="s">
        <v>573</v>
      </c>
      <c r="D5071" s="2" t="str">
        <f t="shared" si="78"/>
        <v>Error?</v>
      </c>
    </row>
    <row r="5072" spans="1:4" x14ac:dyDescent="0.2">
      <c r="A5072" s="5">
        <v>5011</v>
      </c>
      <c r="B5072" s="138">
        <f>'Revenues 9-14'!C20</f>
        <v>20769</v>
      </c>
      <c r="D5072" s="2" t="str">
        <f t="shared" si="78"/>
        <v>Error?</v>
      </c>
    </row>
    <row r="5073" spans="1:4" x14ac:dyDescent="0.2">
      <c r="A5073" s="5">
        <v>5012</v>
      </c>
      <c r="B5073" s="138">
        <f>'Revenues 9-14'!C21</f>
        <v>135132</v>
      </c>
      <c r="D5073" s="2" t="str">
        <f t="shared" si="78"/>
        <v>Error?</v>
      </c>
    </row>
    <row r="5074" spans="1:4" x14ac:dyDescent="0.2">
      <c r="A5074" s="5">
        <v>5013</v>
      </c>
      <c r="B5074" s="138">
        <f>'Revenues 9-14'!C22</f>
        <v>633</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156534</v>
      </c>
      <c r="C5087" s="2" t="s">
        <v>573</v>
      </c>
      <c r="D5087" s="2" t="str">
        <f t="shared" si="78"/>
        <v>Error?</v>
      </c>
    </row>
    <row r="5088" spans="1:4" x14ac:dyDescent="0.2">
      <c r="A5088" s="5">
        <v>5027</v>
      </c>
      <c r="B5088" s="138">
        <f>'Revenues 9-14'!C65</f>
        <v>32811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32811</v>
      </c>
      <c r="C5090" s="2" t="s">
        <v>573</v>
      </c>
      <c r="D5090" s="2" t="str">
        <f t="shared" si="78"/>
        <v>Error?</v>
      </c>
    </row>
    <row r="5091" spans="1:4" x14ac:dyDescent="0.2">
      <c r="A5091" s="5">
        <v>5030</v>
      </c>
      <c r="B5091" s="138">
        <f>'Revenues 9-14'!C70</f>
        <v>12239</v>
      </c>
      <c r="D5091" s="2" t="str">
        <f t="shared" si="78"/>
        <v>Error?</v>
      </c>
    </row>
    <row r="5092" spans="1:4" x14ac:dyDescent="0.2">
      <c r="A5092" s="5">
        <v>5031</v>
      </c>
      <c r="B5092" s="138">
        <f>'Revenues 9-14'!C71</f>
        <v>4415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11155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116788</v>
      </c>
      <c r="C5096" s="2" t="s">
        <v>573</v>
      </c>
      <c r="D5096" s="2" t="str">
        <f t="shared" si="78"/>
        <v>Error?</v>
      </c>
    </row>
    <row r="5097" spans="1:4" x14ac:dyDescent="0.2">
      <c r="A5097" s="5">
        <v>5036</v>
      </c>
      <c r="B5097" s="138">
        <f>'Revenues 9-14'!C77</f>
        <v>26246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1137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1378</v>
      </c>
      <c r="D5101" s="2" t="str">
        <f t="shared" si="78"/>
        <v>Error?</v>
      </c>
    </row>
    <row r="5102" spans="1:4" x14ac:dyDescent="0.2">
      <c r="A5102" s="5">
        <v>5041</v>
      </c>
      <c r="B5102" s="138">
        <f>'Revenues 9-14'!C82</f>
        <v>28761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493</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493</v>
      </c>
      <c r="C5112" s="2" t="s">
        <v>573</v>
      </c>
      <c r="D5112" s="2" t="str">
        <f t="shared" si="78"/>
        <v>Error?</v>
      </c>
    </row>
    <row r="5113" spans="1:4" x14ac:dyDescent="0.2">
      <c r="A5113" s="5">
        <v>5052</v>
      </c>
      <c r="B5113" s="138">
        <f>'Revenues 9-14'!C95</f>
        <v>8500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66</v>
      </c>
      <c r="D5118" s="2" t="str">
        <f t="shared" si="78"/>
        <v>Error?</v>
      </c>
    </row>
    <row r="5119" spans="1:4" x14ac:dyDescent="0.2">
      <c r="A5119" s="5">
        <v>5058</v>
      </c>
      <c r="B5119" s="138">
        <f>'Revenues 9-14'!C107</f>
        <v>42965</v>
      </c>
      <c r="D5119" s="2" t="str">
        <f t="shared" ref="D5119:D5182" si="79">IF(ISBLANK(B5119),"OK",IF(A5119-B5119=0,"OK","Error?"))</f>
        <v>Error?</v>
      </c>
    </row>
    <row r="5120" spans="1:4" x14ac:dyDescent="0.2">
      <c r="A5120" s="5">
        <v>5059</v>
      </c>
      <c r="B5120" s="138">
        <f>'Revenues 9-14'!C108</f>
        <v>56517</v>
      </c>
      <c r="C5120" s="2" t="s">
        <v>573</v>
      </c>
      <c r="D5120" s="2" t="str">
        <f t="shared" si="79"/>
        <v>Error?</v>
      </c>
    </row>
    <row r="5121" spans="1:4" x14ac:dyDescent="0.2">
      <c r="A5121" s="5">
        <v>5060</v>
      </c>
      <c r="B5121" s="138">
        <f>'Revenues 9-14'!C109</f>
        <v>8681118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1553089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1553089</v>
      </c>
      <c r="C5132" s="2" t="s">
        <v>573</v>
      </c>
      <c r="D5132" s="2" t="str">
        <f t="shared" si="79"/>
        <v>Error?</v>
      </c>
    </row>
    <row r="5133" spans="1:4" x14ac:dyDescent="0.2">
      <c r="A5133" s="5">
        <v>5072</v>
      </c>
      <c r="B5133" s="138">
        <f>'Revenues 9-14'!C125</f>
        <v>4626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111331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115957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5383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10299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6530</v>
      </c>
      <c r="D5167" s="2" t="str">
        <f t="shared" si="79"/>
        <v>Error?</v>
      </c>
    </row>
    <row r="5168" spans="1:4" x14ac:dyDescent="0.2">
      <c r="A5168" s="5">
        <v>5107</v>
      </c>
      <c r="B5168" s="138">
        <f>'Revenues 9-14'!C148</f>
        <v>37125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204028</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82134</v>
      </c>
      <c r="D5194" s="2" t="str">
        <f t="shared" si="80"/>
        <v>Error?</v>
      </c>
    </row>
    <row r="5195" spans="1:5" x14ac:dyDescent="0.2">
      <c r="A5195" s="10">
        <v>5134</v>
      </c>
      <c r="D5195" s="2" t="str">
        <f t="shared" si="80"/>
        <v>OK</v>
      </c>
    </row>
    <row r="5196" spans="1:5" x14ac:dyDescent="0.2">
      <c r="A5196" s="5">
        <v>5135</v>
      </c>
      <c r="B5196" s="138">
        <f>'Revenues 9-14'!C159</f>
        <v>272695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743542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2296631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226430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85642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312072</v>
      </c>
      <c r="C5246" s="2" t="s">
        <v>573</v>
      </c>
      <c r="D5246" s="2" t="str">
        <f t="shared" si="80"/>
        <v>Error?</v>
      </c>
    </row>
    <row r="5247" spans="1:4" x14ac:dyDescent="0.2">
      <c r="A5247" s="5">
        <v>5186</v>
      </c>
      <c r="B5247" s="138">
        <f>'Revenues 9-14'!C200</f>
        <v>657851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657851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60000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60000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8550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8550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122436</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1251020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1251020</v>
      </c>
      <c r="C5326" s="2" t="s">
        <v>573</v>
      </c>
      <c r="D5326" s="2" t="str">
        <f t="shared" si="82"/>
        <v>Error?</v>
      </c>
    </row>
    <row r="5327" spans="1:5" x14ac:dyDescent="0.2">
      <c r="A5327" s="5">
        <v>5266</v>
      </c>
      <c r="B5327" s="138">
        <f>'Revenues 9-14'!C268</f>
        <v>12228769</v>
      </c>
      <c r="C5327" s="2" t="s">
        <v>573</v>
      </c>
      <c r="D5327" s="2" t="str">
        <f t="shared" si="82"/>
        <v>Error?</v>
      </c>
    </row>
    <row r="5328" spans="1:5" x14ac:dyDescent="0.2">
      <c r="A5328" s="5">
        <v>5267</v>
      </c>
      <c r="B5328" s="138">
        <f>'Revenues 9-14'!D5</f>
        <v>1481154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1481154</v>
      </c>
      <c r="C5334" s="2" t="s">
        <v>573</v>
      </c>
      <c r="D5334" s="2" t="str">
        <f t="shared" si="82"/>
        <v>Error?</v>
      </c>
    </row>
    <row r="5335" spans="1:4" x14ac:dyDescent="0.2">
      <c r="A5335" s="5">
        <v>5274</v>
      </c>
      <c r="B5335" s="138">
        <f>'Revenues 9-14'!D14</f>
        <v>3061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881</v>
      </c>
      <c r="D5338" s="2" t="str">
        <f t="shared" si="82"/>
        <v>Error?</v>
      </c>
    </row>
    <row r="5339" spans="1:4" x14ac:dyDescent="0.2">
      <c r="A5339" s="5">
        <v>5278</v>
      </c>
      <c r="B5339" s="138">
        <f>'Revenues 9-14'!D18</f>
        <v>3942</v>
      </c>
      <c r="C5339" s="2" t="s">
        <v>573</v>
      </c>
      <c r="D5339" s="2" t="str">
        <f t="shared" si="82"/>
        <v>Error?</v>
      </c>
    </row>
    <row r="5340" spans="1:4" x14ac:dyDescent="0.2">
      <c r="A5340" s="5">
        <v>5279</v>
      </c>
      <c r="B5340" s="138">
        <f>'Revenues 9-14'!D65</f>
        <v>14026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14026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22125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427275</v>
      </c>
      <c r="D5354" s="2" t="str">
        <f t="shared" si="82"/>
        <v>Error?</v>
      </c>
    </row>
    <row r="5355" spans="1:4" x14ac:dyDescent="0.2">
      <c r="A5355" s="5">
        <v>5294</v>
      </c>
      <c r="B5355" s="138">
        <f>'Revenues 9-14'!D108</f>
        <v>449400</v>
      </c>
      <c r="C5355" s="2" t="s">
        <v>573</v>
      </c>
      <c r="D5355" s="2" t="str">
        <f t="shared" si="82"/>
        <v>Error?</v>
      </c>
    </row>
    <row r="5356" spans="1:4" x14ac:dyDescent="0.2">
      <c r="A5356" s="5">
        <v>5295</v>
      </c>
      <c r="B5356" s="138">
        <f>'Revenues 9-14'!D109</f>
        <v>1948522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1948522</v>
      </c>
      <c r="C5508" s="2" t="s">
        <v>573</v>
      </c>
      <c r="D5508" s="2" t="str">
        <f t="shared" si="85"/>
        <v>Error?</v>
      </c>
    </row>
    <row r="5509" spans="1:4" x14ac:dyDescent="0.2">
      <c r="A5509" s="5">
        <v>5448</v>
      </c>
      <c r="B5509" s="138">
        <f>'Revenues 9-14'!E5</f>
        <v>1144408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1144408</v>
      </c>
      <c r="C5513" s="2" t="s">
        <v>573</v>
      </c>
      <c r="D5513" s="2" t="str">
        <f t="shared" si="85"/>
        <v>Error?</v>
      </c>
    </row>
    <row r="5514" spans="1:4" x14ac:dyDescent="0.2">
      <c r="A5514" s="5">
        <v>5453</v>
      </c>
      <c r="B5514" s="138">
        <f>'Revenues 9-14'!E14</f>
        <v>2363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740</v>
      </c>
      <c r="D5517" s="2" t="str">
        <f t="shared" si="85"/>
        <v>Error?</v>
      </c>
    </row>
    <row r="5518" spans="1:4" x14ac:dyDescent="0.2">
      <c r="A5518" s="5">
        <v>5457</v>
      </c>
      <c r="B5518" s="138">
        <f>'Revenues 9-14'!E18</f>
        <v>3103</v>
      </c>
      <c r="C5518" s="2" t="s">
        <v>573</v>
      </c>
      <c r="D5518" s="2" t="str">
        <f t="shared" si="85"/>
        <v>Error?</v>
      </c>
    </row>
    <row r="5519" spans="1:4" x14ac:dyDescent="0.2">
      <c r="A5519" s="5">
        <v>5458</v>
      </c>
      <c r="B5519" s="138">
        <f>'Revenues 9-14'!E65</f>
        <v>6517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6517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1154028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1154028</v>
      </c>
      <c r="C5552" s="2" t="s">
        <v>573</v>
      </c>
      <c r="D5552" s="2" t="str">
        <f t="shared" si="85"/>
        <v>Error?</v>
      </c>
    </row>
    <row r="5553" spans="1:4" x14ac:dyDescent="0.2">
      <c r="A5553" s="5">
        <v>5492</v>
      </c>
      <c r="B5553" s="138">
        <f>'Revenues 9-14'!F5</f>
        <v>570713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570713</v>
      </c>
      <c r="C5557" s="2" t="s">
        <v>573</v>
      </c>
      <c r="D5557" s="2" t="str">
        <f t="shared" si="85"/>
        <v>Error?</v>
      </c>
    </row>
    <row r="5558" spans="1:4" x14ac:dyDescent="0.2">
      <c r="A5558" s="5">
        <v>5497</v>
      </c>
      <c r="B5558" s="138">
        <f>'Revenues 9-14'!F14</f>
        <v>1178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382</v>
      </c>
      <c r="D5561" s="2" t="str">
        <f t="shared" si="85"/>
        <v>Error?</v>
      </c>
    </row>
    <row r="5562" spans="1:4" x14ac:dyDescent="0.2">
      <c r="A5562" s="5">
        <v>5501</v>
      </c>
      <c r="B5562" s="138">
        <f>'Revenues 9-14'!F18</f>
        <v>1560</v>
      </c>
      <c r="C5562" s="2" t="s">
        <v>573</v>
      </c>
      <c r="D5562" s="2" t="str">
        <f t="shared" si="85"/>
        <v>Error?</v>
      </c>
    </row>
    <row r="5563" spans="1:4" x14ac:dyDescent="0.2">
      <c r="A5563" s="5">
        <v>5502</v>
      </c>
      <c r="B5563" s="138">
        <f>'Revenues 9-14'!F42</f>
        <v>850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850</v>
      </c>
      <c r="C5579" s="2" t="s">
        <v>573</v>
      </c>
      <c r="D5579" s="2" t="str">
        <f t="shared" si="86"/>
        <v>Error?</v>
      </c>
    </row>
    <row r="5580" spans="1:4" x14ac:dyDescent="0.2">
      <c r="A5580" s="5">
        <v>5519</v>
      </c>
      <c r="B5580" s="138">
        <f>'Revenues 9-14'!F65</f>
        <v>11746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11746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584869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140927</v>
      </c>
      <c r="D5615" s="2" t="str">
        <f t="shared" si="86"/>
        <v>Error?</v>
      </c>
    </row>
    <row r="5616" spans="1:4" x14ac:dyDescent="0.2">
      <c r="A5616" s="10">
        <v>5555</v>
      </c>
      <c r="D5616" s="2" t="str">
        <f t="shared" si="86"/>
        <v>OK</v>
      </c>
    </row>
    <row r="5617" spans="1:5" x14ac:dyDescent="0.2">
      <c r="A5617" s="5">
        <v>5556</v>
      </c>
      <c r="B5617" s="138">
        <f>'Revenues 9-14'!F153</f>
        <v>120748</v>
      </c>
      <c r="D5617" s="2" t="str">
        <f t="shared" si="86"/>
        <v>Error?</v>
      </c>
    </row>
    <row r="5618" spans="1:5" x14ac:dyDescent="0.2">
      <c r="A5618" s="5">
        <v>5557</v>
      </c>
      <c r="B5618" s="138">
        <f>'Revenues 9-14'!F155</f>
        <v>261675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261675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261675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846544</v>
      </c>
      <c r="C5720" s="2" t="s">
        <v>573</v>
      </c>
      <c r="D5720" s="2" t="str">
        <f t="shared" si="88"/>
        <v>Error?</v>
      </c>
    </row>
    <row r="5721" spans="1:4" x14ac:dyDescent="0.2">
      <c r="A5721" s="5">
        <v>5660</v>
      </c>
      <c r="B5721" s="138">
        <f>'Revenues 9-14'!G5</f>
        <v>246854</v>
      </c>
      <c r="D5721" s="2" t="str">
        <f t="shared" si="88"/>
        <v>Error?</v>
      </c>
    </row>
    <row r="5722" spans="1:4" x14ac:dyDescent="0.2">
      <c r="A5722" s="5">
        <v>5661</v>
      </c>
      <c r="B5722" s="138">
        <f>'Revenues 9-14'!G7</f>
        <v>0</v>
      </c>
      <c r="D5722" s="2" t="str">
        <f t="shared" si="88"/>
        <v>Error?</v>
      </c>
    </row>
    <row r="5723" spans="1:4" x14ac:dyDescent="0.2">
      <c r="A5723" s="5">
        <v>5662</v>
      </c>
      <c r="B5723" s="138">
        <f>'Revenues 9-14'!G8</f>
        <v>232111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478965</v>
      </c>
      <c r="C5725" s="2" t="s">
        <v>573</v>
      </c>
      <c r="D5725" s="2" t="str">
        <f t="shared" si="88"/>
        <v>Error?</v>
      </c>
    </row>
    <row r="5726" spans="1:4" x14ac:dyDescent="0.2">
      <c r="A5726" s="5">
        <v>5665</v>
      </c>
      <c r="B5726" s="138">
        <f>'Revenues 9-14'!G14</f>
        <v>990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18000</v>
      </c>
      <c r="D5728" s="2" t="str">
        <f t="shared" si="88"/>
        <v>Error?</v>
      </c>
    </row>
    <row r="5729" spans="1:4" x14ac:dyDescent="0.2">
      <c r="A5729" s="5">
        <v>5668</v>
      </c>
      <c r="B5729" s="138">
        <f>'Revenues 9-14'!G17</f>
        <v>285</v>
      </c>
      <c r="D5729" s="2" t="str">
        <f t="shared" si="88"/>
        <v>Error?</v>
      </c>
    </row>
    <row r="5730" spans="1:4" x14ac:dyDescent="0.2">
      <c r="A5730" s="5">
        <v>5669</v>
      </c>
      <c r="B5730" s="138">
        <f>'Revenues 9-14'!G18</f>
        <v>19275</v>
      </c>
      <c r="C5730" s="2" t="s">
        <v>573</v>
      </c>
      <c r="D5730" s="2" t="str">
        <f t="shared" si="88"/>
        <v>Error?</v>
      </c>
    </row>
    <row r="5731" spans="1:4" x14ac:dyDescent="0.2">
      <c r="A5731" s="5">
        <v>5670</v>
      </c>
      <c r="B5731" s="138">
        <f>'Revenues 9-14'!G65</f>
        <v>4818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4818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503058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4040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4040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792339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796379</v>
      </c>
      <c r="C5915" s="2" t="s">
        <v>573</v>
      </c>
      <c r="D5915" s="2" t="str">
        <f t="shared" si="91"/>
        <v>Error?</v>
      </c>
    </row>
    <row r="5916" spans="1:4" x14ac:dyDescent="0.2">
      <c r="A5916" s="5">
        <v>5855</v>
      </c>
      <c r="B5916" s="138">
        <f>'Revenues 9-14'!I5</f>
        <v>217308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217308</v>
      </c>
      <c r="C5918" s="2" t="s">
        <v>573</v>
      </c>
      <c r="D5918" s="2" t="str">
        <f t="shared" si="91"/>
        <v>Error?</v>
      </c>
    </row>
    <row r="5919" spans="1:4" x14ac:dyDescent="0.2">
      <c r="A5919" s="5">
        <v>5858</v>
      </c>
      <c r="B5919" s="138">
        <f>'Revenues 9-14'!I14</f>
        <v>449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129</v>
      </c>
      <c r="D5922" s="2" t="str">
        <f t="shared" si="91"/>
        <v>Error?</v>
      </c>
    </row>
    <row r="5923" spans="1:4" x14ac:dyDescent="0.2">
      <c r="A5923" s="5">
        <v>5862</v>
      </c>
      <c r="B5923" s="138">
        <f>'Revenues 9-14'!I18</f>
        <v>578</v>
      </c>
      <c r="C5923" s="2" t="s">
        <v>573</v>
      </c>
      <c r="D5923" s="2" t="str">
        <f t="shared" si="91"/>
        <v>Error?</v>
      </c>
    </row>
    <row r="5924" spans="1:4" x14ac:dyDescent="0.2">
      <c r="A5924" s="5">
        <v>5863</v>
      </c>
      <c r="B5924" s="138">
        <f>'Revenues 9-14'!I65</f>
        <v>16203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16203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234089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183688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183688</v>
      </c>
      <c r="C5987" s="2" t="s">
        <v>573</v>
      </c>
      <c r="D5987" s="2" t="str">
        <f t="shared" si="92"/>
        <v>Error?</v>
      </c>
    </row>
    <row r="5988" spans="1:4" x14ac:dyDescent="0.2">
      <c r="A5988" s="5">
        <v>5927</v>
      </c>
      <c r="B5988" s="138">
        <f>'Revenues 9-14'!K14</f>
        <v>380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109</v>
      </c>
      <c r="D5991" s="2" t="str">
        <f t="shared" si="92"/>
        <v>Error?</v>
      </c>
    </row>
    <row r="5992" spans="1:4" x14ac:dyDescent="0.2">
      <c r="A5992" s="5">
        <v>5931</v>
      </c>
      <c r="B5992" s="138">
        <f>'Revenues 9-14'!K18</f>
        <v>489</v>
      </c>
      <c r="C5992" s="2" t="s">
        <v>573</v>
      </c>
      <c r="D5992" s="2" t="str">
        <f t="shared" si="92"/>
        <v>Error?</v>
      </c>
    </row>
    <row r="5993" spans="1:4" x14ac:dyDescent="0.2">
      <c r="A5993" s="5">
        <v>5932</v>
      </c>
      <c r="B5993" s="138">
        <f>'Revenues 9-14'!K65</f>
        <v>302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184479</v>
      </c>
      <c r="C6023" s="2" t="s">
        <v>573</v>
      </c>
      <c r="D6023" s="2" t="str">
        <f t="shared" si="93"/>
        <v>Error?</v>
      </c>
    </row>
    <row r="6024" spans="1:5" x14ac:dyDescent="0.2">
      <c r="A6024" s="5">
        <v>5963</v>
      </c>
      <c r="B6024" s="138">
        <f>'Revenues 9-14'!G109</f>
        <v>503058</v>
      </c>
      <c r="C6024" s="2" t="s">
        <v>573</v>
      </c>
      <c r="D6024" s="2" t="str">
        <f t="shared" si="93"/>
        <v>Error?</v>
      </c>
    </row>
    <row r="6025" spans="1:5" x14ac:dyDescent="0.2">
      <c r="A6025" s="5">
        <v>5964</v>
      </c>
      <c r="B6025" s="138">
        <f>'Revenues 9-14'!H109</f>
        <v>796379</v>
      </c>
      <c r="C6025" s="2" t="s">
        <v>573</v>
      </c>
      <c r="D6025" s="2" t="str">
        <f t="shared" si="93"/>
        <v>Error?</v>
      </c>
    </row>
    <row r="6026" spans="1:5" x14ac:dyDescent="0.2">
      <c r="A6026" s="5">
        <v>5965</v>
      </c>
      <c r="B6026" s="138">
        <f>'Revenues 9-14'!I109</f>
        <v>234089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184479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88979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34399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831.9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274630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274630</v>
      </c>
      <c r="D6215" s="2" t="str">
        <f t="shared" si="96"/>
        <v>Error?</v>
      </c>
      <c r="E6215" s="2" t="s">
        <v>190</v>
      </c>
    </row>
    <row r="6216" spans="1:5" x14ac:dyDescent="0.2">
      <c r="A6216">
        <v>6155</v>
      </c>
      <c r="B6216" s="138">
        <f>'Assets-Liab 5-6'!J41</f>
        <v>274630</v>
      </c>
      <c r="D6216" s="2" t="str">
        <f t="shared" si="96"/>
        <v>Error?</v>
      </c>
      <c r="E6216" s="2" t="s">
        <v>190</v>
      </c>
    </row>
    <row r="6217" spans="1:5" x14ac:dyDescent="0.2">
      <c r="A6217">
        <v>6156</v>
      </c>
      <c r="B6217" s="138">
        <f>'Assets-Liab 5-6'!J4</f>
        <v>274630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348356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348356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348356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172315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172315</v>
      </c>
      <c r="D6229" s="2" t="str">
        <f t="shared" si="96"/>
        <v>Error?</v>
      </c>
      <c r="E6229" s="2" t="s">
        <v>190</v>
      </c>
    </row>
    <row r="6230" spans="1:5" x14ac:dyDescent="0.2">
      <c r="A6230">
        <v>6169</v>
      </c>
      <c r="B6230" s="138">
        <f>'Acct Summary 7-8'!J20</f>
        <v>176041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176041</v>
      </c>
      <c r="D6263" s="2" t="str">
        <f t="shared" si="96"/>
        <v>Error?</v>
      </c>
      <c r="E6263" s="2" t="s">
        <v>190</v>
      </c>
    </row>
    <row r="6264" spans="1:5" x14ac:dyDescent="0.2">
      <c r="A6264">
        <v>6203</v>
      </c>
      <c r="B6264" s="138">
        <f>'Acct Summary 7-8'!J79</f>
        <v>98589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274630</v>
      </c>
      <c r="D6266" s="2" t="str">
        <f t="shared" si="96"/>
        <v>Error?</v>
      </c>
      <c r="E6266" s="2" t="s">
        <v>190</v>
      </c>
    </row>
    <row r="6267" spans="1:5" x14ac:dyDescent="0.2">
      <c r="A6267">
        <v>6206</v>
      </c>
      <c r="B6267" s="138">
        <f>'Acct Summary 7-8'!C82</f>
        <v>238139</v>
      </c>
      <c r="D6267" s="2" t="str">
        <f t="shared" si="96"/>
        <v>Error?</v>
      </c>
      <c r="E6267" s="2" t="s">
        <v>190</v>
      </c>
    </row>
    <row r="6268" spans="1:5" x14ac:dyDescent="0.2">
      <c r="A6268">
        <v>6207</v>
      </c>
      <c r="B6268" s="138">
        <f>'Acct Summary 7-8'!D82</f>
        <v>332453</v>
      </c>
      <c r="D6268" s="2" t="str">
        <f t="shared" si="96"/>
        <v>Error?</v>
      </c>
      <c r="E6268" s="2" t="s">
        <v>190</v>
      </c>
    </row>
    <row r="6269" spans="1:5" x14ac:dyDescent="0.2">
      <c r="A6269">
        <v>6208</v>
      </c>
      <c r="B6269" s="138">
        <f>'Acct Summary 7-8'!E82</f>
        <v>-795771</v>
      </c>
      <c r="D6269" s="2" t="str">
        <f t="shared" si="96"/>
        <v>Error?</v>
      </c>
      <c r="E6269" s="2" t="s">
        <v>190</v>
      </c>
    </row>
    <row r="6270" spans="1:5" x14ac:dyDescent="0.2">
      <c r="A6270">
        <v>6209</v>
      </c>
      <c r="B6270" s="138">
        <f>'Acct Summary 7-8'!F82</f>
        <v>37758</v>
      </c>
      <c r="D6270" s="2" t="str">
        <f t="shared" si="96"/>
        <v>Error?</v>
      </c>
      <c r="E6270" s="2" t="s">
        <v>190</v>
      </c>
    </row>
    <row r="6271" spans="1:5" x14ac:dyDescent="0.2">
      <c r="A6271">
        <v>6210</v>
      </c>
      <c r="B6271" s="138">
        <f>'Acct Summary 7-8'!G82</f>
        <v>10977</v>
      </c>
      <c r="D6271" s="2" t="str">
        <f t="shared" ref="D6271:D6334" si="97">IF(ISBLANK(B6271),"OK",IF(A6271-B6271=0,"OK","Error?"))</f>
        <v>Error?</v>
      </c>
      <c r="E6271" s="2" t="s">
        <v>190</v>
      </c>
    </row>
    <row r="6272" spans="1:5" x14ac:dyDescent="0.2">
      <c r="A6272">
        <v>6211</v>
      </c>
      <c r="B6272" s="138">
        <f>'Acct Summary 7-8'!H82</f>
        <v>-141753</v>
      </c>
      <c r="D6272" s="2" t="str">
        <f t="shared" si="97"/>
        <v>Error?</v>
      </c>
      <c r="E6272" s="2" t="s">
        <v>190</v>
      </c>
    </row>
    <row r="6273" spans="1:5" x14ac:dyDescent="0.2">
      <c r="A6273">
        <v>6212</v>
      </c>
      <c r="B6273" s="138">
        <f>'Acct Summary 7-8'!I82</f>
        <v>-930911</v>
      </c>
      <c r="D6273" s="2" t="str">
        <f t="shared" si="97"/>
        <v>Error?</v>
      </c>
      <c r="E6273" s="2" t="s">
        <v>190</v>
      </c>
    </row>
    <row r="6274" spans="1:5" x14ac:dyDescent="0.2">
      <c r="A6274">
        <v>6213</v>
      </c>
      <c r="B6274" s="138">
        <f>'Acct Summary 7-8'!J82</f>
        <v>176041</v>
      </c>
      <c r="D6274" s="2" t="str">
        <f t="shared" si="97"/>
        <v>Error?</v>
      </c>
      <c r="E6274" s="2" t="s">
        <v>190</v>
      </c>
    </row>
    <row r="6275" spans="1:5" x14ac:dyDescent="0.2">
      <c r="A6275">
        <v>6214</v>
      </c>
      <c r="B6275" s="138">
        <f>'Acct Summary 7-8'!K82</f>
        <v>-184031</v>
      </c>
      <c r="D6275" s="2" t="str">
        <f t="shared" si="97"/>
        <v>Error?</v>
      </c>
      <c r="E6275" s="2" t="s">
        <v>190</v>
      </c>
    </row>
    <row r="6276" spans="1:5" x14ac:dyDescent="0.2">
      <c r="A6276">
        <v>6215</v>
      </c>
      <c r="B6276" s="138">
        <f>'Acct Summary 7-8'!C83</f>
        <v>7.1655706934330071E-2</v>
      </c>
      <c r="D6276" s="2" t="str">
        <f t="shared" si="97"/>
        <v>Error?</v>
      </c>
      <c r="E6276" s="2" t="s">
        <v>190</v>
      </c>
    </row>
    <row r="6277" spans="1:5" x14ac:dyDescent="0.2">
      <c r="A6277">
        <v>6216</v>
      </c>
      <c r="B6277" s="138">
        <f>'Acct Summary 7-8'!D83</f>
        <v>0.21284020835040562</v>
      </c>
      <c r="D6277" s="2" t="str">
        <f t="shared" si="97"/>
        <v>Error?</v>
      </c>
      <c r="E6277" s="2" t="s">
        <v>190</v>
      </c>
    </row>
    <row r="6278" spans="1:5" x14ac:dyDescent="0.2">
      <c r="A6278">
        <v>6217</v>
      </c>
      <c r="B6278" s="138">
        <f>'Acct Summary 7-8'!E83</f>
        <v>-1.8956768036742881</v>
      </c>
      <c r="D6278" s="2" t="str">
        <f t="shared" si="97"/>
        <v>Error?</v>
      </c>
      <c r="E6278" s="2" t="s">
        <v>190</v>
      </c>
    </row>
    <row r="6279" spans="1:5" x14ac:dyDescent="0.2">
      <c r="A6279">
        <v>6218</v>
      </c>
      <c r="B6279" s="138">
        <f>'Acct Summary 7-8'!F83</f>
        <v>3.1820970591011445E-2</v>
      </c>
      <c r="D6279" s="2" t="str">
        <f t="shared" si="97"/>
        <v>Error?</v>
      </c>
      <c r="E6279" s="2" t="s">
        <v>190</v>
      </c>
    </row>
    <row r="6280" spans="1:5" x14ac:dyDescent="0.2">
      <c r="A6280">
        <v>6219</v>
      </c>
      <c r="B6280" s="138">
        <f>'Acct Summary 7-8'!G83</f>
        <v>2.2456899814444674E-2</v>
      </c>
      <c r="D6280" s="2" t="str">
        <f t="shared" si="97"/>
        <v>Error?</v>
      </c>
      <c r="E6280" s="2" t="s">
        <v>190</v>
      </c>
    </row>
    <row r="6281" spans="1:5" x14ac:dyDescent="0.2">
      <c r="A6281">
        <v>6220</v>
      </c>
      <c r="B6281" s="138">
        <f>'Acct Summary 7-8'!H83</f>
        <v>-0.41078538765148748</v>
      </c>
      <c r="D6281" s="2" t="str">
        <f t="shared" si="97"/>
        <v>Error?</v>
      </c>
      <c r="E6281" s="2" t="s">
        <v>190</v>
      </c>
    </row>
    <row r="6282" spans="1:5" x14ac:dyDescent="0.2">
      <c r="A6282">
        <v>6221</v>
      </c>
      <c r="B6282" s="138">
        <f>'Acct Summary 7-8'!I83</f>
        <v>-0.85729980918420723</v>
      </c>
      <c r="D6282" s="2" t="str">
        <f t="shared" si="97"/>
        <v>Error?</v>
      </c>
      <c r="E6282" s="2" t="s">
        <v>190</v>
      </c>
    </row>
    <row r="6283" spans="1:5" x14ac:dyDescent="0.2">
      <c r="A6283">
        <v>6222</v>
      </c>
      <c r="B6283" s="138">
        <f>'Acct Summary 7-8'!J83</f>
        <v>0.64101154280304407</v>
      </c>
      <c r="D6283" s="2" t="str">
        <f t="shared" si="97"/>
        <v>Error?</v>
      </c>
      <c r="E6283" s="2" t="s">
        <v>190</v>
      </c>
    </row>
    <row r="6284" spans="1:5" x14ac:dyDescent="0.2">
      <c r="A6284">
        <v>6223</v>
      </c>
      <c r="B6284" s="138">
        <f>'Acct Summary 7-8'!K83</f>
        <v>-9.7339997884269547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345621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345621</v>
      </c>
      <c r="D6301" s="2" t="str">
        <f t="shared" si="97"/>
        <v>Error?</v>
      </c>
      <c r="E6301" s="2" t="s">
        <v>190</v>
      </c>
    </row>
    <row r="6302" spans="1:5" x14ac:dyDescent="0.2">
      <c r="A6302">
        <v>6241</v>
      </c>
      <c r="B6302" s="138">
        <f>'Revenues 9-14'!J14</f>
        <v>714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205</v>
      </c>
      <c r="D6305" s="2" t="str">
        <f t="shared" si="97"/>
        <v>Error?</v>
      </c>
      <c r="E6305" s="2" t="s">
        <v>190</v>
      </c>
    </row>
    <row r="6306" spans="1:5" x14ac:dyDescent="0.2">
      <c r="A6306">
        <v>6245</v>
      </c>
      <c r="B6306" s="138">
        <f>'Revenues 9-14'!J18</f>
        <v>919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1816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1816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3939</v>
      </c>
      <c r="D6339" s="2" t="str">
        <f t="shared" si="98"/>
        <v>Error?</v>
      </c>
      <c r="E6339" s="2" t="s">
        <v>190</v>
      </c>
    </row>
    <row r="6340" spans="1:5" x14ac:dyDescent="0.2">
      <c r="A6340">
        <v>6279</v>
      </c>
      <c r="B6340" s="138">
        <f>'Revenues 9-14'!C102</f>
        <v>1047</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348356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4217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166850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42925</v>
      </c>
      <c r="D6983" s="2" t="str">
        <f t="shared" si="108"/>
        <v>Error?</v>
      </c>
    </row>
    <row r="6984" spans="1:4" x14ac:dyDescent="0.2">
      <c r="A6984">
        <v>6923</v>
      </c>
      <c r="B6984" s="138">
        <f>'Expenditures 15-22'!K86</f>
        <v>42925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42925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172315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348356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1755</v>
      </c>
      <c r="D7079" s="2" t="str">
        <f t="shared" si="109"/>
        <v>Error?</v>
      </c>
    </row>
    <row r="7080" spans="1:4" x14ac:dyDescent="0.2">
      <c r="A7080">
        <v>7019</v>
      </c>
      <c r="B7080" s="138">
        <f>'Expenditures 15-22'!K226</f>
        <v>1755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94357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94357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77958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77958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172315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172315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172315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172315</v>
      </c>
      <c r="D7224" s="2" t="str">
        <f t="shared" si="111"/>
        <v>Error?</v>
      </c>
    </row>
    <row r="7225" spans="1:4" x14ac:dyDescent="0.2">
      <c r="A7225">
        <v>7164</v>
      </c>
      <c r="B7225" s="138">
        <f>'Expenditures 15-22'!K343</f>
        <v>176041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126631</v>
      </c>
      <c r="D7263" s="2" t="str">
        <f t="shared" si="112"/>
        <v>Error?</v>
      </c>
    </row>
    <row r="7264" spans="1:4" x14ac:dyDescent="0.2">
      <c r="A7264">
        <f t="shared" si="113"/>
        <v>7203</v>
      </c>
      <c r="B7264" s="138">
        <f>'Expenditures 15-22'!D17</f>
        <v>31985</v>
      </c>
      <c r="D7264" s="2" t="str">
        <f t="shared" si="112"/>
        <v>Error?</v>
      </c>
    </row>
    <row r="7265" spans="1:5" x14ac:dyDescent="0.2">
      <c r="A7265">
        <f t="shared" si="113"/>
        <v>7204</v>
      </c>
      <c r="B7265" s="138">
        <f>'Expenditures 15-22'!E17</f>
        <v>5361</v>
      </c>
      <c r="D7265" s="2" t="str">
        <f t="shared" si="112"/>
        <v>Error?</v>
      </c>
    </row>
    <row r="7266" spans="1:5" x14ac:dyDescent="0.2">
      <c r="A7266">
        <f t="shared" si="113"/>
        <v>7205</v>
      </c>
      <c r="B7266" s="138">
        <f>'Expenditures 15-22'!F17</f>
        <v>2873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143032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3939</v>
      </c>
      <c r="D7712" s="2" t="str">
        <f t="shared" si="126"/>
        <v>Error?</v>
      </c>
      <c r="E7712" s="2" t="s">
        <v>827</v>
      </c>
    </row>
    <row r="7713" spans="1:6" x14ac:dyDescent="0.2">
      <c r="A7713">
        <v>7652</v>
      </c>
      <c r="B7713" s="138">
        <f>'Rest Tax Levies-Tort Im 25'!J8</f>
        <v>792339</v>
      </c>
      <c r="D7713" s="2" t="str">
        <f t="shared" si="126"/>
        <v>Error?</v>
      </c>
      <c r="E7713" s="2" t="s">
        <v>827</v>
      </c>
    </row>
    <row r="7714" spans="1:6" x14ac:dyDescent="0.2">
      <c r="A7714">
        <v>7653</v>
      </c>
      <c r="B7714" s="138">
        <f>'Rest Tax Levies-Tort Im 25'!K9</f>
        <v>37125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792339</v>
      </c>
      <c r="D7718" s="2" t="str">
        <f t="shared" si="126"/>
        <v>Error?</v>
      </c>
      <c r="E7718" s="2" t="s">
        <v>827</v>
      </c>
    </row>
    <row r="7719" spans="1:6" x14ac:dyDescent="0.2">
      <c r="A7719">
        <v>7658</v>
      </c>
      <c r="B7719" s="138">
        <f>'Rest Tax Levies-Tort Im 25'!K12</f>
        <v>41064</v>
      </c>
      <c r="D7719" s="2" t="str">
        <f t="shared" si="126"/>
        <v>Error?</v>
      </c>
      <c r="E7719" s="2" t="s">
        <v>827</v>
      </c>
    </row>
    <row r="7720" spans="1:6" x14ac:dyDescent="0.2">
      <c r="A7720">
        <v>7659</v>
      </c>
      <c r="B7720" s="138">
        <f>'Rest Tax Levies-Tort Im 25'!H14</f>
        <v>98766</v>
      </c>
      <c r="D7720" s="2" t="str">
        <f t="shared" si="126"/>
        <v>Error?</v>
      </c>
      <c r="E7720" s="2" t="s">
        <v>827</v>
      </c>
    </row>
    <row r="7721" spans="1:6" x14ac:dyDescent="0.2">
      <c r="A7721">
        <v>7660</v>
      </c>
      <c r="B7721" s="138">
        <f>'Rest Tax Levies-Tort Im 25'!K14</f>
        <v>41064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792339</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792339</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792339</v>
      </c>
      <c r="D7730" s="2" t="str">
        <f t="shared" si="126"/>
        <v>Error?</v>
      </c>
      <c r="E7730" s="2" t="s">
        <v>827</v>
      </c>
    </row>
    <row r="7731" spans="1:6" x14ac:dyDescent="0.2">
      <c r="A7731">
        <v>7670</v>
      </c>
      <c r="B7731" s="138">
        <f>'Revenues 9-14'!H103</f>
        <v>792339</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1000000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29'!D39</f>
        <v>1469727</v>
      </c>
      <c r="D7797" s="2" t="str">
        <f t="shared" si="127"/>
        <v>Error?</v>
      </c>
      <c r="E7797" s="4" t="s">
        <v>1899</v>
      </c>
    </row>
    <row r="7798" spans="1:5" x14ac:dyDescent="0.2">
      <c r="A7798">
        <v>7737</v>
      </c>
      <c r="B7798" s="138">
        <f>'Contracts Paid in CY 29'!F39</f>
        <v>185634</v>
      </c>
      <c r="D7798" s="2" t="str">
        <f t="shared" si="127"/>
        <v>Error?</v>
      </c>
      <c r="E7798" s="4" t="s">
        <v>1899</v>
      </c>
    </row>
    <row r="7799" spans="1:5" x14ac:dyDescent="0.2">
      <c r="A7799">
        <v>7738</v>
      </c>
      <c r="B7799" s="138">
        <f>'Contracts Paid in CY 29'!G39</f>
        <v>1284093</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28" zoomScaleNormal="110" workbookViewId="0">
      <selection sqref="A1:M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9" t="s">
        <v>1191</v>
      </c>
      <c r="B2" s="2389"/>
      <c r="C2" s="2389"/>
      <c r="D2" s="2389"/>
      <c r="E2" s="2389"/>
      <c r="F2" s="2389"/>
      <c r="G2" s="2389"/>
      <c r="H2" s="2389"/>
      <c r="I2" s="2389"/>
      <c r="J2" s="2389"/>
      <c r="K2" s="2389"/>
      <c r="L2" s="2389"/>
    </row>
    <row r="3" spans="1:29" ht="13.5" customHeight="1" x14ac:dyDescent="0.2">
      <c r="A3" s="2420" t="s">
        <v>1190</v>
      </c>
      <c r="B3" s="2420"/>
      <c r="C3" s="2420"/>
      <c r="D3" s="2420"/>
      <c r="E3" s="2420"/>
      <c r="F3" s="2420"/>
      <c r="G3" s="2420"/>
      <c r="H3" s="2420"/>
      <c r="I3" s="2420"/>
      <c r="J3" s="2420"/>
      <c r="K3" s="2420"/>
      <c r="L3" s="2420"/>
    </row>
    <row r="4" spans="1:29" ht="13.5" customHeight="1" x14ac:dyDescent="0.2">
      <c r="A4" s="2389" t="s">
        <v>1983</v>
      </c>
      <c r="B4" s="2410"/>
      <c r="C4" s="2410"/>
      <c r="D4" s="2410"/>
      <c r="E4" s="2410"/>
      <c r="F4" s="2410"/>
      <c r="G4" s="2410"/>
      <c r="H4" s="2410"/>
      <c r="I4" s="2410"/>
      <c r="J4" s="2410"/>
      <c r="K4" s="2410"/>
      <c r="L4" s="241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1" t="str">
        <f>COVER!A17</f>
        <v>Carbondale CHSD 165</v>
      </c>
      <c r="B7" s="2412"/>
      <c r="C7" s="2412"/>
      <c r="D7" s="2413"/>
      <c r="E7" s="2414">
        <f>COVER!A13</f>
        <v>30039165016</v>
      </c>
      <c r="F7" s="2415"/>
      <c r="G7" s="2421" t="str">
        <f>COVER!T23</f>
        <v>060-004252</v>
      </c>
      <c r="H7" s="2422"/>
      <c r="I7" s="2422"/>
      <c r="J7" s="2422"/>
      <c r="K7" s="2422"/>
      <c r="L7" s="242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4"/>
      <c r="B9" s="2425"/>
      <c r="C9" s="2425"/>
      <c r="D9" s="2425"/>
      <c r="E9" s="2425"/>
      <c r="F9" s="2426"/>
      <c r="G9" s="2395" t="str">
        <f>COVER!T13</f>
        <v>Emling &amp; Hoffman, PC</v>
      </c>
      <c r="H9" s="2427"/>
      <c r="I9" s="2427"/>
      <c r="J9" s="2427"/>
      <c r="K9" s="2427"/>
      <c r="L9" s="2428"/>
    </row>
    <row r="10" spans="1:29" ht="13.5" customHeight="1" x14ac:dyDescent="0.2">
      <c r="A10" s="2401" t="str">
        <f>COVER!A38</f>
        <v>Stephen Murphy</v>
      </c>
      <c r="B10" s="2402"/>
      <c r="C10" s="2402"/>
      <c r="D10" s="2402"/>
      <c r="E10" s="2402"/>
      <c r="F10" s="2403"/>
      <c r="G10" s="2395" t="str">
        <f>COVER!T17</f>
        <v>1191 West Saint Louis Street</v>
      </c>
      <c r="H10" s="2396"/>
      <c r="I10" s="2396"/>
      <c r="J10" s="2396"/>
      <c r="K10" s="2396"/>
      <c r="L10" s="2397"/>
    </row>
    <row r="11" spans="1:29" ht="13.5" customHeight="1" x14ac:dyDescent="0.2">
      <c r="A11" s="1184" t="s">
        <v>1519</v>
      </c>
      <c r="B11" s="1185"/>
      <c r="C11" s="1186"/>
      <c r="D11" s="1191"/>
      <c r="E11" s="1186"/>
      <c r="F11" s="1190"/>
      <c r="G11" s="2395" t="str">
        <f>COVER!T19</f>
        <v xml:space="preserve">Nashville </v>
      </c>
      <c r="H11" s="2396"/>
      <c r="I11" s="2396"/>
      <c r="J11" s="2396"/>
      <c r="K11" s="2396"/>
      <c r="L11" s="2397"/>
    </row>
    <row r="12" spans="1:29" ht="13.5" customHeight="1" x14ac:dyDescent="0.2">
      <c r="A12" s="2404" t="s">
        <v>1518</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1520</v>
      </c>
      <c r="H13" s="2391"/>
      <c r="I13" s="2407" t="str">
        <f>COVER!T25</f>
        <v>sarahkary@emlingcpa.com</v>
      </c>
      <c r="J13" s="2408"/>
      <c r="K13" s="2408"/>
      <c r="L13" s="2409"/>
    </row>
    <row r="14" spans="1:29" ht="13.5" customHeight="1" x14ac:dyDescent="0.2">
      <c r="A14" s="2395" t="str">
        <f>COVER!A19</f>
        <v>330 South Giant City Road</v>
      </c>
      <c r="B14" s="2396"/>
      <c r="C14" s="2396"/>
      <c r="D14" s="2396"/>
      <c r="E14" s="2396"/>
      <c r="F14" s="2397"/>
      <c r="G14" s="1195" t="s">
        <v>1185</v>
      </c>
      <c r="H14" s="1193"/>
      <c r="I14" s="1193"/>
      <c r="J14" s="1193"/>
      <c r="K14" s="1193"/>
      <c r="L14" s="1194"/>
    </row>
    <row r="15" spans="1:29" ht="13.5" customHeight="1" x14ac:dyDescent="0.2">
      <c r="A15" s="2395" t="str">
        <f>COVER!A21</f>
        <v>Carbondale</v>
      </c>
      <c r="B15" s="2396"/>
      <c r="C15" s="2396"/>
      <c r="D15" s="2396"/>
      <c r="E15" s="2396"/>
      <c r="F15" s="2397"/>
      <c r="G15" s="2392" t="str">
        <f>COVER!T15</f>
        <v>Sarah Kary, CPA</v>
      </c>
      <c r="H15" s="2393"/>
      <c r="I15" s="2393"/>
      <c r="J15" s="2393"/>
      <c r="K15" s="2393"/>
      <c r="L15" s="2394"/>
    </row>
    <row r="16" spans="1:29" ht="12.2" customHeight="1" x14ac:dyDescent="0.2">
      <c r="A16" s="2417">
        <f>COVER!A25</f>
        <v>62902</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95" t="s">
        <v>1184</v>
      </c>
      <c r="H17" s="1193"/>
      <c r="I17" s="1193"/>
      <c r="J17" s="1193"/>
      <c r="K17" s="1197" t="s">
        <v>1183</v>
      </c>
      <c r="L17" s="1190"/>
      <c r="M17" s="1183"/>
    </row>
    <row r="18" spans="1:13" ht="12.2" customHeight="1" x14ac:dyDescent="0.2">
      <c r="A18" s="2401"/>
      <c r="B18" s="2402"/>
      <c r="C18" s="2402"/>
      <c r="D18" s="2402"/>
      <c r="E18" s="2402"/>
      <c r="F18" s="2403"/>
      <c r="G18" s="2411" t="str">
        <f>COVER!T21</f>
        <v>618-327-4375</v>
      </c>
      <c r="H18" s="2412"/>
      <c r="I18" s="2412"/>
      <c r="J18" s="2412"/>
      <c r="K18" s="2411" t="str">
        <f>COVER!X21</f>
        <v>618-327-4376</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2069</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2069</v>
      </c>
      <c r="C26" s="1202" t="s">
        <v>1699</v>
      </c>
    </row>
    <row r="27" spans="1:13" s="1198" customFormat="1" ht="9" customHeight="1" x14ac:dyDescent="0.2">
      <c r="B27" s="1203"/>
      <c r="C27" s="1202"/>
    </row>
    <row r="28" spans="1:13" s="1198" customFormat="1" ht="12.2" customHeight="1" x14ac:dyDescent="0.2">
      <c r="A28" s="1205"/>
      <c r="B28" s="1201" t="s">
        <v>2069</v>
      </c>
      <c r="C28" s="1202" t="s">
        <v>1700</v>
      </c>
    </row>
    <row r="29" spans="1:13" s="1198" customFormat="1" ht="9" customHeight="1" x14ac:dyDescent="0.2">
      <c r="A29" s="1205"/>
      <c r="B29" s="1203"/>
      <c r="C29" s="1202"/>
    </row>
    <row r="30" spans="1:13" s="1198" customFormat="1" ht="12.2" customHeight="1" x14ac:dyDescent="0.2">
      <c r="B30" s="1201" t="s">
        <v>2069</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2069</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2069</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2069</v>
      </c>
      <c r="C38" s="1202" t="s">
        <v>1566</v>
      </c>
    </row>
    <row r="39" spans="1:8" ht="9" customHeight="1" x14ac:dyDescent="0.2">
      <c r="B39" s="1203"/>
      <c r="C39" s="1206"/>
    </row>
    <row r="40" spans="1:8" s="1198" customFormat="1" ht="13.5" customHeight="1" x14ac:dyDescent="0.2">
      <c r="B40" s="1201" t="s">
        <v>2069</v>
      </c>
      <c r="C40" s="1202" t="s">
        <v>1567</v>
      </c>
    </row>
    <row r="41" spans="1:8" ht="9" customHeight="1" x14ac:dyDescent="0.2">
      <c r="A41" s="1207"/>
      <c r="B41" s="1203"/>
      <c r="C41" s="1206"/>
    </row>
    <row r="42" spans="1:8" s="1198" customFormat="1" ht="13.5" customHeight="1" x14ac:dyDescent="0.2">
      <c r="B42" s="1201" t="s">
        <v>2069</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2069</v>
      </c>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0" zoomScale="125" zoomScaleNormal="125" workbookViewId="0">
      <selection sqref="A1:M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Carbondale CHSD 165</v>
      </c>
      <c r="B1" s="2410"/>
      <c r="C1" s="2410"/>
      <c r="D1" s="2410"/>
    </row>
    <row r="2" spans="1:11" s="1212" customFormat="1" ht="12.75" x14ac:dyDescent="0.2">
      <c r="A2" s="2434">
        <f>'Single Audit Cover'!E7</f>
        <v>30039165016</v>
      </c>
      <c r="B2" s="2435"/>
      <c r="C2" s="2435"/>
      <c r="D2" s="2435"/>
    </row>
    <row r="3" spans="1:11" s="1212" customFormat="1" ht="12.75" x14ac:dyDescent="0.2">
      <c r="A3" s="2433" t="s">
        <v>1513</v>
      </c>
      <c r="B3" s="2410"/>
      <c r="C3" s="2410"/>
      <c r="D3" s="241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6" zoomScale="110" zoomScaleNormal="110" zoomScaleSheetLayoutView="100" workbookViewId="0">
      <selection sqref="A1:M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Carbondale CHSD 165</v>
      </c>
      <c r="B1" s="2437"/>
      <c r="C1" s="2437"/>
      <c r="D1" s="2437"/>
      <c r="E1" s="2437"/>
    </row>
    <row r="2" spans="1:5" x14ac:dyDescent="0.2">
      <c r="A2" s="2438">
        <f>'Single Audit Cover'!E7</f>
        <v>30039165016</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1251020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34399</v>
      </c>
    </row>
    <row r="15" spans="1:5" x14ac:dyDescent="0.2">
      <c r="A15" s="1258"/>
      <c r="B15" s="1259"/>
      <c r="C15" s="1259"/>
    </row>
    <row r="16" spans="1:5" x14ac:dyDescent="0.2">
      <c r="A16" s="1258" t="s">
        <v>1839</v>
      </c>
      <c r="B16" s="1259"/>
      <c r="C16" s="1259"/>
    </row>
    <row r="17" spans="1:4" x14ac:dyDescent="0.2">
      <c r="A17" s="1258" t="s">
        <v>2055</v>
      </c>
      <c r="B17" s="1259" t="s">
        <v>1236</v>
      </c>
      <c r="C17" s="1259"/>
      <c r="D17" s="1261">
        <f>-SUM('Revenues 9-14'!C264:D264,'Revenues 9-14'!F264:G264)</f>
        <v>-20851</v>
      </c>
    </row>
    <row r="19" spans="1:4" ht="13.5" thickBot="1" x14ac:dyDescent="0.25">
      <c r="A19" s="1262" t="s">
        <v>1235</v>
      </c>
      <c r="D19" s="1263">
        <f>SUM(D10:D17)</f>
        <v>1264568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1264568</v>
      </c>
    </row>
    <row r="33" spans="1:4" x14ac:dyDescent="0.2">
      <c r="D33" s="1266"/>
    </row>
    <row r="34" spans="1:4" x14ac:dyDescent="0.2">
      <c r="A34" s="317" t="s">
        <v>1232</v>
      </c>
    </row>
    <row r="35" spans="1:4" x14ac:dyDescent="0.2">
      <c r="A35" s="317" t="s">
        <v>1231</v>
      </c>
      <c r="B35" s="1255" t="s">
        <v>1230</v>
      </c>
      <c r="D35" s="1267">
        <v>1264569</v>
      </c>
    </row>
    <row r="37" spans="1:4" x14ac:dyDescent="0.2">
      <c r="A37" s="1257" t="s">
        <v>1229</v>
      </c>
    </row>
    <row r="39" spans="1:4" ht="13.35" customHeight="1" x14ac:dyDescent="0.2">
      <c r="A39" s="1264" t="s">
        <v>1228</v>
      </c>
    </row>
    <row r="40" spans="1:4" x14ac:dyDescent="0.2">
      <c r="A40" s="2436" t="s">
        <v>2130</v>
      </c>
      <c r="B40" s="2436"/>
      <c r="D40" s="1265">
        <v>-1</v>
      </c>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1264568</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9"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Carbondale CHSD 165</v>
      </c>
      <c r="C1" s="2441"/>
      <c r="D1" s="2441"/>
      <c r="E1" s="2441"/>
      <c r="F1" s="2441"/>
      <c r="G1" s="2441"/>
      <c r="H1" s="2441"/>
      <c r="I1" s="2441"/>
      <c r="J1" s="2441"/>
      <c r="K1" s="2441"/>
      <c r="L1" s="2441"/>
      <c r="M1" s="2441"/>
    </row>
    <row r="2" spans="2:14" ht="15" x14ac:dyDescent="0.2">
      <c r="B2" s="2442">
        <f>'Single Audit Cover'!E7</f>
        <v>30039165016</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7" t="s">
        <v>2061</v>
      </c>
      <c r="C11" s="1335"/>
      <c r="D11" s="1336"/>
      <c r="E11" s="1337"/>
      <c r="F11" s="1337"/>
      <c r="G11" s="1337"/>
      <c r="H11" s="1337"/>
      <c r="I11" s="1337"/>
      <c r="J11" s="1337"/>
      <c r="K11" s="1337"/>
      <c r="L11" s="1337">
        <f>+G11+I11+K11</f>
        <v>0</v>
      </c>
      <c r="M11" s="1337"/>
    </row>
    <row r="12" spans="2:14" ht="20.100000000000001" customHeight="1" x14ac:dyDescent="0.2">
      <c r="B12" s="1334" t="s">
        <v>2062</v>
      </c>
      <c r="C12" s="1338"/>
      <c r="D12" s="1339"/>
      <c r="E12" s="1340"/>
      <c r="F12" s="1340"/>
      <c r="G12" s="1340"/>
      <c r="H12" s="1340"/>
      <c r="I12" s="1340"/>
      <c r="J12" s="1340"/>
      <c r="K12" s="1340"/>
      <c r="L12" s="1337">
        <f t="shared" ref="L12:L27" si="0">+G12+I12+K12</f>
        <v>0</v>
      </c>
      <c r="M12" s="1340"/>
    </row>
    <row r="13" spans="2:14" ht="20.100000000000001" customHeight="1" x14ac:dyDescent="0.2">
      <c r="B13" s="1334" t="s">
        <v>2063</v>
      </c>
      <c r="C13" s="1338"/>
      <c r="D13" s="1339"/>
      <c r="E13" s="1340"/>
      <c r="F13" s="1340"/>
      <c r="G13" s="1340"/>
      <c r="H13" s="1340"/>
      <c r="I13" s="1340"/>
      <c r="J13" s="1340"/>
      <c r="K13" s="1340"/>
      <c r="L13" s="1337">
        <f t="shared" si="0"/>
        <v>0</v>
      </c>
      <c r="M13" s="1340"/>
    </row>
    <row r="14" spans="2:14" ht="20.100000000000001" customHeight="1" x14ac:dyDescent="0.2">
      <c r="B14" s="1334" t="s">
        <v>2066</v>
      </c>
      <c r="C14" s="1338" t="s">
        <v>2064</v>
      </c>
      <c r="D14" s="1339" t="s">
        <v>2065</v>
      </c>
      <c r="E14" s="1340">
        <v>282583</v>
      </c>
      <c r="F14" s="1340">
        <v>332538</v>
      </c>
      <c r="G14" s="1340">
        <v>510583</v>
      </c>
      <c r="H14" s="1340">
        <v>0</v>
      </c>
      <c r="I14" s="1340">
        <v>104538</v>
      </c>
      <c r="J14" s="1340">
        <v>0</v>
      </c>
      <c r="K14" s="1340">
        <v>0</v>
      </c>
      <c r="L14" s="1337">
        <f t="shared" si="0"/>
        <v>615121</v>
      </c>
      <c r="M14" s="1340">
        <v>701205</v>
      </c>
    </row>
    <row r="15" spans="2:14" ht="20.100000000000001" customHeight="1" x14ac:dyDescent="0.2">
      <c r="B15" s="1334" t="s">
        <v>2067</v>
      </c>
      <c r="C15" s="1338" t="s">
        <v>2064</v>
      </c>
      <c r="D15" s="1339" t="s">
        <v>2068</v>
      </c>
      <c r="E15" s="1938">
        <v>0</v>
      </c>
      <c r="F15" s="1938">
        <v>325313</v>
      </c>
      <c r="G15" s="1938">
        <v>0</v>
      </c>
      <c r="H15" s="1938">
        <v>0</v>
      </c>
      <c r="I15" s="1938">
        <v>526003</v>
      </c>
      <c r="J15" s="1938">
        <v>0</v>
      </c>
      <c r="K15" s="1938">
        <v>170000</v>
      </c>
      <c r="L15" s="1939">
        <f t="shared" si="0"/>
        <v>696003</v>
      </c>
      <c r="M15" s="1938"/>
    </row>
    <row r="16" spans="2:14" ht="20.100000000000001" customHeight="1" x14ac:dyDescent="0.2">
      <c r="B16" s="1334"/>
      <c r="C16" s="1338"/>
      <c r="D16" s="1339"/>
      <c r="E16" s="1940">
        <f t="shared" ref="E16:K16" si="1">SUM(E14:E15)</f>
        <v>282583</v>
      </c>
      <c r="F16" s="1940">
        <f t="shared" si="1"/>
        <v>657851</v>
      </c>
      <c r="G16" s="1940">
        <f t="shared" si="1"/>
        <v>510583</v>
      </c>
      <c r="H16" s="1940">
        <f t="shared" si="1"/>
        <v>0</v>
      </c>
      <c r="I16" s="1940">
        <f t="shared" si="1"/>
        <v>630541</v>
      </c>
      <c r="J16" s="1940">
        <f t="shared" si="1"/>
        <v>0</v>
      </c>
      <c r="K16" s="1940">
        <f t="shared" si="1"/>
        <v>170000</v>
      </c>
      <c r="L16" s="1940">
        <f t="shared" si="0"/>
        <v>1311124</v>
      </c>
      <c r="M16" s="1940"/>
    </row>
    <row r="17" spans="2:14" ht="20.100000000000001" customHeight="1" x14ac:dyDescent="0.2">
      <c r="B17" s="1334" t="s">
        <v>2090</v>
      </c>
      <c r="C17" s="1338"/>
      <c r="D17" s="1339"/>
      <c r="E17" s="1340"/>
      <c r="F17" s="1340"/>
      <c r="G17" s="1340"/>
      <c r="H17" s="1340"/>
      <c r="I17" s="1340"/>
      <c r="J17" s="1340"/>
      <c r="K17" s="1340"/>
      <c r="L17" s="1337">
        <f t="shared" ref="L17:L22" si="2">+G17+I17+K17</f>
        <v>0</v>
      </c>
      <c r="M17" s="1340"/>
    </row>
    <row r="18" spans="2:14" ht="20.100000000000001" customHeight="1" x14ac:dyDescent="0.2">
      <c r="B18" s="1334" t="s">
        <v>2066</v>
      </c>
      <c r="C18" s="1338" t="s">
        <v>2091</v>
      </c>
      <c r="D18" s="1339" t="s">
        <v>2092</v>
      </c>
      <c r="E18" s="1340">
        <v>20955</v>
      </c>
      <c r="F18" s="1340">
        <v>5271</v>
      </c>
      <c r="G18" s="1340">
        <v>24583</v>
      </c>
      <c r="H18" s="1340">
        <v>0</v>
      </c>
      <c r="I18" s="1340">
        <v>1643</v>
      </c>
      <c r="J18" s="1340">
        <v>0</v>
      </c>
      <c r="K18" s="1340">
        <v>0</v>
      </c>
      <c r="L18" s="1337">
        <f t="shared" si="2"/>
        <v>26226</v>
      </c>
      <c r="M18" s="1340">
        <v>88954</v>
      </c>
    </row>
    <row r="19" spans="2:14" ht="20.100000000000001" customHeight="1" x14ac:dyDescent="0.2">
      <c r="B19" s="1334" t="s">
        <v>2067</v>
      </c>
      <c r="C19" s="1338" t="s">
        <v>2091</v>
      </c>
      <c r="D19" s="1339" t="s">
        <v>2093</v>
      </c>
      <c r="E19" s="1938">
        <v>0</v>
      </c>
      <c r="F19" s="1938">
        <v>31706</v>
      </c>
      <c r="G19" s="1938">
        <v>0</v>
      </c>
      <c r="H19" s="1938">
        <v>0</v>
      </c>
      <c r="I19" s="1938">
        <v>43688</v>
      </c>
      <c r="J19" s="1938">
        <v>0</v>
      </c>
      <c r="K19" s="1938">
        <v>10000</v>
      </c>
      <c r="L19" s="1939">
        <f t="shared" si="2"/>
        <v>53688</v>
      </c>
      <c r="M19" s="1938"/>
    </row>
    <row r="20" spans="2:14" ht="20.100000000000001" customHeight="1" x14ac:dyDescent="0.2">
      <c r="B20" s="1334"/>
      <c r="C20" s="1338"/>
      <c r="D20" s="1339"/>
      <c r="E20" s="1940">
        <f t="shared" ref="E20" si="3">SUM(E18:E19)</f>
        <v>20955</v>
      </c>
      <c r="F20" s="1940">
        <f t="shared" ref="F20" si="4">SUM(F18:F19)</f>
        <v>36977</v>
      </c>
      <c r="G20" s="1940">
        <f t="shared" ref="G20" si="5">SUM(G18:G19)</f>
        <v>24583</v>
      </c>
      <c r="H20" s="1940">
        <f t="shared" ref="H20" si="6">SUM(H18:H19)</f>
        <v>0</v>
      </c>
      <c r="I20" s="1940">
        <f t="shared" ref="I20" si="7">SUM(I18:I19)</f>
        <v>45331</v>
      </c>
      <c r="J20" s="1940">
        <f t="shared" ref="J20" si="8">SUM(J18:J19)</f>
        <v>0</v>
      </c>
      <c r="K20" s="1940">
        <f t="shared" ref="K20" si="9">SUM(K18:K19)</f>
        <v>10000</v>
      </c>
      <c r="L20" s="1940">
        <f t="shared" si="2"/>
        <v>79914</v>
      </c>
      <c r="M20" s="1940"/>
    </row>
    <row r="21" spans="2:14" ht="20.100000000000001" customHeight="1" x14ac:dyDescent="0.2">
      <c r="B21" s="1334"/>
      <c r="C21" s="1338"/>
      <c r="D21" s="1339"/>
      <c r="E21" s="1939"/>
      <c r="F21" s="1939"/>
      <c r="G21" s="1939"/>
      <c r="H21" s="1939"/>
      <c r="I21" s="1939"/>
      <c r="J21" s="1939"/>
      <c r="K21" s="1939"/>
      <c r="L21" s="1939">
        <f t="shared" si="2"/>
        <v>0</v>
      </c>
      <c r="M21" s="1939"/>
    </row>
    <row r="22" spans="2:14" ht="20.100000000000001" customHeight="1" thickBot="1" x14ac:dyDescent="0.25">
      <c r="B22" s="1334" t="s">
        <v>2094</v>
      </c>
      <c r="C22" s="1338"/>
      <c r="D22" s="1339"/>
      <c r="E22" s="1941">
        <f>SUM(E16+E20)</f>
        <v>303538</v>
      </c>
      <c r="F22" s="1941">
        <f>SUM(F16+F20)</f>
        <v>694828</v>
      </c>
      <c r="G22" s="1941">
        <f t="shared" ref="G22:K22" si="10">SUM(G16+G20)</f>
        <v>535166</v>
      </c>
      <c r="H22" s="1941">
        <f t="shared" si="10"/>
        <v>0</v>
      </c>
      <c r="I22" s="1941">
        <f t="shared" si="10"/>
        <v>675872</v>
      </c>
      <c r="J22" s="1941">
        <f t="shared" si="10"/>
        <v>0</v>
      </c>
      <c r="K22" s="1941">
        <f t="shared" si="10"/>
        <v>180000</v>
      </c>
      <c r="L22" s="1941">
        <f t="shared" si="2"/>
        <v>1391038</v>
      </c>
      <c r="M22" s="1941"/>
    </row>
    <row r="23" spans="2:14" ht="20.100000000000001" customHeight="1" x14ac:dyDescent="0.2">
      <c r="B23" s="1334" t="s">
        <v>2125</v>
      </c>
      <c r="C23" s="1338"/>
      <c r="D23" s="1339"/>
      <c r="E23" s="1945"/>
      <c r="F23" s="1945"/>
      <c r="G23" s="1945"/>
      <c r="H23" s="1945"/>
      <c r="I23" s="1945"/>
      <c r="J23" s="1945"/>
      <c r="K23" s="1945"/>
      <c r="L23" s="1945"/>
      <c r="M23" s="1945"/>
    </row>
    <row r="24" spans="2:14" ht="20.100000000000001" customHeight="1" x14ac:dyDescent="0.2">
      <c r="B24" s="1334" t="s">
        <v>2126</v>
      </c>
      <c r="C24" s="1338"/>
      <c r="D24" s="1339"/>
      <c r="E24" s="1337"/>
      <c r="F24" s="1337"/>
      <c r="G24" s="1337"/>
      <c r="H24" s="1337"/>
      <c r="I24" s="1337"/>
      <c r="J24" s="1337"/>
      <c r="K24" s="1337"/>
      <c r="L24" s="1337">
        <f t="shared" si="0"/>
        <v>0</v>
      </c>
      <c r="M24" s="1337"/>
    </row>
    <row r="25" spans="2:14" ht="20.100000000000001" customHeight="1" x14ac:dyDescent="0.2">
      <c r="B25" s="1334" t="s">
        <v>2066</v>
      </c>
      <c r="C25" s="1338" t="s">
        <v>2188</v>
      </c>
      <c r="D25" s="1339" t="s">
        <v>2127</v>
      </c>
      <c r="E25" s="1340">
        <v>0</v>
      </c>
      <c r="F25" s="1340">
        <v>3550</v>
      </c>
      <c r="G25" s="1340">
        <v>0</v>
      </c>
      <c r="H25" s="1340">
        <v>0</v>
      </c>
      <c r="I25" s="1340">
        <v>3550</v>
      </c>
      <c r="J25" s="1340">
        <v>0</v>
      </c>
      <c r="K25" s="1340">
        <v>0</v>
      </c>
      <c r="L25" s="1337">
        <f t="shared" si="0"/>
        <v>3550</v>
      </c>
      <c r="M25" s="1340"/>
    </row>
    <row r="26" spans="2:14" ht="20.100000000000001" customHeight="1" x14ac:dyDescent="0.2">
      <c r="B26" s="1334" t="s">
        <v>2067</v>
      </c>
      <c r="C26" s="1338" t="s">
        <v>2188</v>
      </c>
      <c r="D26" s="1339" t="s">
        <v>2128</v>
      </c>
      <c r="E26" s="1938"/>
      <c r="F26" s="1938">
        <v>5000</v>
      </c>
      <c r="G26" s="1938">
        <v>0</v>
      </c>
      <c r="H26" s="1938">
        <v>0</v>
      </c>
      <c r="I26" s="1938">
        <v>5000</v>
      </c>
      <c r="J26" s="1938">
        <v>0</v>
      </c>
      <c r="K26" s="1938">
        <v>0</v>
      </c>
      <c r="L26" s="1939">
        <f t="shared" si="0"/>
        <v>5000</v>
      </c>
      <c r="M26" s="1938"/>
    </row>
    <row r="27" spans="2:14" ht="20.100000000000001" customHeight="1" thickBot="1" x14ac:dyDescent="0.25">
      <c r="B27" s="1334" t="s">
        <v>2129</v>
      </c>
      <c r="C27" s="1338"/>
      <c r="D27" s="1339"/>
      <c r="E27" s="1941">
        <f t="shared" ref="E27:K27" si="11">SUM(E25:E26)</f>
        <v>0</v>
      </c>
      <c r="F27" s="1941">
        <f t="shared" si="11"/>
        <v>8550</v>
      </c>
      <c r="G27" s="1941">
        <f t="shared" si="11"/>
        <v>0</v>
      </c>
      <c r="H27" s="1941">
        <f t="shared" si="11"/>
        <v>0</v>
      </c>
      <c r="I27" s="1941">
        <f t="shared" si="11"/>
        <v>8550</v>
      </c>
      <c r="J27" s="1941">
        <f t="shared" si="11"/>
        <v>0</v>
      </c>
      <c r="K27" s="1941">
        <f t="shared" si="11"/>
        <v>0</v>
      </c>
      <c r="L27" s="1941">
        <f t="shared" si="0"/>
        <v>8550</v>
      </c>
      <c r="M27" s="1941"/>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B181F-392A-4EE7-87FE-A7D4999045F2}">
  <dimension ref="B1:N152"/>
  <sheetViews>
    <sheetView showGridLines="0" topLeftCell="A13"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Carbondale CHSD 165</v>
      </c>
      <c r="C1" s="2441"/>
      <c r="D1" s="2441"/>
      <c r="E1" s="2441"/>
      <c r="F1" s="2441"/>
      <c r="G1" s="2441"/>
      <c r="H1" s="2441"/>
      <c r="I1" s="2441"/>
      <c r="J1" s="2441"/>
      <c r="K1" s="2441"/>
      <c r="L1" s="2441"/>
      <c r="M1" s="2441"/>
    </row>
    <row r="2" spans="2:14" ht="15" x14ac:dyDescent="0.2">
      <c r="B2" s="2442">
        <f>'Single Audit Cover'!E7</f>
        <v>30039165016</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7" t="s">
        <v>2061</v>
      </c>
      <c r="C11" s="1335"/>
      <c r="D11" s="1336"/>
      <c r="E11" s="1337"/>
      <c r="F11" s="1337"/>
      <c r="G11" s="1337"/>
      <c r="H11" s="1337"/>
      <c r="I11" s="1337"/>
      <c r="J11" s="1337"/>
      <c r="K11" s="1337"/>
      <c r="L11" s="1337">
        <f>+G11+I11+K11</f>
        <v>0</v>
      </c>
      <c r="M11" s="1337"/>
    </row>
    <row r="12" spans="2:14" ht="20.100000000000001" customHeight="1" x14ac:dyDescent="0.2">
      <c r="B12" s="1334" t="s">
        <v>2095</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2181</v>
      </c>
      <c r="C14" s="1338"/>
      <c r="D14" s="1339"/>
      <c r="E14" s="1340"/>
      <c r="F14" s="1340"/>
      <c r="G14" s="1340"/>
      <c r="H14" s="1340"/>
      <c r="I14" s="1340"/>
      <c r="J14" s="1340"/>
      <c r="K14" s="1340"/>
      <c r="L14" s="1337">
        <f t="shared" si="0"/>
        <v>0</v>
      </c>
      <c r="M14" s="1340"/>
    </row>
    <row r="15" spans="2:14" ht="20.100000000000001" customHeight="1" x14ac:dyDescent="0.2">
      <c r="B15" s="1334" t="s">
        <v>2067</v>
      </c>
      <c r="C15" s="1338" t="s">
        <v>2096</v>
      </c>
      <c r="D15" s="1339" t="s">
        <v>2097</v>
      </c>
      <c r="E15" s="1938">
        <v>0</v>
      </c>
      <c r="F15" s="1938">
        <v>60000</v>
      </c>
      <c r="G15" s="1938">
        <v>0</v>
      </c>
      <c r="H15" s="1938">
        <v>0</v>
      </c>
      <c r="I15" s="1938">
        <v>60000</v>
      </c>
      <c r="J15" s="1938">
        <v>0</v>
      </c>
      <c r="K15" s="1938">
        <v>0</v>
      </c>
      <c r="L15" s="1939">
        <f t="shared" si="0"/>
        <v>60000</v>
      </c>
      <c r="M15" s="1938"/>
    </row>
    <row r="16" spans="2:14" ht="20.100000000000001" customHeight="1" x14ac:dyDescent="0.2">
      <c r="B16" s="1334"/>
      <c r="C16" s="1338"/>
      <c r="D16" s="1339"/>
      <c r="E16" s="1940">
        <f>SUM(E14:E15)</f>
        <v>0</v>
      </c>
      <c r="F16" s="1940">
        <f t="shared" ref="F16:K16" si="1">SUM(F14:F15)</f>
        <v>60000</v>
      </c>
      <c r="G16" s="1940">
        <f t="shared" si="1"/>
        <v>0</v>
      </c>
      <c r="H16" s="1940">
        <f t="shared" si="1"/>
        <v>0</v>
      </c>
      <c r="I16" s="1940">
        <f t="shared" si="1"/>
        <v>60000</v>
      </c>
      <c r="J16" s="1940">
        <f t="shared" si="1"/>
        <v>0</v>
      </c>
      <c r="K16" s="1940">
        <f t="shared" si="1"/>
        <v>0</v>
      </c>
      <c r="L16" s="1940">
        <f t="shared" si="0"/>
        <v>60000</v>
      </c>
      <c r="M16" s="1940"/>
    </row>
    <row r="17" spans="2:14" ht="20.100000000000001" customHeight="1" x14ac:dyDescent="0.2">
      <c r="B17" s="1334" t="s">
        <v>2123</v>
      </c>
      <c r="C17" s="1338"/>
      <c r="D17" s="1339"/>
      <c r="E17" s="1939"/>
      <c r="F17" s="1939"/>
      <c r="G17" s="1939"/>
      <c r="H17" s="1939"/>
      <c r="I17" s="1939"/>
      <c r="J17" s="1939"/>
      <c r="K17" s="1939"/>
      <c r="L17" s="1939">
        <f t="shared" si="0"/>
        <v>0</v>
      </c>
      <c r="M17" s="1939"/>
    </row>
    <row r="18" spans="2:14" ht="20.100000000000001" customHeight="1" x14ac:dyDescent="0.2">
      <c r="B18" s="1334" t="s">
        <v>2067</v>
      </c>
      <c r="C18" s="1338">
        <v>84.424000000000007</v>
      </c>
      <c r="D18" s="1339" t="s">
        <v>2124</v>
      </c>
      <c r="E18" s="1940">
        <v>0</v>
      </c>
      <c r="F18" s="1940">
        <v>9368</v>
      </c>
      <c r="G18" s="1940">
        <v>0</v>
      </c>
      <c r="H18" s="1940">
        <v>0</v>
      </c>
      <c r="I18" s="1940">
        <v>9368</v>
      </c>
      <c r="J18" s="1940">
        <v>0</v>
      </c>
      <c r="K18" s="1940">
        <v>0</v>
      </c>
      <c r="L18" s="1940">
        <f t="shared" si="0"/>
        <v>9368</v>
      </c>
      <c r="M18" s="1940"/>
    </row>
    <row r="19" spans="2:14" ht="20.100000000000001" customHeight="1" x14ac:dyDescent="0.2">
      <c r="B19" s="1334"/>
      <c r="C19" s="1338"/>
      <c r="D19" s="1339"/>
      <c r="E19" s="1939"/>
      <c r="F19" s="1939"/>
      <c r="G19" s="1939"/>
      <c r="H19" s="1939"/>
      <c r="I19" s="1939"/>
      <c r="J19" s="1939"/>
      <c r="K19" s="1939"/>
      <c r="L19" s="1939">
        <f t="shared" si="0"/>
        <v>0</v>
      </c>
      <c r="M19" s="1939"/>
    </row>
    <row r="20" spans="2:14" ht="20.100000000000001" customHeight="1" thickBot="1" x14ac:dyDescent="0.25">
      <c r="B20" s="1334" t="s">
        <v>2098</v>
      </c>
      <c r="C20" s="1338"/>
      <c r="D20" s="1339"/>
      <c r="E20" s="1941">
        <f>SUM(E16+E18)</f>
        <v>0</v>
      </c>
      <c r="F20" s="1941">
        <f>SUM(F16+F18)</f>
        <v>69368</v>
      </c>
      <c r="G20" s="1941">
        <f>SUM(G18+G16)</f>
        <v>0</v>
      </c>
      <c r="H20" s="1941">
        <f>SUM(H16+H18)</f>
        <v>0</v>
      </c>
      <c r="I20" s="1941">
        <f>SUM(I16+I18)</f>
        <v>69368</v>
      </c>
      <c r="J20" s="1941">
        <f>SUM(J16+J18)</f>
        <v>0</v>
      </c>
      <c r="K20" s="1941">
        <f>SUM(K16+K18)</f>
        <v>0</v>
      </c>
      <c r="L20" s="1941">
        <f t="shared" si="0"/>
        <v>69368</v>
      </c>
      <c r="M20" s="1941"/>
    </row>
    <row r="21" spans="2:14" ht="20.100000000000001" customHeight="1" x14ac:dyDescent="0.2">
      <c r="B21" s="1334"/>
      <c r="C21" s="1338"/>
      <c r="D21" s="1339"/>
      <c r="E21" s="1337"/>
      <c r="F21" s="1337"/>
      <c r="G21" s="1337"/>
      <c r="H21" s="1337"/>
      <c r="I21" s="1337"/>
      <c r="J21" s="1337"/>
      <c r="K21" s="1337"/>
      <c r="L21" s="1337">
        <f t="shared" si="0"/>
        <v>0</v>
      </c>
      <c r="M21" s="1337"/>
    </row>
    <row r="22" spans="2:14" ht="20.100000000000001" customHeight="1" x14ac:dyDescent="0.2">
      <c r="B22" s="1334" t="s">
        <v>2099</v>
      </c>
      <c r="C22" s="1338"/>
      <c r="D22" s="1339"/>
      <c r="E22" s="1340"/>
      <c r="F22" s="1340"/>
      <c r="G22" s="1340"/>
      <c r="H22" s="1340"/>
      <c r="I22" s="1340"/>
      <c r="J22" s="1340"/>
      <c r="K22" s="1340"/>
      <c r="L22" s="1337">
        <f t="shared" si="0"/>
        <v>0</v>
      </c>
      <c r="M22" s="1340"/>
    </row>
    <row r="23" spans="2:14" ht="20.100000000000001" customHeight="1" x14ac:dyDescent="0.2">
      <c r="B23" s="1334" t="s">
        <v>2100</v>
      </c>
      <c r="C23" s="1338"/>
      <c r="D23" s="1339"/>
      <c r="E23" s="1340"/>
      <c r="F23" s="1340"/>
      <c r="G23" s="1340"/>
      <c r="H23" s="1340"/>
      <c r="I23" s="1340"/>
      <c r="J23" s="1340"/>
      <c r="K23" s="1340"/>
      <c r="L23" s="1337">
        <f t="shared" si="0"/>
        <v>0</v>
      </c>
      <c r="M23" s="1340"/>
    </row>
    <row r="24" spans="2:14" ht="20.100000000000001" customHeight="1" x14ac:dyDescent="0.2">
      <c r="B24" s="1334" t="s">
        <v>2066</v>
      </c>
      <c r="C24" s="1338" t="s">
        <v>2101</v>
      </c>
      <c r="D24" s="1339" t="s">
        <v>2102</v>
      </c>
      <c r="E24" s="1340">
        <v>16917</v>
      </c>
      <c r="F24" s="1340">
        <v>61033</v>
      </c>
      <c r="G24" s="1340">
        <v>16917</v>
      </c>
      <c r="H24" s="1340">
        <v>0</v>
      </c>
      <c r="I24" s="1340">
        <v>61033</v>
      </c>
      <c r="J24" s="1340">
        <v>0</v>
      </c>
      <c r="K24" s="1340">
        <v>0</v>
      </c>
      <c r="L24" s="1337">
        <f t="shared" si="0"/>
        <v>77950</v>
      </c>
      <c r="M24" s="1340"/>
    </row>
    <row r="25" spans="2:14" ht="20.100000000000001" customHeight="1" x14ac:dyDescent="0.2">
      <c r="B25" s="1334" t="s">
        <v>2067</v>
      </c>
      <c r="C25" s="1338" t="s">
        <v>2101</v>
      </c>
      <c r="D25" s="1339" t="s">
        <v>2103</v>
      </c>
      <c r="E25" s="1938">
        <v>0</v>
      </c>
      <c r="F25" s="1938">
        <v>61403</v>
      </c>
      <c r="G25" s="1938">
        <v>0</v>
      </c>
      <c r="H25" s="1938">
        <v>0</v>
      </c>
      <c r="I25" s="1938">
        <v>61403</v>
      </c>
      <c r="J25" s="1938">
        <v>0</v>
      </c>
      <c r="K25" s="1938">
        <v>0</v>
      </c>
      <c r="L25" s="1939">
        <f t="shared" si="0"/>
        <v>61403</v>
      </c>
      <c r="M25" s="1938"/>
    </row>
    <row r="26" spans="2:14" ht="20.100000000000001" customHeight="1" x14ac:dyDescent="0.2">
      <c r="B26" s="1334"/>
      <c r="C26" s="1338"/>
      <c r="D26" s="1339"/>
      <c r="E26" s="1940">
        <f t="shared" ref="E26:K26" si="2">SUM(E24:E25)</f>
        <v>16917</v>
      </c>
      <c r="F26" s="1940">
        <f t="shared" si="2"/>
        <v>122436</v>
      </c>
      <c r="G26" s="1940">
        <f t="shared" si="2"/>
        <v>16917</v>
      </c>
      <c r="H26" s="1940">
        <f t="shared" si="2"/>
        <v>0</v>
      </c>
      <c r="I26" s="1940">
        <f t="shared" si="2"/>
        <v>122436</v>
      </c>
      <c r="J26" s="1940">
        <f t="shared" si="2"/>
        <v>0</v>
      </c>
      <c r="K26" s="1940">
        <f t="shared" si="2"/>
        <v>0</v>
      </c>
      <c r="L26" s="1940">
        <f t="shared" si="0"/>
        <v>139353</v>
      </c>
      <c r="M26" s="1940"/>
    </row>
    <row r="27" spans="2:14" ht="20.100000000000001" customHeight="1" thickBot="1" x14ac:dyDescent="0.25">
      <c r="B27" s="1937" t="s">
        <v>2104</v>
      </c>
      <c r="C27" s="1338"/>
      <c r="D27" s="1339"/>
      <c r="E27" s="1943">
        <f>SUM(E26+E20+' SEFA'!E27+' SEFA'!E22)</f>
        <v>320455</v>
      </c>
      <c r="F27" s="1943">
        <f>SUM(F26+F20+' SEFA'!F27+' SEFA'!F22)</f>
        <v>895182</v>
      </c>
      <c r="G27" s="1943">
        <f>SUM(G26+G20+' SEFA'!G27+' SEFA'!G22)</f>
        <v>552083</v>
      </c>
      <c r="H27" s="1943">
        <f>SUM(H26+H20+' SEFA'!H27+' SEFA'!H22)</f>
        <v>0</v>
      </c>
      <c r="I27" s="1943">
        <f>SUM(I26+I20+' SEFA'!I27+' SEFA'!I22)</f>
        <v>876226</v>
      </c>
      <c r="J27" s="1943">
        <f>SUM(J26+J20+' SEFA'!J27+' SEFA'!J22)</f>
        <v>0</v>
      </c>
      <c r="K27" s="1943">
        <f>SUM(K26+K20+' SEFA'!K27+' SEFA'!K22)</f>
        <v>180000</v>
      </c>
      <c r="L27" s="1943">
        <f t="shared" si="0"/>
        <v>1608309</v>
      </c>
      <c r="M27" s="1943"/>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electLockedCells="1" selectUnlockedCell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3" colorId="8" zoomScale="110" zoomScaleNormal="110" zoomScalePageLayoutView="110" workbookViewId="0">
      <selection sqref="A1:M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2069</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t="s">
        <v>2187</v>
      </c>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t="s">
        <v>2180</v>
      </c>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2076</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c r="E118" s="322"/>
      <c r="F118" s="324"/>
      <c r="G118" s="1838"/>
      <c r="H118" s="322"/>
      <c r="I118" s="304"/>
    </row>
    <row r="119" spans="1:9" s="181" customFormat="1" ht="11.25" customHeight="1" x14ac:dyDescent="0.2">
      <c r="A119" s="325"/>
      <c r="B119" s="325"/>
      <c r="C119" s="326"/>
      <c r="D119" s="327" t="s">
        <v>361</v>
      </c>
      <c r="E119" s="310"/>
      <c r="F119" s="1837" t="s">
        <v>1901</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4294967293" verticalDpi="4294967293" r:id="rId1"/>
  <headerFooter differentOddEven="1" differentFirst="1" alignWithMargins="0">
    <oddHeader>&amp;L&amp;8Page &amp;P&amp;C &amp;R&amp;8Page &amp;P</oddHead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AF55E-93FD-4874-AE25-CA9CEA81F4DA}">
  <dimension ref="B1:N152"/>
  <sheetViews>
    <sheetView showGridLines="0" topLeftCell="A22"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Carbondale CHSD 165</v>
      </c>
      <c r="C1" s="2441"/>
      <c r="D1" s="2441"/>
      <c r="E1" s="2441"/>
      <c r="F1" s="2441"/>
      <c r="G1" s="2441"/>
      <c r="H1" s="2441"/>
      <c r="I1" s="2441"/>
      <c r="J1" s="2441"/>
      <c r="K1" s="2441"/>
      <c r="L1" s="2441"/>
      <c r="M1" s="2441"/>
    </row>
    <row r="2" spans="2:14" ht="15" x14ac:dyDescent="0.2">
      <c r="B2" s="2442">
        <f>'Single Audit Cover'!E7</f>
        <v>30039165016</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7" t="s">
        <v>2114</v>
      </c>
      <c r="C11" s="1335"/>
      <c r="D11" s="1336"/>
      <c r="E11" s="1337"/>
      <c r="F11" s="1337"/>
      <c r="G11" s="1337"/>
      <c r="H11" s="1337"/>
      <c r="I11" s="1337"/>
      <c r="J11" s="1337"/>
      <c r="K11" s="1337"/>
      <c r="L11" s="1337">
        <f>+G11+I11+K11</f>
        <v>0</v>
      </c>
      <c r="M11" s="1337"/>
    </row>
    <row r="12" spans="2:14" ht="20.100000000000001" customHeight="1" x14ac:dyDescent="0.2">
      <c r="B12" s="1334" t="s">
        <v>2062</v>
      </c>
      <c r="C12" s="1338"/>
      <c r="D12" s="1339"/>
      <c r="E12" s="1340"/>
      <c r="F12" s="1340"/>
      <c r="G12" s="1340"/>
      <c r="H12" s="1340"/>
      <c r="I12" s="1340"/>
      <c r="J12" s="1340"/>
      <c r="K12" s="1340"/>
      <c r="L12" s="1337">
        <f t="shared" ref="L12:L27" si="0">+G12+I12+K12</f>
        <v>0</v>
      </c>
      <c r="M12" s="1340"/>
    </row>
    <row r="13" spans="2:14" ht="20.100000000000001" customHeight="1" x14ac:dyDescent="0.2">
      <c r="B13" s="1334" t="s">
        <v>2105</v>
      </c>
      <c r="C13" s="1338"/>
      <c r="D13" s="1339"/>
      <c r="E13" s="1340"/>
      <c r="F13" s="1340"/>
      <c r="G13" s="1340"/>
      <c r="H13" s="1340"/>
      <c r="I13" s="1340"/>
      <c r="J13" s="1340"/>
      <c r="K13" s="1340"/>
      <c r="L13" s="1337">
        <f t="shared" si="0"/>
        <v>0</v>
      </c>
      <c r="M13" s="1340"/>
    </row>
    <row r="14" spans="2:14" ht="20.100000000000001" customHeight="1" x14ac:dyDescent="0.2">
      <c r="B14" s="1334" t="s">
        <v>2066</v>
      </c>
      <c r="C14" s="1338">
        <v>10.555</v>
      </c>
      <c r="D14" s="1339" t="s">
        <v>2106</v>
      </c>
      <c r="E14" s="1340">
        <v>182822</v>
      </c>
      <c r="F14" s="1340">
        <v>55192</v>
      </c>
      <c r="G14" s="1340">
        <v>182822</v>
      </c>
      <c r="H14" s="1340">
        <v>0</v>
      </c>
      <c r="I14" s="1340">
        <v>55192</v>
      </c>
      <c r="J14" s="1340">
        <v>0</v>
      </c>
      <c r="K14" s="1340">
        <v>0</v>
      </c>
      <c r="L14" s="1337">
        <f t="shared" si="0"/>
        <v>238014</v>
      </c>
      <c r="M14" s="1340"/>
    </row>
    <row r="15" spans="2:14" ht="20.100000000000001" customHeight="1" x14ac:dyDescent="0.2">
      <c r="B15" s="1334" t="s">
        <v>2067</v>
      </c>
      <c r="C15" s="1338">
        <v>10.555</v>
      </c>
      <c r="D15" s="1339" t="s">
        <v>2107</v>
      </c>
      <c r="E15" s="1938">
        <v>0</v>
      </c>
      <c r="F15" s="1938">
        <v>171239</v>
      </c>
      <c r="G15" s="1938">
        <v>0</v>
      </c>
      <c r="H15" s="1938">
        <v>0</v>
      </c>
      <c r="I15" s="1938">
        <v>171239</v>
      </c>
      <c r="J15" s="1938">
        <v>0</v>
      </c>
      <c r="K15" s="1938">
        <v>0</v>
      </c>
      <c r="L15" s="1939">
        <f t="shared" si="0"/>
        <v>171239</v>
      </c>
      <c r="M15" s="1938"/>
    </row>
    <row r="16" spans="2:14" ht="20.100000000000001" customHeight="1" x14ac:dyDescent="0.2">
      <c r="B16" s="1334"/>
      <c r="C16" s="1338"/>
      <c r="D16" s="1339"/>
      <c r="E16" s="1940">
        <f t="shared" ref="E16:K16" si="1">SUM(E14:E15)</f>
        <v>182822</v>
      </c>
      <c r="F16" s="1940">
        <f t="shared" si="1"/>
        <v>226431</v>
      </c>
      <c r="G16" s="1940">
        <f t="shared" si="1"/>
        <v>182822</v>
      </c>
      <c r="H16" s="1940">
        <f t="shared" si="1"/>
        <v>0</v>
      </c>
      <c r="I16" s="1940">
        <f t="shared" si="1"/>
        <v>226431</v>
      </c>
      <c r="J16" s="1940">
        <f t="shared" si="1"/>
        <v>0</v>
      </c>
      <c r="K16" s="1940">
        <f t="shared" si="1"/>
        <v>0</v>
      </c>
      <c r="L16" s="1940">
        <f t="shared" si="0"/>
        <v>409253</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2108</v>
      </c>
      <c r="C18" s="1338"/>
      <c r="D18" s="1339"/>
      <c r="E18" s="1340"/>
      <c r="F18" s="1340"/>
      <c r="G18" s="1340"/>
      <c r="H18" s="1340"/>
      <c r="I18" s="1340"/>
      <c r="J18" s="1340"/>
      <c r="K18" s="1340"/>
      <c r="L18" s="1337">
        <f t="shared" si="0"/>
        <v>0</v>
      </c>
      <c r="M18" s="1340"/>
    </row>
    <row r="19" spans="2:14" ht="20.100000000000001" customHeight="1" x14ac:dyDescent="0.2">
      <c r="B19" s="1334" t="s">
        <v>2066</v>
      </c>
      <c r="C19" s="1338">
        <v>10.553000000000001</v>
      </c>
      <c r="D19" s="1339" t="s">
        <v>2109</v>
      </c>
      <c r="E19" s="1340">
        <v>74631</v>
      </c>
      <c r="F19" s="1340">
        <v>19555</v>
      </c>
      <c r="G19" s="1340">
        <v>74631</v>
      </c>
      <c r="H19" s="1340">
        <v>0</v>
      </c>
      <c r="I19" s="1340">
        <v>19555</v>
      </c>
      <c r="J19" s="1340">
        <v>0</v>
      </c>
      <c r="K19" s="1340">
        <v>0</v>
      </c>
      <c r="L19" s="1337">
        <f t="shared" si="0"/>
        <v>94186</v>
      </c>
      <c r="M19" s="1340"/>
    </row>
    <row r="20" spans="2:14" ht="20.100000000000001" customHeight="1" x14ac:dyDescent="0.2">
      <c r="B20" s="1334" t="s">
        <v>2067</v>
      </c>
      <c r="C20" s="1338">
        <v>10.553000000000001</v>
      </c>
      <c r="D20" s="1339" t="s">
        <v>2110</v>
      </c>
      <c r="E20" s="1938">
        <v>0</v>
      </c>
      <c r="F20" s="1938">
        <v>66087</v>
      </c>
      <c r="G20" s="1938">
        <v>0</v>
      </c>
      <c r="H20" s="1938">
        <v>0</v>
      </c>
      <c r="I20" s="1938">
        <v>66087</v>
      </c>
      <c r="J20" s="1938">
        <v>0</v>
      </c>
      <c r="K20" s="1938">
        <v>0</v>
      </c>
      <c r="L20" s="1939">
        <f t="shared" si="0"/>
        <v>66087</v>
      </c>
      <c r="M20" s="1938"/>
    </row>
    <row r="21" spans="2:14" ht="20.100000000000001" customHeight="1" x14ac:dyDescent="0.2">
      <c r="B21" s="1334"/>
      <c r="C21" s="1338"/>
      <c r="D21" s="1339"/>
      <c r="E21" s="1940">
        <f t="shared" ref="E21:L21" si="2">SUM(E19:E20)</f>
        <v>74631</v>
      </c>
      <c r="F21" s="1940">
        <f t="shared" si="2"/>
        <v>85642</v>
      </c>
      <c r="G21" s="1940">
        <f t="shared" si="2"/>
        <v>74631</v>
      </c>
      <c r="H21" s="1940">
        <f t="shared" si="2"/>
        <v>0</v>
      </c>
      <c r="I21" s="1940">
        <f t="shared" si="2"/>
        <v>85642</v>
      </c>
      <c r="J21" s="1940">
        <f t="shared" si="2"/>
        <v>0</v>
      </c>
      <c r="K21" s="1940">
        <f t="shared" si="2"/>
        <v>0</v>
      </c>
      <c r="L21" s="1940">
        <f t="shared" si="2"/>
        <v>160273</v>
      </c>
      <c r="M21" s="1940"/>
    </row>
    <row r="22" spans="2:14" ht="20.100000000000001" customHeight="1" x14ac:dyDescent="0.2">
      <c r="B22" s="1334"/>
      <c r="C22" s="1338"/>
      <c r="D22" s="1339"/>
      <c r="E22" s="1939"/>
      <c r="F22" s="1939"/>
      <c r="G22" s="1939"/>
      <c r="H22" s="1939"/>
      <c r="I22" s="1939"/>
      <c r="J22" s="1939"/>
      <c r="K22" s="1939"/>
      <c r="L22" s="1939">
        <f t="shared" si="0"/>
        <v>0</v>
      </c>
      <c r="M22" s="1939"/>
    </row>
    <row r="23" spans="2:14" ht="20.100000000000001" customHeight="1" thickBot="1" x14ac:dyDescent="0.25">
      <c r="B23" s="1334" t="s">
        <v>2094</v>
      </c>
      <c r="C23" s="1338"/>
      <c r="D23" s="1339"/>
      <c r="E23" s="1941">
        <f>SUM(E16+E21)</f>
        <v>257453</v>
      </c>
      <c r="F23" s="1941">
        <f t="shared" ref="F23:K23" si="3">SUM(F16+F21)</f>
        <v>312073</v>
      </c>
      <c r="G23" s="1941">
        <f t="shared" si="3"/>
        <v>257453</v>
      </c>
      <c r="H23" s="1941">
        <f t="shared" si="3"/>
        <v>0</v>
      </c>
      <c r="I23" s="1941">
        <f t="shared" si="3"/>
        <v>312073</v>
      </c>
      <c r="J23" s="1941">
        <f t="shared" si="3"/>
        <v>0</v>
      </c>
      <c r="K23" s="1941">
        <f t="shared" si="3"/>
        <v>0</v>
      </c>
      <c r="L23" s="1941">
        <f t="shared" si="0"/>
        <v>569526</v>
      </c>
      <c r="M23" s="1941"/>
    </row>
    <row r="24" spans="2:14" ht="20.100000000000001" customHeight="1" x14ac:dyDescent="0.2">
      <c r="B24" s="1334"/>
      <c r="C24" s="1338"/>
      <c r="D24" s="1339"/>
      <c r="E24" s="1939"/>
      <c r="F24" s="1939"/>
      <c r="G24" s="1939"/>
      <c r="H24" s="1939"/>
      <c r="I24" s="1939"/>
      <c r="J24" s="1939"/>
      <c r="K24" s="1939"/>
      <c r="L24" s="1939">
        <f t="shared" si="0"/>
        <v>0</v>
      </c>
      <c r="M24" s="1939"/>
    </row>
    <row r="25" spans="2:14" ht="20.100000000000001" customHeight="1" x14ac:dyDescent="0.2">
      <c r="B25" s="1334" t="s">
        <v>2111</v>
      </c>
      <c r="C25" s="1338">
        <v>10.565</v>
      </c>
      <c r="D25" s="1339" t="s">
        <v>2112</v>
      </c>
      <c r="E25" s="1942">
        <v>0</v>
      </c>
      <c r="F25" s="1942">
        <v>31852</v>
      </c>
      <c r="G25" s="1942">
        <v>0</v>
      </c>
      <c r="H25" s="1942">
        <v>0</v>
      </c>
      <c r="I25" s="1942">
        <v>31852</v>
      </c>
      <c r="J25" s="1942">
        <v>0</v>
      </c>
      <c r="K25" s="1942">
        <v>0</v>
      </c>
      <c r="L25" s="1942">
        <f t="shared" si="0"/>
        <v>31852</v>
      </c>
      <c r="M25" s="1942"/>
    </row>
    <row r="26" spans="2:14" ht="20.100000000000001" customHeight="1" x14ac:dyDescent="0.2">
      <c r="B26" s="1334" t="s">
        <v>2113</v>
      </c>
      <c r="C26" s="1338">
        <v>10.582000000000001</v>
      </c>
      <c r="D26" s="1339"/>
      <c r="E26" s="1942">
        <v>0</v>
      </c>
      <c r="F26" s="1942">
        <v>2547</v>
      </c>
      <c r="G26" s="1942">
        <v>0</v>
      </c>
      <c r="H26" s="1942">
        <v>0</v>
      </c>
      <c r="I26" s="1942">
        <v>2457</v>
      </c>
      <c r="J26" s="1942">
        <v>0</v>
      </c>
      <c r="K26" s="1942">
        <v>0</v>
      </c>
      <c r="L26" s="1942">
        <f t="shared" si="0"/>
        <v>2457</v>
      </c>
      <c r="M26" s="1942"/>
    </row>
    <row r="27" spans="2:14" ht="20.100000000000001" customHeight="1" thickBot="1" x14ac:dyDescent="0.25">
      <c r="B27" s="1937" t="s">
        <v>2115</v>
      </c>
      <c r="C27" s="1338"/>
      <c r="D27" s="1339"/>
      <c r="E27" s="1943">
        <f>SUM(E23+E25+E26)</f>
        <v>257453</v>
      </c>
      <c r="F27" s="1943">
        <f t="shared" ref="F27:K27" si="4">SUM(F23+F25+F26)</f>
        <v>346472</v>
      </c>
      <c r="G27" s="1943">
        <f t="shared" si="4"/>
        <v>257453</v>
      </c>
      <c r="H27" s="1943">
        <f t="shared" si="4"/>
        <v>0</v>
      </c>
      <c r="I27" s="1943">
        <f t="shared" si="4"/>
        <v>346382</v>
      </c>
      <c r="J27" s="1943">
        <f t="shared" si="4"/>
        <v>0</v>
      </c>
      <c r="K27" s="1943">
        <f t="shared" si="4"/>
        <v>0</v>
      </c>
      <c r="L27" s="1943">
        <f t="shared" si="0"/>
        <v>603835</v>
      </c>
      <c r="M27" s="1941"/>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electLockedCells="1" selectUnlockedCell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5368D-BCD0-4C98-81F9-578CE442F8EE}">
  <dimension ref="B1:N152"/>
  <sheetViews>
    <sheetView showGridLines="0" topLeftCell="A13"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Carbondale CHSD 165</v>
      </c>
      <c r="C1" s="2441"/>
      <c r="D1" s="2441"/>
      <c r="E1" s="2441"/>
      <c r="F1" s="2441"/>
      <c r="G1" s="2441"/>
      <c r="H1" s="2441"/>
      <c r="I1" s="2441"/>
      <c r="J1" s="2441"/>
      <c r="K1" s="2441"/>
      <c r="L1" s="2441"/>
      <c r="M1" s="2441"/>
    </row>
    <row r="2" spans="2:14" ht="15" x14ac:dyDescent="0.2">
      <c r="B2" s="2442">
        <f>'Single Audit Cover'!E7</f>
        <v>30039165016</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7" t="s">
        <v>2116</v>
      </c>
      <c r="C11" s="1335"/>
      <c r="D11" s="1336"/>
      <c r="E11" s="1337"/>
      <c r="F11" s="1337"/>
      <c r="G11" s="1337"/>
      <c r="H11" s="1337"/>
      <c r="I11" s="1337"/>
      <c r="J11" s="1337"/>
      <c r="K11" s="1337"/>
      <c r="L11" s="1337">
        <f>+G11+I11+K11</f>
        <v>0</v>
      </c>
      <c r="M11" s="1337"/>
    </row>
    <row r="12" spans="2:14" ht="20.100000000000001" customHeight="1" x14ac:dyDescent="0.2">
      <c r="B12" s="1334" t="s">
        <v>2117</v>
      </c>
      <c r="C12" s="1338"/>
      <c r="D12" s="1339"/>
      <c r="E12" s="1340"/>
      <c r="F12" s="1340"/>
      <c r="G12" s="1340"/>
      <c r="H12" s="1340"/>
      <c r="I12" s="1340"/>
      <c r="J12" s="1340"/>
      <c r="K12" s="1340"/>
      <c r="L12" s="1337">
        <f t="shared" ref="L12:L27" si="0">+G12+I12+K12</f>
        <v>0</v>
      </c>
      <c r="M12" s="1340"/>
    </row>
    <row r="13" spans="2:14" ht="20.100000000000001" customHeight="1" x14ac:dyDescent="0.2">
      <c r="B13" s="1334" t="s">
        <v>2118</v>
      </c>
      <c r="C13" s="1338"/>
      <c r="D13" s="1339"/>
      <c r="E13" s="1340"/>
      <c r="F13" s="1340"/>
      <c r="G13" s="1340"/>
      <c r="H13" s="1340"/>
      <c r="I13" s="1340"/>
      <c r="J13" s="1340"/>
      <c r="K13" s="1340"/>
      <c r="L13" s="1337">
        <f t="shared" si="0"/>
        <v>0</v>
      </c>
      <c r="M13" s="1340"/>
    </row>
    <row r="14" spans="2:14" ht="20.100000000000001" customHeight="1" x14ac:dyDescent="0.2">
      <c r="B14" s="1334" t="s">
        <v>2066</v>
      </c>
      <c r="C14" s="1338">
        <v>93.778000000000006</v>
      </c>
      <c r="D14" s="1339" t="s">
        <v>2119</v>
      </c>
      <c r="E14" s="1340">
        <v>30558</v>
      </c>
      <c r="F14" s="1340">
        <v>0</v>
      </c>
      <c r="G14" s="1340">
        <v>30558</v>
      </c>
      <c r="H14" s="1340">
        <v>0</v>
      </c>
      <c r="I14" s="1340">
        <v>0</v>
      </c>
      <c r="J14" s="1340">
        <v>0</v>
      </c>
      <c r="K14" s="1340">
        <v>0</v>
      </c>
      <c r="L14" s="1337">
        <f t="shared" si="0"/>
        <v>30558</v>
      </c>
      <c r="M14" s="1340"/>
    </row>
    <row r="15" spans="2:14" ht="20.100000000000001" customHeight="1" x14ac:dyDescent="0.2">
      <c r="B15" s="1334" t="s">
        <v>2067</v>
      </c>
      <c r="C15" s="1338">
        <v>93.778000000000006</v>
      </c>
      <c r="D15" s="1339" t="s">
        <v>2120</v>
      </c>
      <c r="E15" s="1340">
        <v>0</v>
      </c>
      <c r="F15" s="1340">
        <v>22915</v>
      </c>
      <c r="G15" s="1340">
        <v>0</v>
      </c>
      <c r="H15" s="1340">
        <v>0</v>
      </c>
      <c r="I15" s="1340">
        <v>22915</v>
      </c>
      <c r="J15" s="1340">
        <v>0</v>
      </c>
      <c r="K15" s="1340">
        <v>0</v>
      </c>
      <c r="L15" s="1337">
        <f t="shared" si="0"/>
        <v>22915</v>
      </c>
      <c r="M15" s="1340"/>
    </row>
    <row r="16" spans="2:14" ht="20.100000000000001" customHeight="1" x14ac:dyDescent="0.2">
      <c r="B16" s="1334"/>
      <c r="C16" s="1338"/>
      <c r="D16" s="1339"/>
      <c r="E16" s="1938"/>
      <c r="F16" s="1938"/>
      <c r="G16" s="1938"/>
      <c r="H16" s="1938"/>
      <c r="I16" s="1938"/>
      <c r="J16" s="1938"/>
      <c r="K16" s="1938"/>
      <c r="L16" s="1939">
        <f t="shared" si="0"/>
        <v>0</v>
      </c>
      <c r="M16" s="1938"/>
    </row>
    <row r="17" spans="2:14" ht="20.100000000000001" customHeight="1" thickBot="1" x14ac:dyDescent="0.25">
      <c r="B17" s="1937" t="s">
        <v>2121</v>
      </c>
      <c r="C17" s="1338"/>
      <c r="D17" s="1339"/>
      <c r="E17" s="1941">
        <f>SUM(E14:E16)</f>
        <v>30558</v>
      </c>
      <c r="F17" s="1941">
        <f>SUM(F14:F16)</f>
        <v>22915</v>
      </c>
      <c r="G17" s="1941">
        <f>SUM(G14:G15)</f>
        <v>30558</v>
      </c>
      <c r="H17" s="1941">
        <f>SUM(H14:H16)</f>
        <v>0</v>
      </c>
      <c r="I17" s="1941">
        <f>SUM(I14:I15)</f>
        <v>22915</v>
      </c>
      <c r="J17" s="1941">
        <f>SUM(J14:J15)</f>
        <v>0</v>
      </c>
      <c r="K17" s="1941">
        <f>SUM(K14:K15)</f>
        <v>0</v>
      </c>
      <c r="L17" s="1941">
        <f t="shared" si="0"/>
        <v>53473</v>
      </c>
      <c r="M17" s="1941"/>
    </row>
    <row r="18" spans="2:14" ht="20.100000000000001" customHeight="1" x14ac:dyDescent="0.2">
      <c r="B18" s="1334"/>
      <c r="C18" s="1338"/>
      <c r="D18" s="1339"/>
      <c r="E18" s="1337"/>
      <c r="F18" s="1337"/>
      <c r="G18" s="1337"/>
      <c r="H18" s="1337"/>
      <c r="I18" s="1337"/>
      <c r="J18" s="1337"/>
      <c r="K18" s="1337"/>
      <c r="L18" s="1337">
        <f t="shared" si="0"/>
        <v>0</v>
      </c>
      <c r="M18" s="1337"/>
    </row>
    <row r="19" spans="2:14" ht="20.100000000000001" customHeight="1" x14ac:dyDescent="0.2">
      <c r="B19" s="1937"/>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8"/>
      <c r="F26" s="1938"/>
      <c r="G26" s="1938"/>
      <c r="H26" s="1938"/>
      <c r="I26" s="1938"/>
      <c r="J26" s="1938"/>
      <c r="K26" s="1938"/>
      <c r="L26" s="1939">
        <f t="shared" si="0"/>
        <v>0</v>
      </c>
      <c r="M26" s="1340"/>
    </row>
    <row r="27" spans="2:14" ht="20.100000000000001" customHeight="1" thickBot="1" x14ac:dyDescent="0.25">
      <c r="B27" s="1937" t="s">
        <v>2122</v>
      </c>
      <c r="C27" s="1338"/>
      <c r="D27" s="1339"/>
      <c r="E27" s="1944">
        <f>SUM(' SEFA (2)'!E27+' SEFA (3)'!E27+' SEFA (4)'!E17)</f>
        <v>608466</v>
      </c>
      <c r="F27" s="1944">
        <f>SUM(' SEFA (2)'!F27+' SEFA (3)'!F27+' SEFA (4)'!F17)</f>
        <v>1264569</v>
      </c>
      <c r="G27" s="1944">
        <f>SUM(' SEFA (2)'!G27+' SEFA (3)'!G27+' SEFA (4)'!G17)</f>
        <v>840094</v>
      </c>
      <c r="H27" s="1944">
        <f>SUM(' SEFA (2)'!H27+' SEFA (3)'!H27+' SEFA (4)'!H17)</f>
        <v>0</v>
      </c>
      <c r="I27" s="1944">
        <f>SUM(' SEFA (2)'!I27+' SEFA (3)'!I27+' SEFA (4)'!I17)</f>
        <v>1245523</v>
      </c>
      <c r="J27" s="1944">
        <f>SUM(' SEFA (2)'!J27+' SEFA (3)'!J27+' SEFA (4)'!J17)</f>
        <v>0</v>
      </c>
      <c r="K27" s="1944">
        <f>SUM(' SEFA (2)'!K27+' SEFA (3)'!K27+' SEFA (4)'!K17)</f>
        <v>180000</v>
      </c>
      <c r="L27" s="1944">
        <f t="shared" si="0"/>
        <v>2265617</v>
      </c>
      <c r="M27" s="1340"/>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3" zoomScale="120" zoomScaleNormal="120" workbookViewId="0">
      <selection sqref="A1:M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Carbondale CHSD 165</v>
      </c>
      <c r="B1" s="2454"/>
      <c r="C1" s="2454"/>
      <c r="D1" s="2454"/>
      <c r="E1" s="2454"/>
      <c r="F1" s="2454"/>
    </row>
    <row r="2" spans="1:7" ht="13.5" customHeight="1" x14ac:dyDescent="0.2">
      <c r="A2" s="2442">
        <f>'Single Audit Cover'!E7</f>
        <v>30039165016</v>
      </c>
      <c r="B2" s="2442"/>
      <c r="C2" s="2442"/>
      <c r="D2" s="2442"/>
      <c r="E2" s="2442"/>
      <c r="F2" s="2442"/>
      <c r="G2" s="1272"/>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3" t="s">
        <v>1728</v>
      </c>
      <c r="C6" s="317"/>
      <c r="D6" s="317"/>
    </row>
    <row r="7" spans="1:7" ht="60.95" customHeight="1" x14ac:dyDescent="0.2">
      <c r="A7" s="2453" t="s">
        <v>2131</v>
      </c>
      <c r="B7" s="2453"/>
      <c r="C7" s="2453"/>
      <c r="D7" s="2453"/>
      <c r="E7" s="2453"/>
      <c r="F7" s="245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2069</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7.25" customHeight="1" x14ac:dyDescent="0.2">
      <c r="A13" s="2453" t="s">
        <v>2132</v>
      </c>
      <c r="B13" s="2453"/>
      <c r="C13" s="2453"/>
      <c r="D13" s="2453"/>
      <c r="E13" s="2453"/>
      <c r="F13" s="2453"/>
    </row>
    <row r="14" spans="1:7" ht="9.75" customHeight="1" x14ac:dyDescent="0.2">
      <c r="C14" s="1257"/>
      <c r="D14" s="1257"/>
    </row>
    <row r="15" spans="1:7" ht="13.5" customHeight="1" x14ac:dyDescent="0.2">
      <c r="C15" s="1844" t="s">
        <v>1270</v>
      </c>
      <c r="D15" s="2451" t="s">
        <v>1269</v>
      </c>
      <c r="E15" s="2451"/>
      <c r="F15" s="2451"/>
    </row>
    <row r="16" spans="1:7" ht="13.5" customHeight="1" x14ac:dyDescent="0.2">
      <c r="A16" s="1279"/>
      <c r="B16" s="1273" t="s">
        <v>1268</v>
      </c>
      <c r="C16" s="1844" t="s">
        <v>1267</v>
      </c>
      <c r="D16" s="2452" t="s">
        <v>1588</v>
      </c>
      <c r="E16" s="2452"/>
      <c r="F16" s="2452"/>
    </row>
    <row r="17" spans="1:6" ht="20.45" customHeight="1" x14ac:dyDescent="0.2">
      <c r="A17" s="1280"/>
      <c r="B17" s="1281" t="s">
        <v>2133</v>
      </c>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7" t="s">
        <v>2134</v>
      </c>
      <c r="B32" s="2447"/>
      <c r="C32" s="2447"/>
      <c r="D32" s="2447"/>
      <c r="E32" s="2447"/>
      <c r="F32" s="2447"/>
    </row>
    <row r="33" spans="1:6" ht="13.5" customHeight="1" x14ac:dyDescent="0.2">
      <c r="A33" s="328" t="s">
        <v>1434</v>
      </c>
      <c r="B33" s="328"/>
      <c r="C33" s="1285">
        <v>31852</v>
      </c>
      <c r="D33" s="1901"/>
      <c r="E33" s="1283"/>
    </row>
    <row r="34" spans="1:6" ht="13.5" customHeight="1" x14ac:dyDescent="0.2">
      <c r="A34" s="328" t="s">
        <v>1834</v>
      </c>
      <c r="B34" s="328"/>
      <c r="C34" s="1286">
        <v>2547</v>
      </c>
      <c r="D34" s="1901" t="s">
        <v>1589</v>
      </c>
      <c r="E34" s="2448">
        <f>+C33+C34</f>
        <v>34399</v>
      </c>
      <c r="F34" s="2449"/>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v>0</v>
      </c>
      <c r="D38" s="1901"/>
      <c r="E38" s="1283"/>
    </row>
    <row r="39" spans="1:6" ht="14.25" customHeight="1" x14ac:dyDescent="0.2">
      <c r="A39" s="328"/>
      <c r="B39" s="328" t="s">
        <v>1436</v>
      </c>
      <c r="C39" s="1289">
        <v>0</v>
      </c>
      <c r="D39" s="1901"/>
      <c r="E39" s="1283"/>
    </row>
    <row r="40" spans="1:6" ht="14.25" customHeight="1" x14ac:dyDescent="0.2">
      <c r="A40" s="328"/>
      <c r="B40" s="328" t="s">
        <v>1437</v>
      </c>
      <c r="C40" s="1289">
        <v>0</v>
      </c>
      <c r="D40" s="1901"/>
      <c r="E40" s="1283"/>
    </row>
    <row r="41" spans="1:6" ht="14.25" customHeight="1" x14ac:dyDescent="0.2">
      <c r="A41" s="328"/>
      <c r="B41" s="328" t="s">
        <v>1438</v>
      </c>
      <c r="C41" s="1289">
        <v>0</v>
      </c>
      <c r="D41" s="1901"/>
      <c r="E41" s="1283"/>
    </row>
    <row r="42" spans="1:6" ht="14.25" customHeight="1" x14ac:dyDescent="0.2">
      <c r="A42" s="328" t="s">
        <v>1439</v>
      </c>
      <c r="B42" s="328"/>
      <c r="C42" s="1899">
        <v>0</v>
      </c>
      <c r="D42" s="1901"/>
      <c r="E42" s="1283"/>
    </row>
    <row r="43" spans="1:6" ht="14.25" customHeight="1" x14ac:dyDescent="0.2">
      <c r="A43" s="328" t="s">
        <v>1440</v>
      </c>
      <c r="B43" s="328"/>
      <c r="C43" s="1290">
        <v>0</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3"/>
      <c r="C50" s="1843"/>
      <c r="D50" s="1843"/>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sqref="A1:M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Carbondale CHSD 165</v>
      </c>
      <c r="C1" s="2469"/>
      <c r="D1" s="2469"/>
      <c r="E1" s="2469"/>
      <c r="F1" s="2469"/>
      <c r="G1" s="2469"/>
      <c r="H1" s="2469"/>
      <c r="I1" s="2469"/>
      <c r="J1" s="1406"/>
    </row>
    <row r="2" spans="2:10" s="317" customFormat="1" ht="12.75" customHeight="1" x14ac:dyDescent="0.2">
      <c r="B2" s="2470">
        <f>'Single Audit Cover'!E7</f>
        <v>30039165016</v>
      </c>
      <c r="C2" s="2471"/>
      <c r="D2" s="2471"/>
      <c r="E2" s="2471"/>
      <c r="F2" s="2471"/>
      <c r="G2" s="2471"/>
      <c r="H2" s="2471"/>
      <c r="I2" s="2471"/>
      <c r="J2" s="1406"/>
    </row>
    <row r="3" spans="2:10" s="317" customFormat="1" ht="12.75" customHeight="1" x14ac:dyDescent="0.2">
      <c r="B3" s="2472" t="s">
        <v>1285</v>
      </c>
      <c r="C3" s="2473"/>
      <c r="D3" s="2473"/>
      <c r="E3" s="2473"/>
      <c r="F3" s="2473"/>
      <c r="G3" s="2473"/>
      <c r="H3" s="2473"/>
      <c r="I3" s="2473"/>
      <c r="J3" s="1407"/>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2" t="s">
        <v>1284</v>
      </c>
      <c r="C7" s="2473"/>
      <c r="D7" s="2473"/>
      <c r="E7" s="2473"/>
      <c r="F7" s="2473"/>
      <c r="G7" s="2473"/>
      <c r="H7" s="2473"/>
      <c r="I7" s="247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4" t="s">
        <v>1164</v>
      </c>
      <c r="D11" s="247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2069</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2069</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2069</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2135</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5" t="s">
        <v>2136</v>
      </c>
      <c r="E29" s="2475"/>
      <c r="F29" s="2475"/>
      <c r="G29" s="2475"/>
      <c r="H29" s="2475"/>
      <c r="I29" s="2475"/>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2069</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6" t="s">
        <v>1748</v>
      </c>
      <c r="D37" s="2477"/>
      <c r="E37" s="2477"/>
      <c r="F37" s="2478"/>
      <c r="G37" s="2476" t="s">
        <v>1592</v>
      </c>
      <c r="H37" s="2477"/>
      <c r="I37" s="2478"/>
    </row>
    <row r="38" spans="2:9" ht="16.5" customHeight="1" x14ac:dyDescent="0.2">
      <c r="B38" s="1428" t="s">
        <v>2064</v>
      </c>
      <c r="C38" s="2464" t="s">
        <v>2137</v>
      </c>
      <c r="D38" s="2465"/>
      <c r="E38" s="2465"/>
      <c r="F38" s="2466"/>
      <c r="G38" s="2479">
        <v>630541</v>
      </c>
      <c r="H38" s="2480"/>
      <c r="I38" s="2481"/>
    </row>
    <row r="39" spans="2:9" ht="16.5" customHeight="1" x14ac:dyDescent="0.2">
      <c r="B39" s="1428"/>
      <c r="C39" s="2464"/>
      <c r="D39" s="2465"/>
      <c r="E39" s="2465"/>
      <c r="F39" s="2466"/>
      <c r="G39" s="2467"/>
      <c r="H39" s="2467"/>
      <c r="I39" s="2467"/>
    </row>
    <row r="40" spans="2:9" ht="16.5" customHeight="1" x14ac:dyDescent="0.2">
      <c r="B40" s="1428"/>
      <c r="C40" s="2464"/>
      <c r="D40" s="2465"/>
      <c r="E40" s="2465"/>
      <c r="F40" s="2466"/>
      <c r="G40" s="2467"/>
      <c r="H40" s="2467"/>
      <c r="I40" s="2467"/>
    </row>
    <row r="41" spans="2:9" ht="16.5" customHeight="1" x14ac:dyDescent="0.2">
      <c r="B41" s="1428"/>
      <c r="C41" s="2464"/>
      <c r="D41" s="2465"/>
      <c r="E41" s="2465"/>
      <c r="F41" s="2466"/>
      <c r="G41" s="2467"/>
      <c r="H41" s="2467"/>
      <c r="I41" s="2467"/>
    </row>
    <row r="42" spans="2:9" ht="16.5" customHeight="1" x14ac:dyDescent="0.2">
      <c r="B42" s="1428"/>
      <c r="C42" s="2464"/>
      <c r="D42" s="2465"/>
      <c r="E42" s="2465"/>
      <c r="F42" s="2466"/>
      <c r="G42" s="2467"/>
      <c r="H42" s="2467"/>
      <c r="I42" s="2467"/>
    </row>
    <row r="43" spans="2:9" ht="16.5" customHeight="1" x14ac:dyDescent="0.2">
      <c r="B43" s="1428"/>
      <c r="C43" s="2457" t="s">
        <v>1593</v>
      </c>
      <c r="D43" s="2458"/>
      <c r="E43" s="2458"/>
      <c r="F43" s="2459"/>
      <c r="G43" s="2460">
        <f>SUM(G38:I42)</f>
        <v>630541</v>
      </c>
      <c r="H43" s="2460"/>
      <c r="I43" s="2460"/>
    </row>
    <row r="44" spans="2:9" ht="12.75" customHeight="1" x14ac:dyDescent="0.2"/>
    <row r="45" spans="2:9" ht="12.75" customHeight="1" x14ac:dyDescent="0.2">
      <c r="B45" s="1419" t="s">
        <v>2058</v>
      </c>
      <c r="D45" s="2461">
        <v>1245523</v>
      </c>
      <c r="E45" s="2462"/>
    </row>
    <row r="46" spans="2:9" ht="5.25" customHeight="1" x14ac:dyDescent="0.2">
      <c r="B46" s="1429"/>
      <c r="D46" s="1430"/>
      <c r="E46" s="1431"/>
    </row>
    <row r="47" spans="2:9" ht="12.75" customHeight="1" x14ac:dyDescent="0.2">
      <c r="B47" s="1297" t="s">
        <v>1594</v>
      </c>
      <c r="C47" s="1297"/>
      <c r="D47" s="1432">
        <f>+G43/D45</f>
        <v>0.50624597056818699</v>
      </c>
      <c r="E47" s="1433"/>
      <c r="F47" s="1434"/>
      <c r="I47" s="1435"/>
    </row>
    <row r="48" spans="2:9" ht="9.9499999999999993" customHeight="1" x14ac:dyDescent="0.2"/>
    <row r="49" spans="1:9" x14ac:dyDescent="0.2">
      <c r="B49" s="1365" t="s">
        <v>1273</v>
      </c>
      <c r="C49" s="1279"/>
      <c r="D49" s="1279"/>
      <c r="E49" s="2463">
        <v>750000</v>
      </c>
      <c r="F49" s="2463"/>
      <c r="G49" s="2463"/>
      <c r="H49" s="322"/>
    </row>
    <row r="51" spans="1:9" ht="13.5" customHeight="1" x14ac:dyDescent="0.2">
      <c r="B51" s="1365" t="s">
        <v>1272</v>
      </c>
      <c r="C51" s="1279"/>
      <c r="E51" s="1422" t="s">
        <v>2069</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sqref="A1:M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Carbondale CHSD 165</v>
      </c>
      <c r="C1" s="2468"/>
      <c r="D1" s="2468"/>
      <c r="E1" s="2468"/>
      <c r="F1" s="2468"/>
      <c r="G1" s="2468"/>
      <c r="H1" s="2468"/>
      <c r="I1" s="2468"/>
      <c r="J1" s="2468"/>
      <c r="K1" s="2468"/>
      <c r="L1" s="1371"/>
      <c r="M1" s="1371"/>
    </row>
    <row r="2" spans="1:13" ht="12" customHeight="1" x14ac:dyDescent="0.2">
      <c r="B2" s="2470">
        <f>'Single Audit Cover'!E7</f>
        <v>30039165016</v>
      </c>
      <c r="C2" s="2470"/>
      <c r="D2" s="2470"/>
      <c r="E2" s="2470"/>
      <c r="F2" s="2470"/>
      <c r="G2" s="2470"/>
      <c r="H2" s="2470"/>
      <c r="I2" s="2470"/>
      <c r="J2" s="2470"/>
      <c r="K2" s="2470"/>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1985</v>
      </c>
      <c r="D10" s="1383">
        <v>1</v>
      </c>
      <c r="E10" s="322"/>
      <c r="F10" s="1384" t="s">
        <v>1295</v>
      </c>
      <c r="G10" s="1385"/>
      <c r="H10" s="1386" t="s">
        <v>1294</v>
      </c>
      <c r="I10" s="1385" t="s">
        <v>2069</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t="s">
        <v>2138</v>
      </c>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1.5" customHeight="1" x14ac:dyDescent="0.2">
      <c r="B17" s="2483" t="s">
        <v>2183</v>
      </c>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7" t="s">
        <v>2182</v>
      </c>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32.25" customHeight="1" x14ac:dyDescent="0.2">
      <c r="B23" s="2483" t="s">
        <v>2139</v>
      </c>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t="s">
        <v>2184</v>
      </c>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75" customHeight="1" x14ac:dyDescent="0.2">
      <c r="B29" s="2482" t="s">
        <v>2140</v>
      </c>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51" customHeight="1" x14ac:dyDescent="0.2">
      <c r="B32" s="2482" t="s">
        <v>2185</v>
      </c>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4" zoomScale="110" zoomScaleNormal="110" workbookViewId="0">
      <selection sqref="A1:M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Carbondale CHSD 165</v>
      </c>
      <c r="C1" s="2492"/>
      <c r="D1" s="2492"/>
      <c r="E1" s="2492"/>
      <c r="F1" s="2492"/>
      <c r="G1" s="2492"/>
      <c r="H1" s="2492"/>
      <c r="I1" s="2492"/>
      <c r="J1" s="2492"/>
      <c r="K1" s="2492"/>
      <c r="L1" s="1449"/>
    </row>
    <row r="2" spans="1:12" ht="12.75" customHeight="1" x14ac:dyDescent="0.2">
      <c r="B2" s="2493">
        <f>'Single Audit Cover'!E7</f>
        <v>30039165016</v>
      </c>
      <c r="C2" s="2493"/>
      <c r="D2" s="2493"/>
      <c r="E2" s="2493"/>
      <c r="F2" s="2493"/>
      <c r="G2" s="2493"/>
      <c r="H2" s="2493"/>
      <c r="I2" s="2493"/>
      <c r="J2" s="2493"/>
      <c r="K2" s="2493"/>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1985</v>
      </c>
      <c r="D8" s="1452" t="s">
        <v>2141</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5"/>
      <c r="G12" s="2475"/>
      <c r="H12" s="2475"/>
      <c r="I12" s="2475"/>
      <c r="J12" s="2475"/>
      <c r="K12" s="247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8"/>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0" zoomScale="110" zoomScaleNormal="110" workbookViewId="0">
      <selection sqref="A1:M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Carbondale CHSD 165</v>
      </c>
      <c r="C1" s="2468"/>
      <c r="D1" s="2468"/>
      <c r="E1" s="1469"/>
    </row>
    <row r="2" spans="2:5" s="1279" customFormat="1" ht="12.75" customHeight="1" x14ac:dyDescent="0.2">
      <c r="B2" s="2470">
        <f>'Single Audit Cover'!E7</f>
        <v>30039165016</v>
      </c>
      <c r="C2" s="2470"/>
      <c r="D2" s="2470"/>
      <c r="E2" s="1470"/>
    </row>
    <row r="3" spans="2:5" ht="12.75" customHeight="1" x14ac:dyDescent="0.2">
      <c r="B3" s="2484" t="s">
        <v>1763</v>
      </c>
      <c r="C3" s="2484"/>
      <c r="D3" s="2484"/>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c r="C5" s="328"/>
      <c r="D5" s="328"/>
      <c r="E5" s="328"/>
    </row>
    <row r="6" spans="2:5" s="1279" customFormat="1" ht="13.5" customHeight="1" x14ac:dyDescent="0.2">
      <c r="B6" s="1473" t="s">
        <v>1315</v>
      </c>
      <c r="C6" s="1473" t="s">
        <v>1314</v>
      </c>
      <c r="D6" s="1473" t="s">
        <v>1764</v>
      </c>
    </row>
    <row r="7" spans="2:5" ht="13.5" customHeight="1" x14ac:dyDescent="0.2">
      <c r="B7" s="1474"/>
      <c r="C7" s="324"/>
      <c r="D7" s="324"/>
      <c r="E7" s="324"/>
    </row>
    <row r="8" spans="2:5" ht="13.5" customHeight="1" x14ac:dyDescent="0.2">
      <c r="B8" s="1474" t="s">
        <v>2142</v>
      </c>
      <c r="C8" s="324" t="s">
        <v>2143</v>
      </c>
      <c r="D8" s="324" t="s">
        <v>2144</v>
      </c>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1765</v>
      </c>
    </row>
    <row r="46" spans="2:5" ht="12.2" customHeight="1" x14ac:dyDescent="0.2">
      <c r="B46" s="1483" t="s">
        <v>1766</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Normal="110" zoomScalePageLayoutView="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470970264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1.6456200000000001E-2</v>
      </c>
      <c r="E10" s="356" t="s">
        <v>1005</v>
      </c>
      <c r="F10" s="355">
        <v>3.1454999999999999E-3</v>
      </c>
      <c r="G10" s="356" t="s">
        <v>1005</v>
      </c>
      <c r="H10" s="355">
        <v>1.1884E-3</v>
      </c>
      <c r="I10" s="356" t="s">
        <v>1006</v>
      </c>
      <c r="J10" s="1731">
        <f>ROUND(D10+F10+H10,5)</f>
        <v>2.0789999999999999E-2</v>
      </c>
      <c r="K10" s="222"/>
      <c r="L10" s="355">
        <v>4.5689999999999999E-4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15257924</v>
      </c>
      <c r="E16" s="356"/>
      <c r="F16" s="1732">
        <f>SUM('Acct Summary 7-8'!C17,'Acct Summary 7-8'!D17,'Acct Summary 7-8'!F17)</f>
        <v>15580485</v>
      </c>
      <c r="G16" s="356"/>
      <c r="H16" s="1732">
        <f>SUM(D16-F16)</f>
        <v>-322561</v>
      </c>
      <c r="I16" s="222"/>
      <c r="J16" s="1732">
        <f>SUM('Acct Summary 7-8'!C81,'Acct Summary 7-8'!D81,'Acct Summary 7-8'!F81,'Acct Summary 7-8'!I81)</f>
        <v>7157802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586</v>
      </c>
      <c r="D31" s="237" t="s">
        <v>1072</v>
      </c>
      <c r="E31" s="222"/>
      <c r="F31" s="222"/>
      <c r="G31" s="363"/>
      <c r="H31" s="1734">
        <f>IF(B31="X",(J7*0.069),IF(B32="X",(J7*0.138),"Enter x in a.or b."))</f>
        <v>32496948.216000002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596423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Normal="110" zoomScalePageLayoutView="110" workbookViewId="0">
      <selection sqref="A1:M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Carbondale CHSD 165</v>
      </c>
      <c r="E7" s="391"/>
      <c r="G7" s="252"/>
      <c r="H7" s="387"/>
      <c r="I7" s="387"/>
      <c r="J7" s="387"/>
      <c r="K7" s="387"/>
      <c r="L7" s="329"/>
      <c r="M7" s="329"/>
      <c r="N7" s="329"/>
      <c r="O7" s="329"/>
      <c r="P7" s="329"/>
    </row>
    <row r="8" spans="1:18" ht="12.75" x14ac:dyDescent="0.2">
      <c r="A8" s="329"/>
      <c r="B8" s="329"/>
      <c r="C8" s="389" t="s">
        <v>1125</v>
      </c>
      <c r="D8" s="392">
        <f>COVER!A13</f>
        <v>30039165016</v>
      </c>
      <c r="E8" s="393"/>
      <c r="G8" s="329"/>
      <c r="H8" s="329"/>
      <c r="I8" s="329"/>
      <c r="J8" s="329"/>
      <c r="K8" s="329"/>
      <c r="L8" s="329"/>
      <c r="M8" s="329"/>
      <c r="N8" s="329"/>
      <c r="O8" s="329"/>
      <c r="P8" s="329"/>
    </row>
    <row r="9" spans="1:18" ht="12.75" x14ac:dyDescent="0.2">
      <c r="A9" s="329"/>
      <c r="B9" s="329"/>
      <c r="C9" s="389" t="s">
        <v>713</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7157802</v>
      </c>
      <c r="I12" s="404"/>
      <c r="J12" s="404"/>
      <c r="K12" s="405">
        <f>TRUNC((H12/H13*100000),5)/100000</f>
        <v>0.4691203075</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15257924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15580485</v>
      </c>
      <c r="I17" s="404"/>
      <c r="J17" s="416"/>
      <c r="K17" s="405">
        <f>TRUNC((H17/H18*100000),5)/100000</f>
        <v>1.0211405562</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15257924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17.460293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7137535</v>
      </c>
      <c r="I24" s="422"/>
      <c r="J24" s="422"/>
      <c r="K24" s="423">
        <f>TRUNC(((H24/H25*100000)/100000),2)</f>
        <v>164.91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43279.125</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8322751.0202799998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596423</v>
      </c>
      <c r="I32" s="420"/>
      <c r="J32" s="420"/>
      <c r="K32" s="423">
        <f>TRUNC(100-((((H32/H33*100))*100)/100),2)</f>
        <v>98.16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32496948.216000002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Normal="100" zoomScaleSheetLayoutView="100" workbookViewId="0">
      <pane ySplit="2" topLeftCell="A3" activePane="bottomLeft" state="frozen"/>
      <selection sqref="A1:M1"/>
      <selection pane="bottomLeft" sqref="A1:M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f>3307238-4281</f>
        <v>3302957</v>
      </c>
      <c r="D4" s="466">
        <v>1562138</v>
      </c>
      <c r="E4" s="466">
        <v>419782</v>
      </c>
      <c r="F4" s="466">
        <v>1186576</v>
      </c>
      <c r="G4" s="466">
        <v>488803</v>
      </c>
      <c r="H4" s="466">
        <v>345078</v>
      </c>
      <c r="I4" s="466">
        <v>1085864</v>
      </c>
      <c r="J4" s="467">
        <v>274630</v>
      </c>
      <c r="K4" s="466">
        <v>18906</v>
      </c>
      <c r="L4" s="466">
        <v>388590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3302957</v>
      </c>
      <c r="D13" s="1736">
        <f t="shared" ref="D13:L13" si="0">SUM(D4:D12)</f>
        <v>1562138</v>
      </c>
      <c r="E13" s="1736">
        <f t="shared" si="0"/>
        <v>419782</v>
      </c>
      <c r="F13" s="1736">
        <f t="shared" si="0"/>
        <v>1186576</v>
      </c>
      <c r="G13" s="1736">
        <f t="shared" si="0"/>
        <v>488803</v>
      </c>
      <c r="H13" s="1736">
        <f t="shared" si="0"/>
        <v>345078</v>
      </c>
      <c r="I13" s="1736">
        <f t="shared" si="0"/>
        <v>1085864</v>
      </c>
      <c r="J13" s="1736">
        <f t="shared" si="0"/>
        <v>274630</v>
      </c>
      <c r="K13" s="1736">
        <f t="shared" si="0"/>
        <v>18906</v>
      </c>
      <c r="L13" s="1736">
        <f t="shared" si="0"/>
        <v>388590</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147429</v>
      </c>
      <c r="N16" s="484"/>
    </row>
    <row r="17" spans="1:14" s="485" customFormat="1" ht="12.75" customHeight="1" x14ac:dyDescent="0.2">
      <c r="A17" s="482" t="s">
        <v>1403</v>
      </c>
      <c r="B17" s="483">
        <v>230</v>
      </c>
      <c r="C17" s="477"/>
      <c r="D17" s="477"/>
      <c r="E17" s="477"/>
      <c r="F17" s="477"/>
      <c r="G17" s="477"/>
      <c r="H17" s="477"/>
      <c r="I17" s="477"/>
      <c r="J17" s="477"/>
      <c r="K17" s="477"/>
      <c r="L17" s="477"/>
      <c r="M17" s="467">
        <v>33355721</v>
      </c>
      <c r="N17" s="484"/>
    </row>
    <row r="18" spans="1:14" s="485" customFormat="1" ht="12.75" customHeight="1" x14ac:dyDescent="0.2">
      <c r="A18" s="482" t="s">
        <v>1404</v>
      </c>
      <c r="B18" s="483">
        <v>240</v>
      </c>
      <c r="C18" s="477"/>
      <c r="D18" s="477"/>
      <c r="E18" s="477"/>
      <c r="F18" s="477"/>
      <c r="G18" s="477"/>
      <c r="H18" s="477"/>
      <c r="I18" s="477"/>
      <c r="J18" s="477"/>
      <c r="K18" s="477"/>
      <c r="L18" s="477"/>
      <c r="M18" s="467">
        <v>3207872</v>
      </c>
      <c r="N18" s="484"/>
    </row>
    <row r="19" spans="1:14" s="485" customFormat="1" ht="12.75" customHeight="1" x14ac:dyDescent="0.2">
      <c r="A19" s="482" t="s">
        <v>1405</v>
      </c>
      <c r="B19" s="483">
        <v>250</v>
      </c>
      <c r="C19" s="477"/>
      <c r="D19" s="477"/>
      <c r="E19" s="477"/>
      <c r="F19" s="477"/>
      <c r="G19" s="477"/>
      <c r="H19" s="477"/>
      <c r="I19" s="477"/>
      <c r="J19" s="477"/>
      <c r="K19" s="477"/>
      <c r="L19" s="477"/>
      <c r="M19" s="467">
        <f>4778917+239613</f>
        <v>5018530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419782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176641</v>
      </c>
    </row>
    <row r="23" spans="1:14" ht="13.5" customHeight="1" thickBot="1" x14ac:dyDescent="0.25">
      <c r="A23" s="1735" t="s">
        <v>643</v>
      </c>
      <c r="B23" s="1740"/>
      <c r="C23" s="468"/>
      <c r="D23" s="468"/>
      <c r="E23" s="468"/>
      <c r="F23" s="468"/>
      <c r="G23" s="468"/>
      <c r="H23" s="468"/>
      <c r="I23" s="468"/>
      <c r="J23" s="468"/>
      <c r="K23" s="468"/>
      <c r="L23" s="468"/>
      <c r="M23" s="1687">
        <f>SUM(M15:M22)</f>
        <v>41729552</v>
      </c>
      <c r="N23" s="1687">
        <f>SUM(N21:N22)</f>
        <v>596423</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-20421</v>
      </c>
      <c r="D31" s="467">
        <v>154</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388590</v>
      </c>
      <c r="M33" s="468"/>
      <c r="N33" s="469"/>
    </row>
    <row r="34" spans="1:14" ht="13.5" customHeight="1" thickBot="1" x14ac:dyDescent="0.25">
      <c r="A34" s="1737" t="s">
        <v>654</v>
      </c>
      <c r="B34" s="1738"/>
      <c r="C34" s="1739">
        <f>SUM(C25:C33)</f>
        <v>-20421</v>
      </c>
      <c r="D34" s="1739">
        <f t="shared" ref="D34:K34" si="1">SUM(D25:D33)</f>
        <v>154</v>
      </c>
      <c r="E34" s="1739">
        <f t="shared" si="1"/>
        <v>0</v>
      </c>
      <c r="F34" s="1739">
        <f t="shared" si="1"/>
        <v>0</v>
      </c>
      <c r="G34" s="1739">
        <f t="shared" si="1"/>
        <v>0</v>
      </c>
      <c r="H34" s="1739">
        <f t="shared" si="1"/>
        <v>0</v>
      </c>
      <c r="I34" s="1739">
        <f t="shared" si="1"/>
        <v>0</v>
      </c>
      <c r="J34" s="1739">
        <f t="shared" si="1"/>
        <v>0</v>
      </c>
      <c r="K34" s="1739">
        <f t="shared" si="1"/>
        <v>0</v>
      </c>
      <c r="L34" s="1720">
        <f>SUM(L33)</f>
        <v>388590</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596423</v>
      </c>
    </row>
    <row r="37" spans="1:14" ht="13.5" thickBot="1" x14ac:dyDescent="0.25">
      <c r="A37" s="1735" t="s">
        <v>653</v>
      </c>
      <c r="B37" s="1740"/>
      <c r="C37" s="477"/>
      <c r="D37" s="477"/>
      <c r="E37" s="477"/>
      <c r="F37" s="477"/>
      <c r="G37" s="477"/>
      <c r="H37" s="477"/>
      <c r="I37" s="477"/>
      <c r="J37" s="477"/>
      <c r="K37" s="477"/>
      <c r="L37" s="480"/>
      <c r="M37" s="468"/>
      <c r="N37" s="1687">
        <f>SUM(N36:N36)</f>
        <v>596423</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3323378</v>
      </c>
      <c r="D39" s="466">
        <v>1561984</v>
      </c>
      <c r="E39" s="466">
        <v>419782</v>
      </c>
      <c r="F39" s="466">
        <v>1186576</v>
      </c>
      <c r="G39" s="466">
        <v>488803</v>
      </c>
      <c r="H39" s="466">
        <v>345078</v>
      </c>
      <c r="I39" s="466">
        <v>1085864</v>
      </c>
      <c r="J39" s="467">
        <v>274630</v>
      </c>
      <c r="K39" s="466">
        <v>18906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41729552</v>
      </c>
      <c r="N40" s="497"/>
    </row>
    <row r="41" spans="1:14" ht="13.5" customHeight="1" thickBot="1" x14ac:dyDescent="0.25">
      <c r="A41" s="1735" t="s">
        <v>655</v>
      </c>
      <c r="B41" s="1705"/>
      <c r="C41" s="1687">
        <f>(SUM(C34,C37,C38,C39))</f>
        <v>3302957</v>
      </c>
      <c r="D41" s="1687">
        <f t="shared" ref="D41:L41" si="2">SUM(D34,D37,D38:D39)</f>
        <v>1562138</v>
      </c>
      <c r="E41" s="1687">
        <f t="shared" si="2"/>
        <v>419782</v>
      </c>
      <c r="F41" s="1687">
        <f t="shared" si="2"/>
        <v>1186576</v>
      </c>
      <c r="G41" s="1687">
        <f t="shared" si="2"/>
        <v>488803</v>
      </c>
      <c r="H41" s="1687">
        <f t="shared" si="2"/>
        <v>345078</v>
      </c>
      <c r="I41" s="1687">
        <f t="shared" si="2"/>
        <v>1085864</v>
      </c>
      <c r="J41" s="1687">
        <f t="shared" si="2"/>
        <v>274630</v>
      </c>
      <c r="K41" s="1687">
        <f t="shared" si="2"/>
        <v>18906</v>
      </c>
      <c r="L41" s="1687">
        <f t="shared" si="2"/>
        <v>388590</v>
      </c>
      <c r="M41" s="1687">
        <f>SUM(M40)</f>
        <v>41729552</v>
      </c>
      <c r="N41" s="1687">
        <f>SUM(N37)</f>
        <v>596423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45" activePane="bottomLeft" state="frozen"/>
      <selection sqref="A1:M1"/>
      <selection pane="bottomLeft" sqref="A1:M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6" t="s">
        <v>1499</v>
      </c>
      <c r="B4" s="1927">
        <v>1000</v>
      </c>
      <c r="C4" s="1741">
        <f>'Revenues 9-14'!C109</f>
        <v>8681118</v>
      </c>
      <c r="D4" s="1741">
        <f>'Revenues 9-14'!D109</f>
        <v>1948522</v>
      </c>
      <c r="E4" s="1741">
        <f>'Revenues 9-14'!E109</f>
        <v>1154028</v>
      </c>
      <c r="F4" s="1741">
        <f>'Revenues 9-14'!F109</f>
        <v>584869</v>
      </c>
      <c r="G4" s="1741">
        <f>'Revenues 9-14'!G109</f>
        <v>503058</v>
      </c>
      <c r="H4" s="1741">
        <f>'Revenues 9-14'!H109</f>
        <v>796379</v>
      </c>
      <c r="I4" s="1741">
        <f>'Revenues 9-14'!I109</f>
        <v>234089</v>
      </c>
      <c r="J4" s="1741">
        <f>'Revenues 9-14'!J109</f>
        <v>348356</v>
      </c>
      <c r="K4" s="1741">
        <f>'Revenues 9-14'!K109</f>
        <v>184479</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2296631</v>
      </c>
      <c r="D6" s="1742">
        <f>'Revenues 9-14'!D170</f>
        <v>0</v>
      </c>
      <c r="E6" s="1742">
        <f>'Revenues 9-14'!E170</f>
        <v>0</v>
      </c>
      <c r="F6" s="1742">
        <f>'Revenues 9-14'!F170</f>
        <v>261675</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1251020</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12228769</v>
      </c>
      <c r="D8" s="1687">
        <f t="shared" ref="D8:K8" si="0">SUM(D4:D7)</f>
        <v>1948522</v>
      </c>
      <c r="E8" s="1687">
        <f t="shared" si="0"/>
        <v>1154028</v>
      </c>
      <c r="F8" s="1687">
        <f t="shared" si="0"/>
        <v>846544</v>
      </c>
      <c r="G8" s="1687">
        <f t="shared" si="0"/>
        <v>503058</v>
      </c>
      <c r="H8" s="1687">
        <f t="shared" si="0"/>
        <v>796379</v>
      </c>
      <c r="I8" s="1687">
        <f t="shared" si="0"/>
        <v>234089</v>
      </c>
      <c r="J8" s="1687">
        <f t="shared" si="0"/>
        <v>348356</v>
      </c>
      <c r="K8" s="1687">
        <f t="shared" si="0"/>
        <v>184479</v>
      </c>
      <c r="L8" s="347"/>
    </row>
    <row r="9" spans="1:13" ht="15.75" thickTop="1" x14ac:dyDescent="0.2">
      <c r="A9" s="514" t="s">
        <v>1653</v>
      </c>
      <c r="B9" s="515">
        <v>3998</v>
      </c>
      <c r="C9" s="481">
        <v>756789</v>
      </c>
      <c r="D9" s="516"/>
      <c r="E9" s="481"/>
      <c r="F9" s="481"/>
      <c r="G9" s="517"/>
      <c r="H9" s="481"/>
      <c r="I9" s="509" t="s">
        <v>1169</v>
      </c>
      <c r="J9" s="478"/>
      <c r="K9" s="481"/>
      <c r="L9" s="347"/>
    </row>
    <row r="10" spans="1:13" s="519" customFormat="1" ht="13.5" thickBot="1" x14ac:dyDescent="0.25">
      <c r="A10" s="1735" t="s">
        <v>1173</v>
      </c>
      <c r="B10" s="1708"/>
      <c r="C10" s="1687">
        <f>SUM(C8:C9)</f>
        <v>12985558</v>
      </c>
      <c r="D10" s="1687">
        <f t="shared" ref="D10:K10" si="1">SUM(D8:D9)</f>
        <v>1948522</v>
      </c>
      <c r="E10" s="1687">
        <f t="shared" si="1"/>
        <v>1154028</v>
      </c>
      <c r="F10" s="1687">
        <f t="shared" si="1"/>
        <v>846544</v>
      </c>
      <c r="G10" s="1687">
        <f t="shared" si="1"/>
        <v>503058</v>
      </c>
      <c r="H10" s="1687">
        <f t="shared" si="1"/>
        <v>796379</v>
      </c>
      <c r="I10" s="1687">
        <f t="shared" si="1"/>
        <v>234089</v>
      </c>
      <c r="J10" s="1687">
        <f t="shared" si="1"/>
        <v>348356</v>
      </c>
      <c r="K10" s="1687">
        <f t="shared" si="1"/>
        <v>184479</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1">
        <f>'Expenditures 15-22'!K33</f>
        <v>7710242</v>
      </c>
      <c r="D12" s="520" t="s">
        <v>1169</v>
      </c>
      <c r="E12" s="468" t="s">
        <v>1169</v>
      </c>
      <c r="F12" s="468" t="s">
        <v>1169</v>
      </c>
      <c r="G12" s="1741">
        <f>'Expenditures 15-22'!K229</f>
        <v>174730</v>
      </c>
      <c r="H12" s="521"/>
      <c r="I12" s="468" t="s">
        <v>1169</v>
      </c>
      <c r="J12" s="468" t="s">
        <v>1169</v>
      </c>
      <c r="K12" s="521" t="s">
        <v>1169</v>
      </c>
      <c r="L12" s="347"/>
    </row>
    <row r="13" spans="1:13" ht="15.75" customHeight="1" x14ac:dyDescent="0.2">
      <c r="A13" s="1576" t="s">
        <v>457</v>
      </c>
      <c r="B13" s="1578">
        <v>2000</v>
      </c>
      <c r="C13" s="1742">
        <f>'Expenditures 15-22'!K74</f>
        <v>3641338</v>
      </c>
      <c r="D13" s="1742">
        <f>'Expenditures 15-22'!K129</f>
        <v>2616069</v>
      </c>
      <c r="E13" s="469" t="s">
        <v>1169</v>
      </c>
      <c r="F13" s="1742">
        <f>'Expenditures 15-22'!K184</f>
        <v>808786</v>
      </c>
      <c r="G13" s="1742">
        <f>'Expenditures 15-22'!K279</f>
        <v>281088</v>
      </c>
      <c r="H13" s="1742">
        <f>'Expenditures 15-22'!K303</f>
        <v>938132</v>
      </c>
      <c r="I13" s="468" t="s">
        <v>1169</v>
      </c>
      <c r="J13" s="1742">
        <f>'Expenditures 15-22'!K330</f>
        <v>172315</v>
      </c>
      <c r="K13" s="1746">
        <f>'Expenditures 15-22'!K352</f>
        <v>368510</v>
      </c>
      <c r="L13" s="347"/>
    </row>
    <row r="14" spans="1:13" ht="15.75" customHeight="1" x14ac:dyDescent="0.2">
      <c r="A14" s="1576" t="s">
        <v>449</v>
      </c>
      <c r="B14" s="1578">
        <v>3000</v>
      </c>
      <c r="C14" s="1742">
        <f>'Expenditures 15-22'!K75</f>
        <v>243445</v>
      </c>
      <c r="D14" s="1742">
        <f>'Expenditures 15-22'!K130</f>
        <v>0</v>
      </c>
      <c r="E14" s="520" t="s">
        <v>1169</v>
      </c>
      <c r="F14" s="1742">
        <f>'Expenditures 15-22'!K185</f>
        <v>0</v>
      </c>
      <c r="G14" s="1742">
        <f>'Expenditures 15-22'!K280</f>
        <v>36263</v>
      </c>
      <c r="H14" s="512"/>
      <c r="I14" s="468" t="s">
        <v>1169</v>
      </c>
      <c r="J14" s="468" t="s">
        <v>1169</v>
      </c>
      <c r="K14" s="512" t="s">
        <v>1169</v>
      </c>
      <c r="L14" s="347"/>
    </row>
    <row r="15" spans="1:13" ht="15.75" customHeight="1" x14ac:dyDescent="0.2">
      <c r="A15" s="1576" t="s">
        <v>107</v>
      </c>
      <c r="B15" s="1578">
        <v>4000</v>
      </c>
      <c r="C15" s="1742">
        <f>'Expenditures 15-22'!K102</f>
        <v>560605</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1949799</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12155630</v>
      </c>
      <c r="D17" s="1687">
        <f t="shared" si="2"/>
        <v>2616069</v>
      </c>
      <c r="E17" s="1687">
        <f t="shared" si="2"/>
        <v>1949799</v>
      </c>
      <c r="F17" s="1687">
        <f t="shared" si="2"/>
        <v>808786</v>
      </c>
      <c r="G17" s="1687">
        <f t="shared" si="2"/>
        <v>492081</v>
      </c>
      <c r="H17" s="1687">
        <f t="shared" si="2"/>
        <v>938132</v>
      </c>
      <c r="I17" s="468"/>
      <c r="J17" s="1687">
        <f>SUM(J12:J16)</f>
        <v>172315</v>
      </c>
      <c r="K17" s="1687">
        <f>SUM(K12:K16)</f>
        <v>368510</v>
      </c>
      <c r="L17" s="347"/>
    </row>
    <row r="18" spans="1:12" ht="15" customHeight="1" thickTop="1" x14ac:dyDescent="0.2">
      <c r="A18" s="1743" t="s">
        <v>1654</v>
      </c>
      <c r="B18" s="1744">
        <v>4180</v>
      </c>
      <c r="C18" s="1741">
        <f t="shared" ref="C18:H18" si="3">C9</f>
        <v>756789</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12912419</v>
      </c>
      <c r="D19" s="1687">
        <f t="shared" si="4"/>
        <v>2616069</v>
      </c>
      <c r="E19" s="1687">
        <f t="shared" si="4"/>
        <v>1949799</v>
      </c>
      <c r="F19" s="1687">
        <f t="shared" si="4"/>
        <v>808786</v>
      </c>
      <c r="G19" s="1687">
        <f t="shared" si="4"/>
        <v>492081</v>
      </c>
      <c r="H19" s="1687">
        <f t="shared" si="4"/>
        <v>938132</v>
      </c>
      <c r="I19" s="468"/>
      <c r="J19" s="1687">
        <f>SUM(J17:J18)</f>
        <v>172315</v>
      </c>
      <c r="K19" s="1687">
        <f>SUM(K17:K18)</f>
        <v>368510</v>
      </c>
      <c r="L19" s="347"/>
    </row>
    <row r="20" spans="1:12" ht="16.5" thickTop="1" thickBot="1" x14ac:dyDescent="0.25">
      <c r="A20" s="2134" t="s">
        <v>1655</v>
      </c>
      <c r="B20" s="2135"/>
      <c r="C20" s="1745">
        <f>C8-C17</f>
        <v>73139</v>
      </c>
      <c r="D20" s="1745">
        <f t="shared" ref="D20:K20" si="5">D8-D17</f>
        <v>-667547</v>
      </c>
      <c r="E20" s="1745">
        <f t="shared" si="5"/>
        <v>-795771</v>
      </c>
      <c r="F20" s="1745">
        <f t="shared" si="5"/>
        <v>37758</v>
      </c>
      <c r="G20" s="1745">
        <f t="shared" si="5"/>
        <v>10977</v>
      </c>
      <c r="H20" s="1745">
        <f t="shared" si="5"/>
        <v>-141753</v>
      </c>
      <c r="I20" s="1745">
        <f t="shared" si="5"/>
        <v>234089</v>
      </c>
      <c r="J20" s="1745">
        <f t="shared" si="5"/>
        <v>176041</v>
      </c>
      <c r="K20" s="1745">
        <f t="shared" si="5"/>
        <v>-184031</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v>150000</v>
      </c>
      <c r="D24" s="477"/>
      <c r="E24" s="477"/>
      <c r="F24" s="477"/>
      <c r="G24" s="477"/>
      <c r="H24" s="477"/>
      <c r="I24" s="477"/>
      <c r="J24" s="477"/>
      <c r="K24" s="477"/>
      <c r="L24" s="524"/>
    </row>
    <row r="25" spans="1:12" s="485" customFormat="1" ht="13.5" customHeight="1" x14ac:dyDescent="0.2">
      <c r="A25" s="1489" t="s">
        <v>1657</v>
      </c>
      <c r="B25" s="525">
        <v>7110</v>
      </c>
      <c r="C25" s="467"/>
      <c r="D25" s="467">
        <v>1000000</v>
      </c>
      <c r="E25" s="467"/>
      <c r="F25" s="467"/>
      <c r="G25" s="467"/>
      <c r="H25" s="467"/>
      <c r="I25" s="477"/>
      <c r="J25" s="467"/>
      <c r="K25" s="467"/>
      <c r="L25" s="524"/>
    </row>
    <row r="26" spans="1:12" s="485" customFormat="1" ht="13.5" customHeight="1" x14ac:dyDescent="0.2">
      <c r="A26" s="1489" t="s">
        <v>184</v>
      </c>
      <c r="B26" s="483">
        <v>7120</v>
      </c>
      <c r="C26" s="467">
        <v>15000</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2">
        <f>SUM(C24:C43)</f>
        <v>165000</v>
      </c>
      <c r="D44" s="1702">
        <f t="shared" ref="D44:K44" si="6">SUM(D24:D43)</f>
        <v>1000000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1150000</v>
      </c>
      <c r="J47" s="477"/>
      <c r="K47" s="477"/>
      <c r="L47" s="529"/>
    </row>
    <row r="48" spans="1:12" s="485" customFormat="1" ht="15" x14ac:dyDescent="0.2">
      <c r="A48" s="1490" t="s">
        <v>1660</v>
      </c>
      <c r="B48" s="483">
        <v>8120</v>
      </c>
      <c r="C48" s="480"/>
      <c r="D48" s="480"/>
      <c r="E48" s="477"/>
      <c r="F48" s="480"/>
      <c r="G48" s="477"/>
      <c r="H48" s="477"/>
      <c r="I48" s="1742">
        <f>SUM(C26:H26,J26,K26)</f>
        <v>15000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2">
        <f>D30</f>
        <v>0</v>
      </c>
      <c r="L52" s="524"/>
    </row>
    <row r="53" spans="1:12" s="485" customFormat="1" ht="26.25" x14ac:dyDescent="0.2">
      <c r="A53" s="1490" t="s">
        <v>1792</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2">
        <f t="shared" ref="C76:K76" si="7">SUM(C47:C75)</f>
        <v>0</v>
      </c>
      <c r="D76" s="1702">
        <f t="shared" si="7"/>
        <v>0</v>
      </c>
      <c r="E76" s="1702">
        <f t="shared" si="7"/>
        <v>0</v>
      </c>
      <c r="F76" s="1702">
        <f t="shared" si="7"/>
        <v>0</v>
      </c>
      <c r="G76" s="1702">
        <f t="shared" si="7"/>
        <v>0</v>
      </c>
      <c r="H76" s="1702">
        <f t="shared" si="7"/>
        <v>0</v>
      </c>
      <c r="I76" s="1702">
        <f t="shared" si="7"/>
        <v>1165000</v>
      </c>
      <c r="J76" s="1702">
        <f t="shared" si="7"/>
        <v>0</v>
      </c>
      <c r="K76" s="1702">
        <f t="shared" si="7"/>
        <v>0</v>
      </c>
      <c r="L76" s="524"/>
    </row>
    <row r="77" spans="1:12" ht="14.25" thickTop="1" thickBot="1" x14ac:dyDescent="0.25">
      <c r="A77" s="2126" t="s">
        <v>1177</v>
      </c>
      <c r="B77" s="2127"/>
      <c r="C77" s="1702">
        <f t="shared" ref="C77:K77" si="8">C44-C76</f>
        <v>165000</v>
      </c>
      <c r="D77" s="1702">
        <f t="shared" si="8"/>
        <v>1000000</v>
      </c>
      <c r="E77" s="1702">
        <f t="shared" si="8"/>
        <v>0</v>
      </c>
      <c r="F77" s="1702">
        <f t="shared" si="8"/>
        <v>0</v>
      </c>
      <c r="G77" s="1702">
        <f t="shared" si="8"/>
        <v>0</v>
      </c>
      <c r="H77" s="1702">
        <f t="shared" si="8"/>
        <v>0</v>
      </c>
      <c r="I77" s="1702">
        <f t="shared" si="8"/>
        <v>-1165000</v>
      </c>
      <c r="J77" s="1702">
        <f t="shared" si="8"/>
        <v>0</v>
      </c>
      <c r="K77" s="1702">
        <f t="shared" si="8"/>
        <v>0</v>
      </c>
      <c r="L77" s="347"/>
    </row>
    <row r="78" spans="1:12" ht="21.75" customHeight="1" thickTop="1" thickBot="1" x14ac:dyDescent="0.25">
      <c r="A78" s="2130" t="s">
        <v>597</v>
      </c>
      <c r="B78" s="2131"/>
      <c r="C78" s="1701">
        <f t="shared" ref="C78:K78" si="9">C20+C77</f>
        <v>238139</v>
      </c>
      <c r="D78" s="1701">
        <f t="shared" si="9"/>
        <v>332453</v>
      </c>
      <c r="E78" s="1701">
        <f t="shared" si="9"/>
        <v>-795771</v>
      </c>
      <c r="F78" s="1701">
        <f t="shared" si="9"/>
        <v>37758</v>
      </c>
      <c r="G78" s="1701">
        <f t="shared" si="9"/>
        <v>10977</v>
      </c>
      <c r="H78" s="1701">
        <f t="shared" si="9"/>
        <v>-141753</v>
      </c>
      <c r="I78" s="1701">
        <f t="shared" si="9"/>
        <v>-930911</v>
      </c>
      <c r="J78" s="1701">
        <f t="shared" si="9"/>
        <v>176041</v>
      </c>
      <c r="K78" s="1701">
        <f t="shared" si="9"/>
        <v>-184031</v>
      </c>
      <c r="L78" s="533"/>
    </row>
    <row r="79" spans="1:12" ht="13.5" thickTop="1" x14ac:dyDescent="0.2">
      <c r="A79" s="1494" t="s">
        <v>1943</v>
      </c>
      <c r="B79" s="534"/>
      <c r="C79" s="478">
        <v>3085239</v>
      </c>
      <c r="D79" s="535">
        <v>1229531</v>
      </c>
      <c r="E79" s="535">
        <v>1215553</v>
      </c>
      <c r="F79" s="535">
        <v>1148818</v>
      </c>
      <c r="G79" s="535">
        <v>477826</v>
      </c>
      <c r="H79" s="535">
        <v>486831</v>
      </c>
      <c r="I79" s="535">
        <v>2016775</v>
      </c>
      <c r="J79" s="535">
        <v>98589</v>
      </c>
      <c r="K79" s="535">
        <v>202937</v>
      </c>
      <c r="L79" s="347"/>
    </row>
    <row r="80" spans="1:12" x14ac:dyDescent="0.2">
      <c r="A80" s="2136" t="s">
        <v>1791</v>
      </c>
      <c r="B80" s="2137"/>
      <c r="C80" s="467"/>
      <c r="D80" s="467"/>
      <c r="E80" s="467"/>
      <c r="F80" s="467"/>
      <c r="G80" s="467"/>
      <c r="H80" s="467"/>
      <c r="I80" s="467"/>
      <c r="J80" s="467"/>
      <c r="K80" s="467"/>
      <c r="L80" s="347"/>
    </row>
    <row r="81" spans="1:12" ht="13.5" thickBot="1" x14ac:dyDescent="0.25">
      <c r="A81" s="2128" t="s">
        <v>1944</v>
      </c>
      <c r="B81" s="2129"/>
      <c r="C81" s="1687">
        <f>(SUM(C78:C80))</f>
        <v>3323378</v>
      </c>
      <c r="D81" s="1687">
        <f>SUM(D78:D80)</f>
        <v>1561984</v>
      </c>
      <c r="E81" s="1687">
        <f t="shared" ref="E81:K81" si="10">SUM(E78:E80)</f>
        <v>419782</v>
      </c>
      <c r="F81" s="1687">
        <f t="shared" si="10"/>
        <v>1186576</v>
      </c>
      <c r="G81" s="1687">
        <f t="shared" si="10"/>
        <v>488803</v>
      </c>
      <c r="H81" s="1687">
        <f t="shared" si="10"/>
        <v>345078</v>
      </c>
      <c r="I81" s="1687">
        <f t="shared" si="10"/>
        <v>1085864</v>
      </c>
      <c r="J81" s="1687">
        <f t="shared" si="10"/>
        <v>274630</v>
      </c>
      <c r="K81" s="1687">
        <f t="shared" si="10"/>
        <v>18906</v>
      </c>
      <c r="L81" s="347"/>
    </row>
    <row r="82" spans="1:12" ht="0.75" customHeight="1" thickTop="1" thickBot="1" x14ac:dyDescent="0.25">
      <c r="A82" s="536" t="s">
        <v>343</v>
      </c>
      <c r="B82" s="537"/>
      <c r="C82" s="538">
        <f>(C81-C79)</f>
        <v>238139</v>
      </c>
      <c r="D82" s="538">
        <f t="shared" ref="D82:K82" si="11">(D81-D79)</f>
        <v>332453</v>
      </c>
      <c r="E82" s="538">
        <f t="shared" si="11"/>
        <v>-795771</v>
      </c>
      <c r="F82" s="538">
        <f t="shared" si="11"/>
        <v>37758</v>
      </c>
      <c r="G82" s="538">
        <f t="shared" si="11"/>
        <v>10977</v>
      </c>
      <c r="H82" s="538">
        <f t="shared" si="11"/>
        <v>-141753</v>
      </c>
      <c r="I82" s="538">
        <f t="shared" si="11"/>
        <v>-930911</v>
      </c>
      <c r="J82" s="538">
        <f t="shared" si="11"/>
        <v>176041</v>
      </c>
      <c r="K82" s="538">
        <f t="shared" si="11"/>
        <v>-184031</v>
      </c>
    </row>
    <row r="83" spans="1:12" ht="14.25" hidden="1" thickTop="1" thickBot="1" x14ac:dyDescent="0.25">
      <c r="A83" s="539" t="s">
        <v>344</v>
      </c>
      <c r="B83" s="464"/>
      <c r="C83" s="540">
        <f>C82/C81</f>
        <v>7.1655706934330071E-2</v>
      </c>
      <c r="D83" s="540">
        <f t="shared" ref="D83:K83" si="12">D82/D81</f>
        <v>0.21284020835040562</v>
      </c>
      <c r="E83" s="540">
        <f t="shared" si="12"/>
        <v>-1.8956768036742881</v>
      </c>
      <c r="F83" s="540">
        <f t="shared" si="12"/>
        <v>3.1820970591011445E-2</v>
      </c>
      <c r="G83" s="540">
        <f t="shared" si="12"/>
        <v>2.2456899814444674E-2</v>
      </c>
      <c r="H83" s="540">
        <f t="shared" si="12"/>
        <v>-0.41078538765148748</v>
      </c>
      <c r="I83" s="540">
        <f t="shared" si="12"/>
        <v>-0.85729980918420723</v>
      </c>
      <c r="J83" s="540">
        <f t="shared" si="12"/>
        <v>0.64101154280304407</v>
      </c>
      <c r="K83" s="540">
        <f t="shared" si="12"/>
        <v>-9.7339997884269547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Normal="110" zoomScaleSheetLayoutView="100" workbookViewId="0">
      <pane ySplit="2" topLeftCell="A85" activePane="bottomLeft" state="frozen"/>
      <selection sqref="A1:M1"/>
      <selection pane="bottomLeft" activeCell="C101" sqref="C10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1798</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7467212</v>
      </c>
      <c r="D5" s="481">
        <v>1481154</v>
      </c>
      <c r="E5" s="466">
        <v>1144408</v>
      </c>
      <c r="F5" s="548">
        <v>570713</v>
      </c>
      <c r="G5" s="466">
        <v>246854</v>
      </c>
      <c r="H5" s="466"/>
      <c r="I5" s="466">
        <v>217308</v>
      </c>
      <c r="J5" s="467">
        <v>345621</v>
      </c>
      <c r="K5" s="466">
        <v>183688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98766</v>
      </c>
      <c r="D7" s="466"/>
      <c r="E7" s="468"/>
      <c r="F7" s="467"/>
      <c r="G7" s="467"/>
      <c r="H7" s="467"/>
      <c r="I7" s="468"/>
      <c r="J7" s="468"/>
      <c r="K7" s="468"/>
    </row>
    <row r="8" spans="1:12" x14ac:dyDescent="0.2">
      <c r="A8" s="463" t="s">
        <v>413</v>
      </c>
      <c r="B8" s="470">
        <v>1150</v>
      </c>
      <c r="C8" s="475"/>
      <c r="D8" s="475"/>
      <c r="E8" s="477"/>
      <c r="F8" s="477"/>
      <c r="G8" s="481">
        <v>232111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7565978</v>
      </c>
      <c r="D12" s="1706">
        <f t="shared" si="0"/>
        <v>1481154</v>
      </c>
      <c r="E12" s="1706">
        <f t="shared" si="0"/>
        <v>1144408</v>
      </c>
      <c r="F12" s="1706">
        <f t="shared" si="0"/>
        <v>570713</v>
      </c>
      <c r="G12" s="1706">
        <f t="shared" si="0"/>
        <v>478965</v>
      </c>
      <c r="H12" s="1706">
        <f t="shared" si="0"/>
        <v>0</v>
      </c>
      <c r="I12" s="1706">
        <f t="shared" si="0"/>
        <v>217308</v>
      </c>
      <c r="J12" s="1706">
        <f t="shared" si="0"/>
        <v>345621</v>
      </c>
      <c r="K12" s="1687">
        <f t="shared" si="0"/>
        <v>183688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16618</v>
      </c>
      <c r="D14" s="466">
        <v>3061</v>
      </c>
      <c r="E14" s="466">
        <v>2363</v>
      </c>
      <c r="F14" s="466">
        <v>1178</v>
      </c>
      <c r="G14" s="466">
        <v>990</v>
      </c>
      <c r="H14" s="466"/>
      <c r="I14" s="466">
        <v>449</v>
      </c>
      <c r="J14" s="467">
        <v>714</v>
      </c>
      <c r="K14" s="466">
        <v>380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702118</v>
      </c>
      <c r="D16" s="466"/>
      <c r="E16" s="466"/>
      <c r="F16" s="466"/>
      <c r="G16" s="466">
        <v>18000</v>
      </c>
      <c r="H16" s="466"/>
      <c r="I16" s="466"/>
      <c r="J16" s="467"/>
      <c r="K16" s="466"/>
    </row>
    <row r="17" spans="1:11" ht="12.75" customHeight="1" x14ac:dyDescent="0.2">
      <c r="A17" s="463" t="s">
        <v>807</v>
      </c>
      <c r="B17" s="470">
        <v>1290</v>
      </c>
      <c r="C17" s="551">
        <v>4500</v>
      </c>
      <c r="D17" s="466">
        <v>881</v>
      </c>
      <c r="E17" s="466">
        <v>740</v>
      </c>
      <c r="F17" s="466">
        <v>382</v>
      </c>
      <c r="G17" s="466">
        <v>285</v>
      </c>
      <c r="H17" s="466"/>
      <c r="I17" s="466">
        <v>129</v>
      </c>
      <c r="J17" s="467">
        <v>205</v>
      </c>
      <c r="K17" s="466">
        <v>109</v>
      </c>
    </row>
    <row r="18" spans="1:11" ht="12.75" customHeight="1" thickBot="1" x14ac:dyDescent="0.25">
      <c r="A18" s="1707" t="s">
        <v>537</v>
      </c>
      <c r="B18" s="1708"/>
      <c r="C18" s="1709">
        <f>SUM(C14:C17)</f>
        <v>723236</v>
      </c>
      <c r="D18" s="1709">
        <f t="shared" ref="D18:K18" si="1">SUM(D14:D17)</f>
        <v>3942</v>
      </c>
      <c r="E18" s="1709">
        <f t="shared" si="1"/>
        <v>3103</v>
      </c>
      <c r="F18" s="1709">
        <f t="shared" si="1"/>
        <v>1560</v>
      </c>
      <c r="G18" s="1709">
        <f t="shared" si="1"/>
        <v>19275</v>
      </c>
      <c r="H18" s="1709">
        <f t="shared" si="1"/>
        <v>0</v>
      </c>
      <c r="I18" s="1709">
        <f t="shared" si="1"/>
        <v>578</v>
      </c>
      <c r="J18" s="1709">
        <f t="shared" si="1"/>
        <v>919</v>
      </c>
      <c r="K18" s="1710">
        <f t="shared" si="1"/>
        <v>489</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20769</v>
      </c>
      <c r="D20" s="468"/>
      <c r="E20" s="468"/>
      <c r="F20" s="468"/>
      <c r="G20" s="468"/>
      <c r="H20" s="468"/>
      <c r="I20" s="468"/>
      <c r="J20" s="468"/>
      <c r="K20" s="468"/>
    </row>
    <row r="21" spans="1:11" ht="12.75" customHeight="1" x14ac:dyDescent="0.2">
      <c r="A21" s="463" t="s">
        <v>832</v>
      </c>
      <c r="B21" s="470">
        <v>1312</v>
      </c>
      <c r="C21" s="551">
        <v>135132</v>
      </c>
      <c r="D21" s="468"/>
      <c r="E21" s="468"/>
      <c r="F21" s="468"/>
      <c r="G21" s="468"/>
      <c r="H21" s="468"/>
      <c r="I21" s="468"/>
      <c r="J21" s="468"/>
      <c r="K21" s="468"/>
    </row>
    <row r="22" spans="1:11" ht="12.75" customHeight="1" x14ac:dyDescent="0.2">
      <c r="A22" s="463" t="s">
        <v>1074</v>
      </c>
      <c r="B22" s="470">
        <v>1313</v>
      </c>
      <c r="C22" s="551">
        <v>633</v>
      </c>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156534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850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850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32811</v>
      </c>
      <c r="D65" s="466">
        <v>14026</v>
      </c>
      <c r="E65" s="466">
        <v>6517</v>
      </c>
      <c r="F65" s="467">
        <v>11746</v>
      </c>
      <c r="G65" s="466">
        <v>4818</v>
      </c>
      <c r="H65" s="466">
        <v>4040</v>
      </c>
      <c r="I65" s="466">
        <v>16203</v>
      </c>
      <c r="J65" s="467">
        <v>1816</v>
      </c>
      <c r="K65" s="466">
        <v>302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32811</v>
      </c>
      <c r="D67" s="1687">
        <f t="shared" ref="D67:K67" si="2">SUM(D65:D66)</f>
        <v>14026</v>
      </c>
      <c r="E67" s="1687">
        <f t="shared" si="2"/>
        <v>6517</v>
      </c>
      <c r="F67" s="1687">
        <f t="shared" si="2"/>
        <v>11746</v>
      </c>
      <c r="G67" s="1687">
        <f t="shared" si="2"/>
        <v>4818</v>
      </c>
      <c r="H67" s="1687">
        <f t="shared" si="2"/>
        <v>4040</v>
      </c>
      <c r="I67" s="1687">
        <f t="shared" si="2"/>
        <v>16203</v>
      </c>
      <c r="J67" s="1687">
        <f t="shared" si="2"/>
        <v>1816</v>
      </c>
      <c r="K67" s="1687">
        <f t="shared" si="2"/>
        <v>302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88979</v>
      </c>
      <c r="D69" s="468"/>
      <c r="E69" s="468"/>
      <c r="F69" s="468"/>
      <c r="G69" s="468"/>
      <c r="H69" s="468"/>
      <c r="I69" s="468"/>
      <c r="J69" s="468"/>
      <c r="K69" s="468"/>
    </row>
    <row r="70" spans="1:11" ht="12.75" customHeight="1" x14ac:dyDescent="0.2">
      <c r="A70" s="463" t="s">
        <v>997</v>
      </c>
      <c r="B70" s="470">
        <v>1612</v>
      </c>
      <c r="C70" s="551">
        <v>12239</v>
      </c>
      <c r="D70" s="468"/>
      <c r="E70" s="468"/>
      <c r="F70" s="468"/>
      <c r="G70" s="468"/>
      <c r="H70" s="468"/>
      <c r="I70" s="468"/>
      <c r="J70" s="468"/>
      <c r="K70" s="468"/>
    </row>
    <row r="71" spans="1:11" ht="12.75" customHeight="1" x14ac:dyDescent="0.2">
      <c r="A71" s="463" t="s">
        <v>273</v>
      </c>
      <c r="B71" s="470">
        <v>1613</v>
      </c>
      <c r="C71" s="551">
        <v>4415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11155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116788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26246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1137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1378</v>
      </c>
      <c r="D81" s="466"/>
      <c r="E81" s="468"/>
      <c r="F81" s="468"/>
      <c r="G81" s="468"/>
      <c r="H81" s="468"/>
      <c r="I81" s="468"/>
      <c r="J81" s="468"/>
      <c r="K81" s="468"/>
    </row>
    <row r="82" spans="1:11" ht="12.75" customHeight="1" thickBot="1" x14ac:dyDescent="0.25">
      <c r="A82" s="1707" t="s">
        <v>241</v>
      </c>
      <c r="B82" s="1708"/>
      <c r="C82" s="1706">
        <f>SUM(C77:C81)</f>
        <v>28761</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493</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493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8500</v>
      </c>
      <c r="D95" s="551">
        <v>22125</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3939</v>
      </c>
      <c r="D101" s="526"/>
      <c r="E101" s="480"/>
      <c r="F101" s="526"/>
      <c r="G101" s="475"/>
      <c r="H101" s="526"/>
      <c r="I101" s="468"/>
      <c r="J101" s="475"/>
      <c r="K101" s="475"/>
    </row>
    <row r="102" spans="1:12" ht="12.75" customHeight="1" x14ac:dyDescent="0.2">
      <c r="A102" s="463" t="s">
        <v>247</v>
      </c>
      <c r="B102" s="470">
        <v>1980</v>
      </c>
      <c r="C102" s="489">
        <v>1047</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792339</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66</v>
      </c>
      <c r="D106" s="489"/>
      <c r="E106" s="467"/>
      <c r="F106" s="467"/>
      <c r="G106" s="467"/>
      <c r="H106" s="467"/>
      <c r="I106" s="521"/>
      <c r="J106" s="467"/>
      <c r="K106" s="467"/>
    </row>
    <row r="107" spans="1:12" ht="12.75" customHeight="1" x14ac:dyDescent="0.2">
      <c r="A107" s="463" t="s">
        <v>78</v>
      </c>
      <c r="B107" s="470">
        <v>1999</v>
      </c>
      <c r="C107" s="551">
        <f>46515-3550</f>
        <v>42965</v>
      </c>
      <c r="D107" s="466">
        <v>427275</v>
      </c>
      <c r="E107" s="466"/>
      <c r="F107" s="466"/>
      <c r="G107" s="466"/>
      <c r="H107" s="466"/>
      <c r="I107" s="466"/>
      <c r="J107" s="467"/>
      <c r="K107" s="466"/>
    </row>
    <row r="108" spans="1:12" ht="12.75" customHeight="1" thickBot="1" x14ac:dyDescent="0.25">
      <c r="A108" s="1707" t="s">
        <v>487</v>
      </c>
      <c r="B108" s="1711"/>
      <c r="C108" s="1706">
        <f>SUM(C95:C107)</f>
        <v>56517</v>
      </c>
      <c r="D108" s="1706">
        <f t="shared" ref="D108:K108" si="3">SUM(D95:D107)</f>
        <v>449400</v>
      </c>
      <c r="E108" s="1706">
        <f t="shared" si="3"/>
        <v>0</v>
      </c>
      <c r="F108" s="1706">
        <f t="shared" si="3"/>
        <v>0</v>
      </c>
      <c r="G108" s="1706">
        <f t="shared" si="3"/>
        <v>0</v>
      </c>
      <c r="H108" s="1706">
        <f t="shared" si="3"/>
        <v>792339</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8681118</v>
      </c>
      <c r="D109" s="1714">
        <f t="shared" si="4"/>
        <v>1948522</v>
      </c>
      <c r="E109" s="1714">
        <f t="shared" si="4"/>
        <v>1154028</v>
      </c>
      <c r="F109" s="1714">
        <f t="shared" si="4"/>
        <v>584869</v>
      </c>
      <c r="G109" s="1714">
        <f t="shared" si="4"/>
        <v>503058</v>
      </c>
      <c r="H109" s="1714">
        <f t="shared" si="4"/>
        <v>796379</v>
      </c>
      <c r="I109" s="1714">
        <f t="shared" si="4"/>
        <v>234089</v>
      </c>
      <c r="J109" s="1714">
        <f t="shared" si="4"/>
        <v>348356</v>
      </c>
      <c r="K109" s="1701">
        <f t="shared" si="4"/>
        <v>184479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1553089</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8"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1553089</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4626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111331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115957</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5383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4217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699</v>
      </c>
      <c r="D140" s="466"/>
      <c r="E140" s="561"/>
      <c r="F140" s="477"/>
      <c r="G140" s="467"/>
      <c r="H140" s="468"/>
      <c r="I140" s="468"/>
      <c r="J140" s="468"/>
      <c r="K140" s="468"/>
    </row>
    <row r="141" spans="1:11" ht="12.75" customHeight="1" thickBot="1" x14ac:dyDescent="0.25">
      <c r="A141" s="1707" t="s">
        <v>603</v>
      </c>
      <c r="B141" s="1719"/>
      <c r="C141" s="1706">
        <f>SUM(C134:C140)</f>
        <v>10299</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6530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37125</v>
      </c>
      <c r="D148" s="573"/>
      <c r="E148" s="509"/>
      <c r="F148" s="468"/>
      <c r="G148" s="468"/>
      <c r="H148" s="468"/>
      <c r="I148" s="468"/>
      <c r="J148" s="468"/>
      <c r="K148" s="468"/>
    </row>
    <row r="149" spans="1:11" ht="12.75" customHeight="1" thickTop="1" thickBot="1" x14ac:dyDescent="0.25">
      <c r="A149" s="1500" t="s">
        <v>767</v>
      </c>
      <c r="B149" s="574">
        <v>3410</v>
      </c>
      <c r="C149" s="575">
        <v>204028</v>
      </c>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140927</v>
      </c>
      <c r="G152" s="467"/>
      <c r="H152" s="468"/>
      <c r="I152" s="468"/>
      <c r="J152" s="468"/>
      <c r="K152" s="468"/>
    </row>
    <row r="153" spans="1:11" ht="12.75" customHeight="1" x14ac:dyDescent="0.2">
      <c r="A153" s="463" t="s">
        <v>1057</v>
      </c>
      <c r="B153" s="562">
        <v>3510</v>
      </c>
      <c r="C153" s="551"/>
      <c r="D153" s="466"/>
      <c r="E153" s="561"/>
      <c r="F153" s="466">
        <v>120748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261675</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v>82134</v>
      </c>
      <c r="D158" s="468"/>
      <c r="E158" s="561"/>
      <c r="F158" s="576"/>
      <c r="G158" s="576"/>
      <c r="H158" s="468"/>
      <c r="I158" s="468"/>
      <c r="J158" s="468"/>
      <c r="K158" s="468"/>
    </row>
    <row r="159" spans="1:11" ht="12.75" customHeight="1" thickTop="1" thickBot="1" x14ac:dyDescent="0.25">
      <c r="A159" s="1500" t="s">
        <v>1051</v>
      </c>
      <c r="B159" s="574">
        <v>3705</v>
      </c>
      <c r="C159" s="576">
        <v>272695</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14774</v>
      </c>
      <c r="D168" s="580"/>
      <c r="E168" s="580"/>
      <c r="F168" s="580"/>
      <c r="G168" s="581"/>
      <c r="H168" s="582"/>
      <c r="I168" s="581"/>
      <c r="J168" s="581"/>
      <c r="K168" s="582"/>
    </row>
    <row r="169" spans="1:11" ht="12.75" customHeight="1" thickTop="1" thickBot="1" x14ac:dyDescent="0.25">
      <c r="A169" s="2152" t="s">
        <v>398</v>
      </c>
      <c r="B169" s="2153"/>
      <c r="C169" s="1721">
        <f t="shared" ref="C169:K169" si="6">SUM(C132,C141,C145,C146:C150,C155,C156:C167,C168)</f>
        <v>743542</v>
      </c>
      <c r="D169" s="1721">
        <f t="shared" si="6"/>
        <v>0</v>
      </c>
      <c r="E169" s="1721">
        <f t="shared" si="6"/>
        <v>0</v>
      </c>
      <c r="F169" s="1721">
        <f t="shared" si="6"/>
        <v>261675</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2296631</v>
      </c>
      <c r="D170" s="1714">
        <f t="shared" si="7"/>
        <v>0</v>
      </c>
      <c r="E170" s="1714">
        <f t="shared" si="7"/>
        <v>0</v>
      </c>
      <c r="F170" s="1714">
        <f t="shared" si="7"/>
        <v>261675</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6" t="s">
        <v>1799</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226430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85642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312072</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657851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657851</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v>9368</v>
      </c>
      <c r="D208" s="466"/>
      <c r="E208" s="468"/>
      <c r="F208" s="466"/>
      <c r="G208" s="466"/>
      <c r="H208" s="468"/>
      <c r="I208" s="468"/>
      <c r="J208" s="468"/>
      <c r="K208" s="468"/>
    </row>
    <row r="209" spans="1:11" ht="12.75" customHeight="1" thickBot="1" x14ac:dyDescent="0.25">
      <c r="A209" s="1707" t="s">
        <v>889</v>
      </c>
      <c r="B209" s="1708"/>
      <c r="C209" s="1706">
        <f>SUM(C206:C208)</f>
        <v>9368</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60000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60000</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f>3550+5000</f>
        <v>8550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8550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v>122436</v>
      </c>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36977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1931</v>
      </c>
      <c r="B261" s="470">
        <v>4981</v>
      </c>
      <c r="C261" s="575"/>
      <c r="D261" s="576"/>
      <c r="E261" s="468"/>
      <c r="F261" s="576"/>
      <c r="G261" s="576"/>
      <c r="H261" s="468"/>
      <c r="I261" s="468"/>
      <c r="J261" s="468"/>
      <c r="K261" s="468"/>
    </row>
    <row r="262" spans="1:11" ht="12.75" customHeight="1" thickTop="1" thickBot="1" x14ac:dyDescent="0.25">
      <c r="A262" s="1929"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22915</v>
      </c>
      <c r="D263" s="576"/>
      <c r="E263" s="468"/>
      <c r="F263" s="576"/>
      <c r="G263" s="576"/>
      <c r="H263" s="468"/>
      <c r="I263" s="468"/>
      <c r="J263" s="468"/>
      <c r="K263" s="468"/>
    </row>
    <row r="264" spans="1:11" ht="12.75" customHeight="1" thickTop="1" thickBot="1" x14ac:dyDescent="0.25">
      <c r="A264" s="463" t="s">
        <v>377</v>
      </c>
      <c r="B264" s="470">
        <v>4992</v>
      </c>
      <c r="C264" s="575">
        <v>20851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1251020</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1251020</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12228769</v>
      </c>
      <c r="D268" s="1714">
        <f t="shared" si="12"/>
        <v>1948522</v>
      </c>
      <c r="E268" s="1714">
        <f t="shared" si="12"/>
        <v>1154028</v>
      </c>
      <c r="F268" s="1714">
        <f t="shared" si="12"/>
        <v>846544</v>
      </c>
      <c r="G268" s="1714">
        <f t="shared" si="12"/>
        <v>503058</v>
      </c>
      <c r="H268" s="1714">
        <f t="shared" si="12"/>
        <v>796379</v>
      </c>
      <c r="I268" s="1714">
        <f t="shared" si="12"/>
        <v>234089</v>
      </c>
      <c r="J268" s="1714">
        <f t="shared" si="12"/>
        <v>348356</v>
      </c>
      <c r="K268" s="1701">
        <f t="shared" si="12"/>
        <v>184479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110" zoomScaleSheetLayoutView="100" workbookViewId="0">
      <pane ySplit="2" topLeftCell="A3" activePane="bottomLeft" state="frozen"/>
      <selection sqref="A1:M1"/>
      <selection pane="bottomLeft" sqref="A1:M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3346636</v>
      </c>
      <c r="D5" s="466">
        <v>859365</v>
      </c>
      <c r="E5" s="466">
        <v>62446</v>
      </c>
      <c r="F5" s="466">
        <f>107630+4281</f>
        <v>111911</v>
      </c>
      <c r="G5" s="466">
        <v>8917</v>
      </c>
      <c r="H5" s="466"/>
      <c r="I5" s="467"/>
      <c r="J5" s="467"/>
      <c r="K5" s="1670">
        <f>SUM(C5:J5)</f>
        <v>4389275</v>
      </c>
      <c r="L5" s="466">
        <v>4460898</v>
      </c>
    </row>
    <row r="6" spans="1:14" x14ac:dyDescent="0.2">
      <c r="A6" s="1504" t="s">
        <v>1433</v>
      </c>
      <c r="B6" s="614" t="s">
        <v>1431</v>
      </c>
      <c r="C6" s="477"/>
      <c r="D6" s="477"/>
      <c r="E6" s="466"/>
      <c r="F6" s="477"/>
      <c r="G6" s="477"/>
      <c r="H6" s="477"/>
      <c r="I6" s="477"/>
      <c r="J6" s="477"/>
      <c r="K6" s="1670">
        <f>SUM(C6,E6)</f>
        <v>0</v>
      </c>
      <c r="L6" s="466">
        <v>0</v>
      </c>
    </row>
    <row r="7" spans="1:14" x14ac:dyDescent="0.2">
      <c r="A7" s="1504" t="s">
        <v>163</v>
      </c>
      <c r="B7" s="614" t="s">
        <v>967</v>
      </c>
      <c r="C7" s="467"/>
      <c r="D7" s="467"/>
      <c r="E7" s="467"/>
      <c r="F7" s="467"/>
      <c r="G7" s="467"/>
      <c r="H7" s="467"/>
      <c r="I7" s="467"/>
      <c r="J7" s="467"/>
      <c r="K7" s="1670">
        <f t="shared" ref="K7:K32" si="0">SUM(C7:J7)</f>
        <v>0</v>
      </c>
      <c r="L7" s="466">
        <v>0</v>
      </c>
    </row>
    <row r="8" spans="1:14" x14ac:dyDescent="0.2">
      <c r="A8" s="1504" t="s">
        <v>164</v>
      </c>
      <c r="B8" s="614">
        <v>1200</v>
      </c>
      <c r="C8" s="466">
        <v>887509</v>
      </c>
      <c r="D8" s="466">
        <v>221733</v>
      </c>
      <c r="E8" s="466">
        <v>64462</v>
      </c>
      <c r="F8" s="466">
        <v>6045</v>
      </c>
      <c r="G8" s="466"/>
      <c r="H8" s="466"/>
      <c r="I8" s="467"/>
      <c r="J8" s="467"/>
      <c r="K8" s="1670">
        <f t="shared" si="0"/>
        <v>1179749</v>
      </c>
      <c r="L8" s="466">
        <v>1136031</v>
      </c>
    </row>
    <row r="9" spans="1:14" x14ac:dyDescent="0.2">
      <c r="A9" s="1504" t="s">
        <v>721</v>
      </c>
      <c r="B9" s="614" t="s">
        <v>968</v>
      </c>
      <c r="C9" s="467"/>
      <c r="D9" s="467"/>
      <c r="E9" s="467"/>
      <c r="F9" s="467"/>
      <c r="G9" s="467"/>
      <c r="H9" s="467"/>
      <c r="I9" s="467"/>
      <c r="J9" s="467"/>
      <c r="K9" s="1670">
        <f t="shared" si="0"/>
        <v>0</v>
      </c>
      <c r="L9" s="466">
        <v>0</v>
      </c>
    </row>
    <row r="10" spans="1:14" x14ac:dyDescent="0.2">
      <c r="A10" s="1504" t="s">
        <v>722</v>
      </c>
      <c r="B10" s="614">
        <v>1250</v>
      </c>
      <c r="C10" s="466">
        <v>257435</v>
      </c>
      <c r="D10" s="466">
        <v>80522</v>
      </c>
      <c r="E10" s="466">
        <v>4784</v>
      </c>
      <c r="F10" s="466">
        <v>63107</v>
      </c>
      <c r="G10" s="466">
        <v>18525</v>
      </c>
      <c r="H10" s="466"/>
      <c r="I10" s="467"/>
      <c r="J10" s="467"/>
      <c r="K10" s="1670">
        <f t="shared" si="0"/>
        <v>424373</v>
      </c>
      <c r="L10" s="466">
        <v>405350</v>
      </c>
    </row>
    <row r="11" spans="1:14" x14ac:dyDescent="0.2">
      <c r="A11" s="1504" t="s">
        <v>1130</v>
      </c>
      <c r="B11" s="614" t="s">
        <v>161</v>
      </c>
      <c r="C11" s="467"/>
      <c r="D11" s="467"/>
      <c r="E11" s="467"/>
      <c r="F11" s="467"/>
      <c r="G11" s="467"/>
      <c r="H11" s="467"/>
      <c r="I11" s="467"/>
      <c r="J11" s="467"/>
      <c r="K11" s="1670">
        <f t="shared" si="0"/>
        <v>0</v>
      </c>
      <c r="L11" s="466">
        <v>0</v>
      </c>
    </row>
    <row r="12" spans="1:14" x14ac:dyDescent="0.2">
      <c r="A12" s="1504" t="s">
        <v>962</v>
      </c>
      <c r="B12" s="614">
        <v>1300</v>
      </c>
      <c r="C12" s="466">
        <v>96831</v>
      </c>
      <c r="D12" s="466">
        <v>27708</v>
      </c>
      <c r="E12" s="466">
        <v>50563</v>
      </c>
      <c r="F12" s="466">
        <v>8252</v>
      </c>
      <c r="G12" s="466">
        <v>13350</v>
      </c>
      <c r="H12" s="466"/>
      <c r="I12" s="467"/>
      <c r="J12" s="467"/>
      <c r="K12" s="1670">
        <f t="shared" si="0"/>
        <v>196704</v>
      </c>
      <c r="L12" s="466">
        <v>160586</v>
      </c>
    </row>
    <row r="13" spans="1:14" x14ac:dyDescent="0.2">
      <c r="A13" s="1504" t="s">
        <v>723</v>
      </c>
      <c r="B13" s="614">
        <v>1400</v>
      </c>
      <c r="C13" s="466">
        <v>424965</v>
      </c>
      <c r="D13" s="466">
        <v>108076</v>
      </c>
      <c r="E13" s="466">
        <v>8881</v>
      </c>
      <c r="F13" s="466">
        <v>14628</v>
      </c>
      <c r="G13" s="466">
        <v>2661</v>
      </c>
      <c r="H13" s="466"/>
      <c r="I13" s="467"/>
      <c r="J13" s="467"/>
      <c r="K13" s="1670">
        <f t="shared" si="0"/>
        <v>559211</v>
      </c>
      <c r="L13" s="466">
        <v>576536</v>
      </c>
    </row>
    <row r="14" spans="1:14" x14ac:dyDescent="0.2">
      <c r="A14" s="1504" t="s">
        <v>963</v>
      </c>
      <c r="B14" s="614">
        <v>1500</v>
      </c>
      <c r="C14" s="466">
        <v>491562</v>
      </c>
      <c r="D14" s="466">
        <v>62037</v>
      </c>
      <c r="E14" s="466">
        <v>103461</v>
      </c>
      <c r="F14" s="466">
        <v>49756</v>
      </c>
      <c r="G14" s="466">
        <v>8759</v>
      </c>
      <c r="H14" s="466"/>
      <c r="I14" s="467"/>
      <c r="J14" s="467"/>
      <c r="K14" s="1670">
        <f t="shared" si="0"/>
        <v>715575</v>
      </c>
      <c r="L14" s="466">
        <v>733350</v>
      </c>
    </row>
    <row r="15" spans="1:14" x14ac:dyDescent="0.2">
      <c r="A15" s="1504" t="s">
        <v>964</v>
      </c>
      <c r="B15" s="614">
        <v>1600</v>
      </c>
      <c r="C15" s="466">
        <v>13645</v>
      </c>
      <c r="D15" s="466">
        <v>197</v>
      </c>
      <c r="E15" s="466"/>
      <c r="F15" s="466"/>
      <c r="G15" s="466"/>
      <c r="H15" s="466"/>
      <c r="I15" s="467"/>
      <c r="J15" s="467"/>
      <c r="K15" s="1670">
        <f t="shared" si="0"/>
        <v>13842</v>
      </c>
      <c r="L15" s="466">
        <v>17642</v>
      </c>
    </row>
    <row r="16" spans="1:14" x14ac:dyDescent="0.2">
      <c r="A16" s="1504" t="s">
        <v>987</v>
      </c>
      <c r="B16" s="614" t="s">
        <v>424</v>
      </c>
      <c r="C16" s="466"/>
      <c r="D16" s="466"/>
      <c r="E16" s="466"/>
      <c r="F16" s="466"/>
      <c r="G16" s="466"/>
      <c r="H16" s="466"/>
      <c r="I16" s="467"/>
      <c r="J16" s="467"/>
      <c r="K16" s="1670">
        <f t="shared" si="0"/>
        <v>0</v>
      </c>
      <c r="L16" s="466">
        <v>0</v>
      </c>
    </row>
    <row r="17" spans="1:12" x14ac:dyDescent="0.2">
      <c r="A17" s="1504" t="s">
        <v>724</v>
      </c>
      <c r="B17" s="614" t="s">
        <v>162</v>
      </c>
      <c r="C17" s="467">
        <v>126631</v>
      </c>
      <c r="D17" s="467">
        <v>31985</v>
      </c>
      <c r="E17" s="467">
        <v>5361</v>
      </c>
      <c r="F17" s="467">
        <v>2873</v>
      </c>
      <c r="G17" s="467"/>
      <c r="H17" s="467"/>
      <c r="I17" s="467"/>
      <c r="J17" s="467"/>
      <c r="K17" s="1670">
        <f t="shared" si="0"/>
        <v>166850</v>
      </c>
      <c r="L17" s="466">
        <v>186155</v>
      </c>
    </row>
    <row r="18" spans="1:12" x14ac:dyDescent="0.2">
      <c r="A18" s="1504" t="s">
        <v>1087</v>
      </c>
      <c r="B18" s="614">
        <v>1800</v>
      </c>
      <c r="C18" s="466"/>
      <c r="D18" s="466"/>
      <c r="E18" s="466"/>
      <c r="F18" s="466"/>
      <c r="G18" s="466"/>
      <c r="H18" s="466"/>
      <c r="I18" s="467"/>
      <c r="J18" s="467"/>
      <c r="K18" s="1670">
        <f t="shared" si="0"/>
        <v>0</v>
      </c>
      <c r="L18" s="466">
        <v>0</v>
      </c>
    </row>
    <row r="19" spans="1:12" x14ac:dyDescent="0.2">
      <c r="A19" s="1504" t="s">
        <v>134</v>
      </c>
      <c r="B19" s="614">
        <v>1900</v>
      </c>
      <c r="C19" s="466">
        <v>47669</v>
      </c>
      <c r="D19" s="466">
        <v>10730</v>
      </c>
      <c r="E19" s="466"/>
      <c r="F19" s="466">
        <v>3252</v>
      </c>
      <c r="G19" s="466"/>
      <c r="H19" s="466">
        <v>3012</v>
      </c>
      <c r="I19" s="467"/>
      <c r="J19" s="467"/>
      <c r="K19" s="1670">
        <f t="shared" si="0"/>
        <v>64663</v>
      </c>
      <c r="L19" s="466">
        <v>61812</v>
      </c>
    </row>
    <row r="20" spans="1:12" x14ac:dyDescent="0.2">
      <c r="A20" s="1505" t="s">
        <v>738</v>
      </c>
      <c r="B20" s="602" t="s">
        <v>725</v>
      </c>
      <c r="C20" s="477"/>
      <c r="D20" s="477"/>
      <c r="E20" s="477"/>
      <c r="F20" s="477"/>
      <c r="G20" s="477"/>
      <c r="H20" s="474"/>
      <c r="I20" s="616"/>
      <c r="J20" s="475"/>
      <c r="K20" s="1670">
        <f t="shared" si="0"/>
        <v>0</v>
      </c>
      <c r="L20" s="471">
        <v>0</v>
      </c>
    </row>
    <row r="21" spans="1:12" x14ac:dyDescent="0.2">
      <c r="A21" s="1505" t="s">
        <v>739</v>
      </c>
      <c r="B21" s="602" t="s">
        <v>726</v>
      </c>
      <c r="C21" s="477"/>
      <c r="D21" s="477"/>
      <c r="E21" s="477"/>
      <c r="F21" s="477"/>
      <c r="G21" s="477"/>
      <c r="H21" s="474"/>
      <c r="I21" s="616"/>
      <c r="J21" s="477"/>
      <c r="K21" s="1670">
        <f t="shared" si="0"/>
        <v>0</v>
      </c>
      <c r="L21" s="471">
        <v>0</v>
      </c>
    </row>
    <row r="22" spans="1:12" x14ac:dyDescent="0.2">
      <c r="A22" s="1505" t="s">
        <v>740</v>
      </c>
      <c r="B22" s="602" t="s">
        <v>727</v>
      </c>
      <c r="C22" s="477"/>
      <c r="D22" s="477"/>
      <c r="E22" s="477"/>
      <c r="F22" s="477"/>
      <c r="G22" s="477"/>
      <c r="H22" s="474"/>
      <c r="I22" s="616"/>
      <c r="J22" s="477"/>
      <c r="K22" s="1670">
        <f t="shared" si="0"/>
        <v>0</v>
      </c>
      <c r="L22" s="471">
        <v>0</v>
      </c>
    </row>
    <row r="23" spans="1:12" x14ac:dyDescent="0.2">
      <c r="A23" s="1505" t="s">
        <v>741</v>
      </c>
      <c r="B23" s="602" t="s">
        <v>728</v>
      </c>
      <c r="C23" s="477"/>
      <c r="D23" s="477"/>
      <c r="E23" s="477"/>
      <c r="F23" s="477"/>
      <c r="G23" s="477"/>
      <c r="H23" s="474"/>
      <c r="I23" s="616"/>
      <c r="J23" s="477"/>
      <c r="K23" s="1670">
        <f t="shared" si="0"/>
        <v>0</v>
      </c>
      <c r="L23" s="471">
        <v>0</v>
      </c>
    </row>
    <row r="24" spans="1:12" ht="12.75" customHeight="1" x14ac:dyDescent="0.2">
      <c r="A24" s="1505" t="s">
        <v>742</v>
      </c>
      <c r="B24" s="602" t="s">
        <v>729</v>
      </c>
      <c r="C24" s="477"/>
      <c r="D24" s="477"/>
      <c r="E24" s="477"/>
      <c r="F24" s="477"/>
      <c r="G24" s="477"/>
      <c r="H24" s="474"/>
      <c r="I24" s="616"/>
      <c r="J24" s="477"/>
      <c r="K24" s="1670">
        <f t="shared" si="0"/>
        <v>0</v>
      </c>
      <c r="L24" s="471">
        <v>0</v>
      </c>
    </row>
    <row r="25" spans="1:12" ht="12.75" customHeight="1" x14ac:dyDescent="0.2">
      <c r="A25" s="1505" t="s">
        <v>802</v>
      </c>
      <c r="B25" s="602" t="s">
        <v>730</v>
      </c>
      <c r="C25" s="477"/>
      <c r="D25" s="477"/>
      <c r="E25" s="477"/>
      <c r="F25" s="477"/>
      <c r="G25" s="477"/>
      <c r="H25" s="474"/>
      <c r="I25" s="616"/>
      <c r="J25" s="477"/>
      <c r="K25" s="1670">
        <f t="shared" si="0"/>
        <v>0</v>
      </c>
      <c r="L25" s="471">
        <v>0</v>
      </c>
    </row>
    <row r="26" spans="1:12" x14ac:dyDescent="0.2">
      <c r="A26" s="1505" t="s">
        <v>622</v>
      </c>
      <c r="B26" s="602" t="s">
        <v>731</v>
      </c>
      <c r="C26" s="477"/>
      <c r="D26" s="477"/>
      <c r="E26" s="477"/>
      <c r="F26" s="477"/>
      <c r="G26" s="477"/>
      <c r="H26" s="474"/>
      <c r="I26" s="616"/>
      <c r="J26" s="477"/>
      <c r="K26" s="1670">
        <f t="shared" si="0"/>
        <v>0</v>
      </c>
      <c r="L26" s="471">
        <v>0</v>
      </c>
    </row>
    <row r="27" spans="1:12" x14ac:dyDescent="0.2">
      <c r="A27" s="1505" t="s">
        <v>623</v>
      </c>
      <c r="B27" s="602" t="s">
        <v>732</v>
      </c>
      <c r="C27" s="477"/>
      <c r="D27" s="477"/>
      <c r="E27" s="477"/>
      <c r="F27" s="477"/>
      <c r="G27" s="477"/>
      <c r="H27" s="474"/>
      <c r="I27" s="616"/>
      <c r="J27" s="477"/>
      <c r="K27" s="1670">
        <f t="shared" si="0"/>
        <v>0</v>
      </c>
      <c r="L27" s="471">
        <v>0</v>
      </c>
    </row>
    <row r="28" spans="1:12" x14ac:dyDescent="0.2">
      <c r="A28" s="1505" t="s">
        <v>150</v>
      </c>
      <c r="B28" s="602" t="s">
        <v>733</v>
      </c>
      <c r="C28" s="477"/>
      <c r="D28" s="477"/>
      <c r="E28" s="477"/>
      <c r="F28" s="477"/>
      <c r="G28" s="477"/>
      <c r="H28" s="474"/>
      <c r="I28" s="616"/>
      <c r="J28" s="477"/>
      <c r="K28" s="1670">
        <f t="shared" si="0"/>
        <v>0</v>
      </c>
      <c r="L28" s="471">
        <v>0</v>
      </c>
    </row>
    <row r="29" spans="1:12" x14ac:dyDescent="0.2">
      <c r="A29" s="1505" t="s">
        <v>151</v>
      </c>
      <c r="B29" s="602" t="s">
        <v>734</v>
      </c>
      <c r="C29" s="477"/>
      <c r="D29" s="477"/>
      <c r="E29" s="477"/>
      <c r="F29" s="477"/>
      <c r="G29" s="477"/>
      <c r="H29" s="474"/>
      <c r="I29" s="616"/>
      <c r="J29" s="477"/>
      <c r="K29" s="1670">
        <f t="shared" si="0"/>
        <v>0</v>
      </c>
      <c r="L29" s="471">
        <v>0</v>
      </c>
    </row>
    <row r="30" spans="1:12" x14ac:dyDescent="0.2">
      <c r="A30" s="1505" t="s">
        <v>152</v>
      </c>
      <c r="B30" s="602" t="s">
        <v>735</v>
      </c>
      <c r="C30" s="477"/>
      <c r="D30" s="477"/>
      <c r="E30" s="477"/>
      <c r="F30" s="477"/>
      <c r="G30" s="477"/>
      <c r="H30" s="474"/>
      <c r="I30" s="616"/>
      <c r="J30" s="477"/>
      <c r="K30" s="1670">
        <f t="shared" si="0"/>
        <v>0</v>
      </c>
      <c r="L30" s="471">
        <v>0</v>
      </c>
    </row>
    <row r="31" spans="1:12" x14ac:dyDescent="0.2">
      <c r="A31" s="1505" t="s">
        <v>153</v>
      </c>
      <c r="B31" s="602" t="s">
        <v>736</v>
      </c>
      <c r="C31" s="477"/>
      <c r="D31" s="477"/>
      <c r="E31" s="477"/>
      <c r="F31" s="477"/>
      <c r="G31" s="477"/>
      <c r="H31" s="474"/>
      <c r="I31" s="616"/>
      <c r="J31" s="477"/>
      <c r="K31" s="1670">
        <f t="shared" si="0"/>
        <v>0</v>
      </c>
      <c r="L31" s="471">
        <v>0</v>
      </c>
    </row>
    <row r="32" spans="1:12" x14ac:dyDescent="0.2">
      <c r="A32" s="1506"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5692883</v>
      </c>
      <c r="D33" s="1669">
        <f t="shared" ref="D33:L33" si="1">SUM(D5:D32)</f>
        <v>1402353</v>
      </c>
      <c r="E33" s="1669">
        <f t="shared" si="1"/>
        <v>299958</v>
      </c>
      <c r="F33" s="1669">
        <f t="shared" si="1"/>
        <v>259824</v>
      </c>
      <c r="G33" s="1669">
        <f t="shared" si="1"/>
        <v>52212</v>
      </c>
      <c r="H33" s="1669">
        <f t="shared" si="1"/>
        <v>3012</v>
      </c>
      <c r="I33" s="1669">
        <f t="shared" si="1"/>
        <v>0</v>
      </c>
      <c r="J33" s="1669">
        <f t="shared" si="1"/>
        <v>0</v>
      </c>
      <c r="K33" s="1669">
        <f t="shared" si="1"/>
        <v>7710242</v>
      </c>
      <c r="L33" s="1669">
        <f t="shared" si="1"/>
        <v>7738360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174487</v>
      </c>
      <c r="D36" s="481">
        <v>41824</v>
      </c>
      <c r="E36" s="481">
        <v>1974</v>
      </c>
      <c r="F36" s="481">
        <v>734</v>
      </c>
      <c r="G36" s="481"/>
      <c r="H36" s="481"/>
      <c r="I36" s="467"/>
      <c r="J36" s="467"/>
      <c r="K36" s="1670">
        <f t="shared" ref="K36:K41" si="2">SUM(C36:J36)</f>
        <v>219019</v>
      </c>
      <c r="L36" s="466">
        <v>224466</v>
      </c>
    </row>
    <row r="37" spans="1:14" x14ac:dyDescent="0.2">
      <c r="A37" s="1504" t="s">
        <v>1090</v>
      </c>
      <c r="B37" s="614">
        <v>2120</v>
      </c>
      <c r="C37" s="466">
        <v>431533</v>
      </c>
      <c r="D37" s="466">
        <v>108132</v>
      </c>
      <c r="E37" s="466">
        <v>3396</v>
      </c>
      <c r="F37" s="466">
        <v>1394</v>
      </c>
      <c r="G37" s="466"/>
      <c r="H37" s="466">
        <v>387</v>
      </c>
      <c r="I37" s="467"/>
      <c r="J37" s="467"/>
      <c r="K37" s="1670">
        <f t="shared" si="2"/>
        <v>544842</v>
      </c>
      <c r="L37" s="466">
        <v>580860</v>
      </c>
    </row>
    <row r="38" spans="1:14" x14ac:dyDescent="0.2">
      <c r="A38" s="1504" t="s">
        <v>198</v>
      </c>
      <c r="B38" s="614">
        <v>2130</v>
      </c>
      <c r="C38" s="466"/>
      <c r="D38" s="466"/>
      <c r="E38" s="466">
        <v>68852</v>
      </c>
      <c r="F38" s="466">
        <v>5153</v>
      </c>
      <c r="G38" s="466">
        <v>2474</v>
      </c>
      <c r="H38" s="466"/>
      <c r="I38" s="467"/>
      <c r="J38" s="467"/>
      <c r="K38" s="1670">
        <f t="shared" si="2"/>
        <v>76479</v>
      </c>
      <c r="L38" s="466">
        <v>72700</v>
      </c>
    </row>
    <row r="39" spans="1:14" x14ac:dyDescent="0.2">
      <c r="A39" s="1504" t="s">
        <v>199</v>
      </c>
      <c r="B39" s="614">
        <v>2140</v>
      </c>
      <c r="C39" s="466"/>
      <c r="D39" s="466"/>
      <c r="E39" s="466"/>
      <c r="F39" s="466"/>
      <c r="G39" s="466"/>
      <c r="H39" s="466"/>
      <c r="I39" s="467"/>
      <c r="J39" s="467"/>
      <c r="K39" s="1670">
        <f t="shared" si="2"/>
        <v>0</v>
      </c>
      <c r="L39" s="466">
        <v>0</v>
      </c>
    </row>
    <row r="40" spans="1:14" x14ac:dyDescent="0.2">
      <c r="A40" s="1504" t="s">
        <v>200</v>
      </c>
      <c r="B40" s="614">
        <v>2150</v>
      </c>
      <c r="C40" s="466"/>
      <c r="D40" s="466"/>
      <c r="E40" s="466"/>
      <c r="F40" s="466"/>
      <c r="G40" s="466"/>
      <c r="H40" s="466"/>
      <c r="I40" s="467"/>
      <c r="J40" s="467"/>
      <c r="K40" s="1670">
        <f t="shared" si="2"/>
        <v>0</v>
      </c>
      <c r="L40" s="466">
        <v>0</v>
      </c>
    </row>
    <row r="41" spans="1:14" x14ac:dyDescent="0.2">
      <c r="A41" s="1504" t="s">
        <v>1669</v>
      </c>
      <c r="B41" s="614">
        <v>2190</v>
      </c>
      <c r="C41" s="466">
        <v>228621</v>
      </c>
      <c r="D41" s="466">
        <v>59519</v>
      </c>
      <c r="E41" s="466">
        <v>108</v>
      </c>
      <c r="F41" s="466"/>
      <c r="G41" s="466"/>
      <c r="H41" s="466"/>
      <c r="I41" s="467"/>
      <c r="J41" s="467"/>
      <c r="K41" s="1670">
        <f t="shared" si="2"/>
        <v>288248</v>
      </c>
      <c r="L41" s="466">
        <v>313341</v>
      </c>
    </row>
    <row r="42" spans="1:14" ht="12.75" customHeight="1" thickBot="1" x14ac:dyDescent="0.25">
      <c r="A42" s="1667" t="s">
        <v>560</v>
      </c>
      <c r="B42" s="1668" t="s">
        <v>716</v>
      </c>
      <c r="C42" s="1669">
        <f>SUM(C36:C41)</f>
        <v>834641</v>
      </c>
      <c r="D42" s="1669">
        <f t="shared" ref="D42:L42" si="3">SUM(D36:D41)</f>
        <v>209475</v>
      </c>
      <c r="E42" s="1669">
        <f t="shared" si="3"/>
        <v>74330</v>
      </c>
      <c r="F42" s="1669">
        <f t="shared" si="3"/>
        <v>7281</v>
      </c>
      <c r="G42" s="1669">
        <f t="shared" si="3"/>
        <v>2474</v>
      </c>
      <c r="H42" s="1669">
        <f t="shared" si="3"/>
        <v>387</v>
      </c>
      <c r="I42" s="1669">
        <f t="shared" si="3"/>
        <v>0</v>
      </c>
      <c r="J42" s="1669">
        <f t="shared" si="3"/>
        <v>0</v>
      </c>
      <c r="K42" s="1669">
        <f t="shared" si="3"/>
        <v>1128588</v>
      </c>
      <c r="L42" s="1669">
        <f t="shared" si="3"/>
        <v>1191367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22597</v>
      </c>
      <c r="D44" s="481">
        <v>7704</v>
      </c>
      <c r="E44" s="481">
        <v>52658</v>
      </c>
      <c r="F44" s="481"/>
      <c r="G44" s="481"/>
      <c r="H44" s="481"/>
      <c r="I44" s="467"/>
      <c r="J44" s="467"/>
      <c r="K44" s="1671">
        <f>SUM(C44:J44)</f>
        <v>82959</v>
      </c>
      <c r="L44" s="481">
        <v>85664</v>
      </c>
    </row>
    <row r="45" spans="1:14" x14ac:dyDescent="0.2">
      <c r="A45" s="1504" t="s">
        <v>815</v>
      </c>
      <c r="B45" s="614">
        <v>2220</v>
      </c>
      <c r="C45" s="466">
        <v>28820</v>
      </c>
      <c r="D45" s="466">
        <v>9314</v>
      </c>
      <c r="E45" s="466">
        <v>4767</v>
      </c>
      <c r="F45" s="466">
        <v>14052</v>
      </c>
      <c r="G45" s="466">
        <v>21791</v>
      </c>
      <c r="H45" s="466"/>
      <c r="I45" s="467"/>
      <c r="J45" s="467"/>
      <c r="K45" s="1671">
        <f>SUM(C45:J45)</f>
        <v>78744</v>
      </c>
      <c r="L45" s="466">
        <v>82311</v>
      </c>
    </row>
    <row r="46" spans="1:14" x14ac:dyDescent="0.2">
      <c r="A46" s="1504" t="s">
        <v>816</v>
      </c>
      <c r="B46" s="614">
        <v>2230</v>
      </c>
      <c r="C46" s="466">
        <v>6330</v>
      </c>
      <c r="D46" s="466">
        <v>2441</v>
      </c>
      <c r="E46" s="466">
        <v>2549</v>
      </c>
      <c r="F46" s="466"/>
      <c r="G46" s="466"/>
      <c r="H46" s="466"/>
      <c r="I46" s="467"/>
      <c r="J46" s="467"/>
      <c r="K46" s="1671">
        <f>SUM(C46:J46)</f>
        <v>11320</v>
      </c>
      <c r="L46" s="466">
        <v>11341</v>
      </c>
    </row>
    <row r="47" spans="1:14" ht="12.75" customHeight="1" thickBot="1" x14ac:dyDescent="0.25">
      <c r="A47" s="1667" t="s">
        <v>561</v>
      </c>
      <c r="B47" s="1668" t="s">
        <v>32</v>
      </c>
      <c r="C47" s="1669">
        <f>SUM(C44:C46)</f>
        <v>57747</v>
      </c>
      <c r="D47" s="1669">
        <f t="shared" ref="D47:K47" si="4">SUM(D44:D46)</f>
        <v>19459</v>
      </c>
      <c r="E47" s="1669">
        <f t="shared" si="4"/>
        <v>59974</v>
      </c>
      <c r="F47" s="1669">
        <f t="shared" si="4"/>
        <v>14052</v>
      </c>
      <c r="G47" s="1669">
        <f t="shared" si="4"/>
        <v>21791</v>
      </c>
      <c r="H47" s="1669">
        <f t="shared" si="4"/>
        <v>0</v>
      </c>
      <c r="I47" s="1669">
        <f t="shared" si="4"/>
        <v>0</v>
      </c>
      <c r="J47" s="1669">
        <f t="shared" si="4"/>
        <v>0</v>
      </c>
      <c r="K47" s="1669">
        <f t="shared" si="4"/>
        <v>173023</v>
      </c>
      <c r="L47" s="1669">
        <f>SUM(L44:L46)</f>
        <v>179316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70510</v>
      </c>
      <c r="D49" s="481">
        <v>23473</v>
      </c>
      <c r="E49" s="481">
        <v>46364</v>
      </c>
      <c r="F49" s="481"/>
      <c r="G49" s="481"/>
      <c r="H49" s="481"/>
      <c r="I49" s="467"/>
      <c r="J49" s="467"/>
      <c r="K49" s="1671">
        <f>SUM(C49:J49)</f>
        <v>140347</v>
      </c>
      <c r="L49" s="481">
        <v>118000</v>
      </c>
    </row>
    <row r="50" spans="1:14" x14ac:dyDescent="0.2">
      <c r="A50" s="1504" t="s">
        <v>818</v>
      </c>
      <c r="B50" s="614">
        <v>2320</v>
      </c>
      <c r="C50" s="466">
        <v>240241</v>
      </c>
      <c r="D50" s="466">
        <v>58366</v>
      </c>
      <c r="E50" s="466"/>
      <c r="F50" s="466"/>
      <c r="G50" s="466"/>
      <c r="H50" s="466"/>
      <c r="I50" s="467"/>
      <c r="J50" s="467"/>
      <c r="K50" s="1671">
        <f>SUM(C50:J50)</f>
        <v>298607</v>
      </c>
      <c r="L50" s="466">
        <v>298388</v>
      </c>
    </row>
    <row r="51" spans="1:14" x14ac:dyDescent="0.2">
      <c r="A51" s="1504" t="s">
        <v>42</v>
      </c>
      <c r="B51" s="614">
        <v>2330</v>
      </c>
      <c r="C51" s="466"/>
      <c r="D51" s="466"/>
      <c r="E51" s="466">
        <v>4239</v>
      </c>
      <c r="F51" s="466"/>
      <c r="G51" s="466"/>
      <c r="H51" s="466">
        <v>933</v>
      </c>
      <c r="I51" s="467"/>
      <c r="J51" s="467"/>
      <c r="K51" s="1671">
        <f>SUM(C51:J51)</f>
        <v>5172</v>
      </c>
      <c r="L51" s="466">
        <v>21264</v>
      </c>
    </row>
    <row r="52" spans="1:14" ht="22.5" x14ac:dyDescent="0.2">
      <c r="A52" s="1505"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310751</v>
      </c>
      <c r="D53" s="1669">
        <f t="shared" ref="D53:L53" si="5">SUM(D49:D52)</f>
        <v>81839</v>
      </c>
      <c r="E53" s="1669">
        <f t="shared" si="5"/>
        <v>50603</v>
      </c>
      <c r="F53" s="1669">
        <f t="shared" si="5"/>
        <v>0</v>
      </c>
      <c r="G53" s="1669">
        <f t="shared" si="5"/>
        <v>0</v>
      </c>
      <c r="H53" s="1669">
        <f t="shared" si="5"/>
        <v>933</v>
      </c>
      <c r="I53" s="1669">
        <f t="shared" si="5"/>
        <v>0</v>
      </c>
      <c r="J53" s="1669">
        <f t="shared" si="5"/>
        <v>0</v>
      </c>
      <c r="K53" s="1669">
        <f t="shared" si="5"/>
        <v>444126</v>
      </c>
      <c r="L53" s="1669">
        <f t="shared" si="5"/>
        <v>437652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398318</v>
      </c>
      <c r="D55" s="481">
        <v>106539</v>
      </c>
      <c r="E55" s="481">
        <v>9195</v>
      </c>
      <c r="F55" s="481">
        <v>41568</v>
      </c>
      <c r="G55" s="481">
        <v>3252</v>
      </c>
      <c r="H55" s="481">
        <v>2014</v>
      </c>
      <c r="I55" s="467"/>
      <c r="J55" s="467"/>
      <c r="K55" s="1671">
        <f>SUM(C55:J55)</f>
        <v>560886</v>
      </c>
      <c r="L55" s="481">
        <v>656311</v>
      </c>
    </row>
    <row r="56" spans="1:14" ht="12.75" customHeight="1" x14ac:dyDescent="0.2">
      <c r="A56" s="1508" t="s">
        <v>376</v>
      </c>
      <c r="B56" s="628">
        <v>2490</v>
      </c>
      <c r="C56" s="466">
        <v>66231</v>
      </c>
      <c r="D56" s="466">
        <v>15007</v>
      </c>
      <c r="E56" s="466"/>
      <c r="F56" s="466"/>
      <c r="G56" s="466"/>
      <c r="H56" s="466"/>
      <c r="I56" s="467"/>
      <c r="J56" s="467"/>
      <c r="K56" s="1671">
        <f>SUM(C56:J56)</f>
        <v>81238</v>
      </c>
      <c r="L56" s="466">
        <v>0</v>
      </c>
    </row>
    <row r="57" spans="1:14" s="343" customFormat="1" ht="12.75" customHeight="1" thickBot="1" x14ac:dyDescent="0.25">
      <c r="A57" s="1667" t="s">
        <v>263</v>
      </c>
      <c r="B57" s="1672" t="s">
        <v>34</v>
      </c>
      <c r="C57" s="1673">
        <f>SUM(C55:C56)</f>
        <v>464549</v>
      </c>
      <c r="D57" s="1673">
        <f t="shared" ref="D57:K57" si="6">SUM(D55:D56)</f>
        <v>121546</v>
      </c>
      <c r="E57" s="1673">
        <f t="shared" si="6"/>
        <v>9195</v>
      </c>
      <c r="F57" s="1673">
        <f t="shared" si="6"/>
        <v>41568</v>
      </c>
      <c r="G57" s="1673">
        <f t="shared" si="6"/>
        <v>3252</v>
      </c>
      <c r="H57" s="1673">
        <f t="shared" si="6"/>
        <v>2014</v>
      </c>
      <c r="I57" s="1673">
        <f t="shared" si="6"/>
        <v>0</v>
      </c>
      <c r="J57" s="1673">
        <f t="shared" si="6"/>
        <v>0</v>
      </c>
      <c r="K57" s="1673">
        <f t="shared" si="6"/>
        <v>642124</v>
      </c>
      <c r="L57" s="1669">
        <f>SUM(L55:L56)</f>
        <v>656311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140726</v>
      </c>
      <c r="D59" s="481">
        <v>43558</v>
      </c>
      <c r="E59" s="481">
        <v>2727</v>
      </c>
      <c r="F59" s="481">
        <v>3008</v>
      </c>
      <c r="G59" s="481"/>
      <c r="H59" s="481">
        <v>4543</v>
      </c>
      <c r="I59" s="467"/>
      <c r="J59" s="467"/>
      <c r="K59" s="1671">
        <f t="shared" ref="K59:K64" si="7">SUM(C59:J59)</f>
        <v>194562</v>
      </c>
      <c r="L59" s="481">
        <v>194749</v>
      </c>
      <c r="M59" s="609"/>
      <c r="N59" s="609"/>
    </row>
    <row r="60" spans="1:14" s="343" customFormat="1" x14ac:dyDescent="0.2">
      <c r="A60" s="1504" t="s">
        <v>463</v>
      </c>
      <c r="B60" s="614">
        <v>2520</v>
      </c>
      <c r="C60" s="466">
        <v>81556</v>
      </c>
      <c r="D60" s="466">
        <v>17514</v>
      </c>
      <c r="E60" s="466">
        <v>9346</v>
      </c>
      <c r="F60" s="466">
        <v>1938</v>
      </c>
      <c r="G60" s="466">
        <v>567</v>
      </c>
      <c r="H60" s="466"/>
      <c r="I60" s="467"/>
      <c r="J60" s="467"/>
      <c r="K60" s="1671">
        <f t="shared" si="7"/>
        <v>110921</v>
      </c>
      <c r="L60" s="466">
        <v>110870</v>
      </c>
      <c r="M60" s="609"/>
      <c r="N60" s="609"/>
    </row>
    <row r="61" spans="1:14" s="343" customFormat="1" x14ac:dyDescent="0.2">
      <c r="A61" s="1504" t="s">
        <v>197</v>
      </c>
      <c r="B61" s="614">
        <v>2540</v>
      </c>
      <c r="C61" s="466"/>
      <c r="D61" s="466"/>
      <c r="E61" s="466">
        <v>289362</v>
      </c>
      <c r="F61" s="466">
        <v>4112</v>
      </c>
      <c r="G61" s="466"/>
      <c r="H61" s="466"/>
      <c r="I61" s="467"/>
      <c r="J61" s="467"/>
      <c r="K61" s="1671">
        <f t="shared" si="7"/>
        <v>293474</v>
      </c>
      <c r="L61" s="466">
        <v>294431</v>
      </c>
      <c r="M61" s="609"/>
      <c r="N61" s="609"/>
    </row>
    <row r="62" spans="1:14" s="343" customFormat="1" x14ac:dyDescent="0.2">
      <c r="A62" s="1504" t="s">
        <v>953</v>
      </c>
      <c r="B62" s="614">
        <v>2550</v>
      </c>
      <c r="C62" s="466"/>
      <c r="D62" s="466"/>
      <c r="E62" s="466">
        <v>28578</v>
      </c>
      <c r="F62" s="466"/>
      <c r="G62" s="466"/>
      <c r="H62" s="466"/>
      <c r="I62" s="467"/>
      <c r="J62" s="467"/>
      <c r="K62" s="1671">
        <f t="shared" si="7"/>
        <v>28578</v>
      </c>
      <c r="L62" s="466">
        <v>22185</v>
      </c>
      <c r="M62" s="609"/>
      <c r="N62" s="609"/>
    </row>
    <row r="63" spans="1:14" s="609" customFormat="1" x14ac:dyDescent="0.2">
      <c r="A63" s="1504" t="s">
        <v>100</v>
      </c>
      <c r="B63" s="614">
        <v>2560</v>
      </c>
      <c r="C63" s="466">
        <v>155909</v>
      </c>
      <c r="D63" s="466">
        <v>61432</v>
      </c>
      <c r="E63" s="466">
        <v>483</v>
      </c>
      <c r="F63" s="466">
        <v>253572</v>
      </c>
      <c r="G63" s="466"/>
      <c r="H63" s="466"/>
      <c r="I63" s="467"/>
      <c r="J63" s="467"/>
      <c r="K63" s="1671">
        <f t="shared" si="7"/>
        <v>471396</v>
      </c>
      <c r="L63" s="466">
        <v>508043</v>
      </c>
    </row>
    <row r="64" spans="1:14" s="609" customFormat="1" x14ac:dyDescent="0.2">
      <c r="A64" s="1509"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378191</v>
      </c>
      <c r="D65" s="1669">
        <f t="shared" ref="D65:L65" si="8">SUM(D59:D64)</f>
        <v>122504</v>
      </c>
      <c r="E65" s="1669">
        <f t="shared" si="8"/>
        <v>330496</v>
      </c>
      <c r="F65" s="1669">
        <f t="shared" si="8"/>
        <v>262630</v>
      </c>
      <c r="G65" s="1669">
        <f t="shared" si="8"/>
        <v>567</v>
      </c>
      <c r="H65" s="1669">
        <f t="shared" si="8"/>
        <v>4543</v>
      </c>
      <c r="I65" s="1669">
        <f t="shared" si="8"/>
        <v>0</v>
      </c>
      <c r="J65" s="1669">
        <f t="shared" si="8"/>
        <v>0</v>
      </c>
      <c r="K65" s="1669">
        <f t="shared" si="8"/>
        <v>1098931</v>
      </c>
      <c r="L65" s="1669">
        <f t="shared" si="8"/>
        <v>1130278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v>0</v>
      </c>
      <c r="M67" s="609"/>
      <c r="N67" s="609"/>
    </row>
    <row r="68" spans="1:14" s="343" customFormat="1" x14ac:dyDescent="0.2">
      <c r="A68" s="1504" t="s">
        <v>607</v>
      </c>
      <c r="B68" s="614">
        <v>2620</v>
      </c>
      <c r="C68" s="466"/>
      <c r="D68" s="466"/>
      <c r="E68" s="466"/>
      <c r="F68" s="466"/>
      <c r="G68" s="466"/>
      <c r="H68" s="466"/>
      <c r="I68" s="467"/>
      <c r="J68" s="467"/>
      <c r="K68" s="1671">
        <f>SUM(C68:J68)</f>
        <v>0</v>
      </c>
      <c r="L68" s="466">
        <v>0</v>
      </c>
      <c r="M68" s="609"/>
      <c r="N68" s="609"/>
    </row>
    <row r="69" spans="1:14" s="343" customFormat="1" x14ac:dyDescent="0.2">
      <c r="A69" s="1504" t="s">
        <v>1061</v>
      </c>
      <c r="B69" s="614">
        <v>2630</v>
      </c>
      <c r="C69" s="466"/>
      <c r="D69" s="466"/>
      <c r="E69" s="466">
        <v>22341</v>
      </c>
      <c r="F69" s="466"/>
      <c r="G69" s="466"/>
      <c r="H69" s="466"/>
      <c r="I69" s="467"/>
      <c r="J69" s="467"/>
      <c r="K69" s="1671">
        <f>SUM(C69:J69)</f>
        <v>22341</v>
      </c>
      <c r="L69" s="466">
        <v>16116</v>
      </c>
      <c r="M69" s="609"/>
      <c r="N69" s="609"/>
    </row>
    <row r="70" spans="1:14" s="343" customFormat="1" x14ac:dyDescent="0.2">
      <c r="A70" s="1504" t="s">
        <v>403</v>
      </c>
      <c r="B70" s="614">
        <v>2640</v>
      </c>
      <c r="C70" s="466"/>
      <c r="D70" s="466"/>
      <c r="E70" s="466"/>
      <c r="F70" s="466"/>
      <c r="G70" s="466"/>
      <c r="H70" s="466"/>
      <c r="I70" s="467"/>
      <c r="J70" s="467"/>
      <c r="K70" s="1671">
        <f>SUM(C70:J70)</f>
        <v>0</v>
      </c>
      <c r="L70" s="466">
        <v>0</v>
      </c>
      <c r="M70" s="609"/>
      <c r="N70" s="609"/>
    </row>
    <row r="71" spans="1:14" s="343" customFormat="1" x14ac:dyDescent="0.2">
      <c r="A71" s="1504" t="s">
        <v>404</v>
      </c>
      <c r="B71" s="614">
        <v>2660</v>
      </c>
      <c r="C71" s="466"/>
      <c r="D71" s="466"/>
      <c r="E71" s="466"/>
      <c r="F71" s="466"/>
      <c r="G71" s="466"/>
      <c r="H71" s="466"/>
      <c r="I71" s="467"/>
      <c r="J71" s="467"/>
      <c r="K71" s="1671">
        <f>SUM(C71:J71)</f>
        <v>0</v>
      </c>
      <c r="L71" s="466">
        <v>2686</v>
      </c>
      <c r="M71" s="609"/>
      <c r="N71" s="609"/>
    </row>
    <row r="72" spans="1:14" s="343" customFormat="1" ht="12.75" customHeight="1" thickBot="1" x14ac:dyDescent="0.25">
      <c r="A72" s="1667" t="s">
        <v>37</v>
      </c>
      <c r="B72" s="1674" t="s">
        <v>36</v>
      </c>
      <c r="C72" s="1669">
        <f>SUM(C67:C71)</f>
        <v>0</v>
      </c>
      <c r="D72" s="1669">
        <f t="shared" ref="D72:K72" si="9">SUM(D67:D71)</f>
        <v>0</v>
      </c>
      <c r="E72" s="1669">
        <f t="shared" si="9"/>
        <v>22341</v>
      </c>
      <c r="F72" s="1669">
        <f t="shared" si="9"/>
        <v>0</v>
      </c>
      <c r="G72" s="1669">
        <f t="shared" si="9"/>
        <v>0</v>
      </c>
      <c r="H72" s="1669">
        <f t="shared" si="9"/>
        <v>0</v>
      </c>
      <c r="I72" s="1669">
        <f t="shared" si="9"/>
        <v>0</v>
      </c>
      <c r="J72" s="1669">
        <f t="shared" si="9"/>
        <v>0</v>
      </c>
      <c r="K72" s="1669">
        <f t="shared" si="9"/>
        <v>22341</v>
      </c>
      <c r="L72" s="1669">
        <f>SUM(L67:L71)</f>
        <v>18802</v>
      </c>
      <c r="M72" s="609"/>
      <c r="N72" s="609"/>
    </row>
    <row r="73" spans="1:14" s="343" customFormat="1" ht="14.25" thickTop="1" thickBot="1" x14ac:dyDescent="0.25">
      <c r="A73" s="1510" t="s">
        <v>980</v>
      </c>
      <c r="B73" s="632" t="s">
        <v>574</v>
      </c>
      <c r="C73" s="573">
        <v>104966</v>
      </c>
      <c r="D73" s="573">
        <v>24403</v>
      </c>
      <c r="E73" s="573">
        <v>2836</v>
      </c>
      <c r="F73" s="573"/>
      <c r="G73" s="573"/>
      <c r="H73" s="573"/>
      <c r="I73" s="531"/>
      <c r="J73" s="531"/>
      <c r="K73" s="1669">
        <f>SUM(C73:J73)</f>
        <v>132205</v>
      </c>
      <c r="L73" s="576">
        <v>133000</v>
      </c>
      <c r="M73" s="609"/>
      <c r="N73" s="609"/>
    </row>
    <row r="74" spans="1:14" ht="12.75" customHeight="1" thickTop="1" thickBot="1" x14ac:dyDescent="0.25">
      <c r="A74" s="1667" t="s">
        <v>811</v>
      </c>
      <c r="B74" s="1675">
        <v>2000</v>
      </c>
      <c r="C74" s="1676">
        <f>SUM(C42,C47,C53,C57,C65,C72,C73)</f>
        <v>2150845</v>
      </c>
      <c r="D74" s="1676">
        <f t="shared" ref="D74:K74" si="10">SUM(D42,D47,D53,D57,D65,D72,D73)</f>
        <v>579226</v>
      </c>
      <c r="E74" s="1676">
        <f t="shared" si="10"/>
        <v>549775</v>
      </c>
      <c r="F74" s="1676">
        <f t="shared" si="10"/>
        <v>325531</v>
      </c>
      <c r="G74" s="1676">
        <f t="shared" si="10"/>
        <v>28084</v>
      </c>
      <c r="H74" s="1676">
        <f t="shared" si="10"/>
        <v>7877</v>
      </c>
      <c r="I74" s="1676">
        <f t="shared" si="10"/>
        <v>0</v>
      </c>
      <c r="J74" s="1676">
        <f t="shared" si="10"/>
        <v>0</v>
      </c>
      <c r="K74" s="1676">
        <f t="shared" si="10"/>
        <v>3641338</v>
      </c>
      <c r="L74" s="1676">
        <f>SUM(L42,L47,L53,L57,L65,L72,L73)</f>
        <v>3746726</v>
      </c>
    </row>
    <row r="75" spans="1:14" s="259" customFormat="1" ht="15.75" customHeight="1" thickTop="1" thickBot="1" x14ac:dyDescent="0.25">
      <c r="A75" s="1610" t="s">
        <v>47</v>
      </c>
      <c r="B75" s="1611" t="s">
        <v>575</v>
      </c>
      <c r="C75" s="573">
        <v>171954</v>
      </c>
      <c r="D75" s="573">
        <v>39326</v>
      </c>
      <c r="E75" s="573">
        <v>27736</v>
      </c>
      <c r="F75" s="573">
        <v>3469</v>
      </c>
      <c r="G75" s="573">
        <v>960</v>
      </c>
      <c r="H75" s="573"/>
      <c r="I75" s="531"/>
      <c r="J75" s="531"/>
      <c r="K75" s="1669">
        <f>SUM(C75:J75)</f>
        <v>243445</v>
      </c>
      <c r="L75" s="576">
        <v>269201</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v>1000</v>
      </c>
    </row>
    <row r="79" spans="1:14" x14ac:dyDescent="0.2">
      <c r="A79" s="1504" t="s">
        <v>304</v>
      </c>
      <c r="B79" s="614">
        <v>4120</v>
      </c>
      <c r="C79" s="616"/>
      <c r="D79" s="616"/>
      <c r="E79" s="466">
        <v>514505</v>
      </c>
      <c r="F79" s="616"/>
      <c r="G79" s="616"/>
      <c r="H79" s="466"/>
      <c r="I79" s="477"/>
      <c r="J79" s="477"/>
      <c r="K79" s="1670">
        <f t="shared" si="11"/>
        <v>514505</v>
      </c>
      <c r="L79" s="466">
        <v>402000</v>
      </c>
    </row>
    <row r="80" spans="1:14" x14ac:dyDescent="0.2">
      <c r="A80" s="1504" t="s">
        <v>305</v>
      </c>
      <c r="B80" s="614">
        <v>4130</v>
      </c>
      <c r="C80" s="616"/>
      <c r="D80" s="616"/>
      <c r="E80" s="466"/>
      <c r="F80" s="616"/>
      <c r="G80" s="616"/>
      <c r="H80" s="466"/>
      <c r="I80" s="477"/>
      <c r="J80" s="477"/>
      <c r="K80" s="1670">
        <f t="shared" si="11"/>
        <v>0</v>
      </c>
      <c r="L80" s="466">
        <v>0</v>
      </c>
    </row>
    <row r="81" spans="1:12" x14ac:dyDescent="0.2">
      <c r="A81" s="1504" t="s">
        <v>697</v>
      </c>
      <c r="B81" s="614">
        <v>4140</v>
      </c>
      <c r="C81" s="616"/>
      <c r="D81" s="616"/>
      <c r="E81" s="466"/>
      <c r="F81" s="616"/>
      <c r="G81" s="616"/>
      <c r="H81" s="466"/>
      <c r="I81" s="477"/>
      <c r="J81" s="477"/>
      <c r="K81" s="1670">
        <f t="shared" si="11"/>
        <v>0</v>
      </c>
      <c r="L81" s="466">
        <v>0</v>
      </c>
    </row>
    <row r="82" spans="1:12" x14ac:dyDescent="0.2">
      <c r="A82" s="1504" t="s">
        <v>86</v>
      </c>
      <c r="B82" s="614">
        <v>4170</v>
      </c>
      <c r="C82" s="616"/>
      <c r="D82" s="616"/>
      <c r="E82" s="466"/>
      <c r="F82" s="616"/>
      <c r="G82" s="616"/>
      <c r="H82" s="466"/>
      <c r="I82" s="477"/>
      <c r="J82" s="477"/>
      <c r="K82" s="1670">
        <f t="shared" si="11"/>
        <v>0</v>
      </c>
      <c r="L82" s="466">
        <v>0</v>
      </c>
    </row>
    <row r="83" spans="1:12" x14ac:dyDescent="0.2">
      <c r="A83" s="1508" t="s">
        <v>698</v>
      </c>
      <c r="B83" s="628">
        <v>4190</v>
      </c>
      <c r="C83" s="616"/>
      <c r="D83" s="616"/>
      <c r="E83" s="466">
        <v>3175</v>
      </c>
      <c r="F83" s="616"/>
      <c r="G83" s="616"/>
      <c r="H83" s="466"/>
      <c r="I83" s="477"/>
      <c r="J83" s="477"/>
      <c r="K83" s="1670">
        <f t="shared" si="11"/>
        <v>3175</v>
      </c>
      <c r="L83" s="466">
        <v>4000</v>
      </c>
    </row>
    <row r="84" spans="1:12" ht="13.5" thickBot="1" x14ac:dyDescent="0.25">
      <c r="A84" s="1667" t="s">
        <v>1485</v>
      </c>
      <c r="B84" s="1677">
        <v>4100</v>
      </c>
      <c r="C84" s="616"/>
      <c r="D84" s="616"/>
      <c r="E84" s="1669">
        <f>SUM(E78:E83)</f>
        <v>517680</v>
      </c>
      <c r="F84" s="616"/>
      <c r="G84" s="616"/>
      <c r="H84" s="1669">
        <f>SUM(H78:H83)</f>
        <v>0</v>
      </c>
      <c r="I84" s="477"/>
      <c r="J84" s="477"/>
      <c r="K84" s="1669">
        <f>SUM(K78:K83)</f>
        <v>517680</v>
      </c>
      <c r="L84" s="1669">
        <f>SUM(L78:L83)</f>
        <v>407000</v>
      </c>
    </row>
    <row r="85" spans="1:12" ht="12.75" customHeight="1" thickTop="1" thickBot="1" x14ac:dyDescent="0.25">
      <c r="A85" s="1511" t="s">
        <v>255</v>
      </c>
      <c r="B85" s="635">
        <v>4210</v>
      </c>
      <c r="C85" s="616"/>
      <c r="D85" s="616"/>
      <c r="E85" s="636"/>
      <c r="F85" s="616"/>
      <c r="G85" s="616"/>
      <c r="H85" s="535"/>
      <c r="I85" s="477"/>
      <c r="J85" s="477"/>
      <c r="K85" s="1676">
        <f>H85</f>
        <v>0</v>
      </c>
      <c r="L85" s="530">
        <v>0</v>
      </c>
    </row>
    <row r="86" spans="1:12" ht="12.75" customHeight="1" thickTop="1" thickBot="1" x14ac:dyDescent="0.25">
      <c r="A86" s="1512" t="s">
        <v>699</v>
      </c>
      <c r="B86" s="637">
        <v>4220</v>
      </c>
      <c r="C86" s="616"/>
      <c r="D86" s="616"/>
      <c r="E86" s="638"/>
      <c r="F86" s="616"/>
      <c r="G86" s="616"/>
      <c r="H86" s="467">
        <v>42925</v>
      </c>
      <c r="I86" s="477"/>
      <c r="J86" s="477"/>
      <c r="K86" s="1676">
        <f t="shared" ref="K86:K98" si="12">H86</f>
        <v>42925</v>
      </c>
      <c r="L86" s="530">
        <v>47284</v>
      </c>
    </row>
    <row r="87" spans="1:12" ht="14.25" thickTop="1" thickBot="1" x14ac:dyDescent="0.25">
      <c r="A87" s="1513" t="s">
        <v>700</v>
      </c>
      <c r="B87" s="639">
        <v>4230</v>
      </c>
      <c r="C87" s="616"/>
      <c r="D87" s="616"/>
      <c r="E87" s="638"/>
      <c r="F87" s="616"/>
      <c r="G87" s="616"/>
      <c r="H87" s="467"/>
      <c r="I87" s="477"/>
      <c r="J87" s="477"/>
      <c r="K87" s="1676">
        <f t="shared" si="12"/>
        <v>0</v>
      </c>
      <c r="L87" s="530">
        <v>0</v>
      </c>
    </row>
    <row r="88" spans="1:12" ht="12.75" customHeight="1" thickTop="1" thickBot="1" x14ac:dyDescent="0.25">
      <c r="A88" s="1513" t="s">
        <v>765</v>
      </c>
      <c r="B88" s="639">
        <v>4240</v>
      </c>
      <c r="C88" s="616"/>
      <c r="D88" s="616"/>
      <c r="E88" s="638"/>
      <c r="F88" s="616"/>
      <c r="G88" s="616"/>
      <c r="H88" s="467"/>
      <c r="I88" s="477"/>
      <c r="J88" s="477"/>
      <c r="K88" s="1676">
        <f t="shared" si="12"/>
        <v>0</v>
      </c>
      <c r="L88" s="530">
        <v>0</v>
      </c>
    </row>
    <row r="89" spans="1:12" ht="12.75" customHeight="1" thickTop="1" thickBot="1" x14ac:dyDescent="0.25">
      <c r="A89" s="1513" t="s">
        <v>701</v>
      </c>
      <c r="B89" s="639">
        <v>4270</v>
      </c>
      <c r="C89" s="616"/>
      <c r="D89" s="616"/>
      <c r="E89" s="638"/>
      <c r="F89" s="616"/>
      <c r="G89" s="616"/>
      <c r="H89" s="467"/>
      <c r="I89" s="477"/>
      <c r="J89" s="477"/>
      <c r="K89" s="1676">
        <f t="shared" si="12"/>
        <v>0</v>
      </c>
      <c r="L89" s="530">
        <v>0</v>
      </c>
    </row>
    <row r="90" spans="1:12" ht="12.75" customHeight="1" thickTop="1" thickBot="1" x14ac:dyDescent="0.25">
      <c r="A90" s="1513" t="s">
        <v>686</v>
      </c>
      <c r="B90" s="639">
        <v>4280</v>
      </c>
      <c r="C90" s="616"/>
      <c r="D90" s="616"/>
      <c r="E90" s="638"/>
      <c r="F90" s="616"/>
      <c r="G90" s="616"/>
      <c r="H90" s="467"/>
      <c r="I90" s="477"/>
      <c r="J90" s="477"/>
      <c r="K90" s="1676">
        <f t="shared" si="12"/>
        <v>0</v>
      </c>
      <c r="L90" s="530">
        <v>0</v>
      </c>
    </row>
    <row r="91" spans="1:12" ht="12.75" customHeight="1" thickTop="1" thickBot="1" x14ac:dyDescent="0.25">
      <c r="A91" s="1513"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42925</v>
      </c>
      <c r="I92" s="477"/>
      <c r="J92" s="477"/>
      <c r="K92" s="1676">
        <f t="shared" si="12"/>
        <v>42925</v>
      </c>
      <c r="L92" s="1669">
        <f>SUM(L85:L91)</f>
        <v>47284</v>
      </c>
    </row>
    <row r="93" spans="1:12" ht="14.25" thickTop="1" thickBot="1" x14ac:dyDescent="0.25">
      <c r="A93" s="1512" t="s">
        <v>688</v>
      </c>
      <c r="B93" s="640">
        <v>4310</v>
      </c>
      <c r="C93" s="616"/>
      <c r="D93" s="616"/>
      <c r="E93" s="638"/>
      <c r="F93" s="616"/>
      <c r="G93" s="616"/>
      <c r="H93" s="641"/>
      <c r="I93" s="477"/>
      <c r="J93" s="477"/>
      <c r="K93" s="1676">
        <f t="shared" si="12"/>
        <v>0</v>
      </c>
      <c r="L93" s="532">
        <v>0</v>
      </c>
    </row>
    <row r="94" spans="1:12" ht="12.75" customHeight="1" thickTop="1" thickBot="1" x14ac:dyDescent="0.25">
      <c r="A94" s="1513" t="s">
        <v>689</v>
      </c>
      <c r="B94" s="639">
        <v>4320</v>
      </c>
      <c r="C94" s="616"/>
      <c r="D94" s="616"/>
      <c r="E94" s="638"/>
      <c r="F94" s="616"/>
      <c r="G94" s="616"/>
      <c r="H94" s="467"/>
      <c r="I94" s="477"/>
      <c r="J94" s="477"/>
      <c r="K94" s="1676">
        <f t="shared" si="12"/>
        <v>0</v>
      </c>
      <c r="L94" s="530">
        <v>0</v>
      </c>
    </row>
    <row r="95" spans="1:12" ht="15" customHeight="1" thickTop="1" thickBot="1" x14ac:dyDescent="0.25">
      <c r="A95" s="1513" t="s">
        <v>1488</v>
      </c>
      <c r="B95" s="639">
        <v>4330</v>
      </c>
      <c r="C95" s="616"/>
      <c r="D95" s="616"/>
      <c r="E95" s="638"/>
      <c r="F95" s="616"/>
      <c r="G95" s="616"/>
      <c r="H95" s="467"/>
      <c r="I95" s="477"/>
      <c r="J95" s="477"/>
      <c r="K95" s="1676">
        <f t="shared" si="12"/>
        <v>0</v>
      </c>
      <c r="L95" s="530">
        <v>0</v>
      </c>
    </row>
    <row r="96" spans="1:12" ht="14.25" thickTop="1" thickBot="1" x14ac:dyDescent="0.25">
      <c r="A96" s="1513" t="s">
        <v>690</v>
      </c>
      <c r="B96" s="639">
        <v>4340</v>
      </c>
      <c r="C96" s="616"/>
      <c r="D96" s="616"/>
      <c r="E96" s="638"/>
      <c r="F96" s="616"/>
      <c r="G96" s="616"/>
      <c r="H96" s="467"/>
      <c r="I96" s="477"/>
      <c r="J96" s="477"/>
      <c r="K96" s="1676">
        <f t="shared" si="12"/>
        <v>0</v>
      </c>
      <c r="L96" s="530">
        <v>0</v>
      </c>
    </row>
    <row r="97" spans="1:14" ht="12.75" customHeight="1" thickTop="1" thickBot="1" x14ac:dyDescent="0.25">
      <c r="A97" s="1513" t="s">
        <v>763</v>
      </c>
      <c r="B97" s="639">
        <v>4370</v>
      </c>
      <c r="C97" s="616"/>
      <c r="D97" s="616"/>
      <c r="E97" s="638"/>
      <c r="F97" s="616"/>
      <c r="G97" s="616"/>
      <c r="H97" s="467"/>
      <c r="I97" s="477"/>
      <c r="J97" s="477"/>
      <c r="K97" s="1676">
        <f t="shared" si="12"/>
        <v>0</v>
      </c>
      <c r="L97" s="530">
        <v>0</v>
      </c>
    </row>
    <row r="98" spans="1:14" ht="14.25" thickTop="1" thickBot="1" x14ac:dyDescent="0.25">
      <c r="A98" s="1513" t="s">
        <v>764</v>
      </c>
      <c r="B98" s="639">
        <v>4380</v>
      </c>
      <c r="C98" s="616"/>
      <c r="D98" s="616"/>
      <c r="E98" s="642"/>
      <c r="F98" s="616"/>
      <c r="G98" s="616"/>
      <c r="H98" s="467"/>
      <c r="I98" s="477"/>
      <c r="J98" s="477"/>
      <c r="K98" s="1676">
        <f t="shared" si="12"/>
        <v>0</v>
      </c>
      <c r="L98" s="530">
        <v>0</v>
      </c>
    </row>
    <row r="99" spans="1:14" ht="14.25" thickTop="1" thickBot="1" x14ac:dyDescent="0.25">
      <c r="A99" s="1513"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517680</v>
      </c>
      <c r="F102" s="616"/>
      <c r="G102" s="616"/>
      <c r="H102" s="1676">
        <f>SUM(H84,H92,H100,H101)</f>
        <v>42925</v>
      </c>
      <c r="I102" s="477"/>
      <c r="J102" s="477"/>
      <c r="K102" s="1676">
        <f>SUM(K84,K92,K100,K101)</f>
        <v>560605</v>
      </c>
      <c r="L102" s="1676">
        <f>SUM(L84,L92,L100,L101)</f>
        <v>454284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v>0</v>
      </c>
      <c r="M105" s="210"/>
      <c r="N105" s="210"/>
    </row>
    <row r="106" spans="1:14" s="597" customFormat="1" x14ac:dyDescent="0.2">
      <c r="A106" s="1504"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8015682</v>
      </c>
      <c r="D114" s="1669">
        <f t="shared" ref="D114:K114" si="13">SUM(D33,D74,D75,D102,D112,D113)</f>
        <v>2020905</v>
      </c>
      <c r="E114" s="1669">
        <f t="shared" si="13"/>
        <v>1395149</v>
      </c>
      <c r="F114" s="1669">
        <f t="shared" si="13"/>
        <v>588824</v>
      </c>
      <c r="G114" s="1669">
        <f t="shared" si="13"/>
        <v>81256</v>
      </c>
      <c r="H114" s="1669">
        <f>SUM(H33,H74,H75,H102,H112,H113)</f>
        <v>53814</v>
      </c>
      <c r="I114" s="1669">
        <f t="shared" si="13"/>
        <v>0</v>
      </c>
      <c r="J114" s="1669">
        <f t="shared" si="13"/>
        <v>0</v>
      </c>
      <c r="K114" s="1669">
        <f t="shared" si="13"/>
        <v>12155630</v>
      </c>
      <c r="L114" s="1669">
        <f>SUM(L33,L74,L75,L102,L112,L113)</f>
        <v>12208571</v>
      </c>
    </row>
    <row r="115" spans="1:14" ht="13.5" thickTop="1" x14ac:dyDescent="0.2">
      <c r="A115" s="2189" t="s">
        <v>996</v>
      </c>
      <c r="B115" s="2190"/>
      <c r="C115" s="618"/>
      <c r="D115" s="618"/>
      <c r="E115" s="618"/>
      <c r="F115" s="618"/>
      <c r="G115" s="618"/>
      <c r="H115" s="618"/>
      <c r="I115" s="618"/>
      <c r="J115" s="618"/>
      <c r="K115" s="1683">
        <f>'Revenues 9-14'!C268-'Expenditures 15-22'!K114</f>
        <v>73139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2054</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v>0</v>
      </c>
    </row>
    <row r="123" spans="1:14" ht="14.25" thickTop="1" thickBot="1" x14ac:dyDescent="0.25">
      <c r="A123" s="1504" t="s">
        <v>4</v>
      </c>
      <c r="B123" s="614">
        <v>2530</v>
      </c>
      <c r="C123" s="466"/>
      <c r="D123" s="466"/>
      <c r="E123" s="466"/>
      <c r="F123" s="466"/>
      <c r="G123" s="466"/>
      <c r="H123" s="466"/>
      <c r="I123" s="467"/>
      <c r="J123" s="467"/>
      <c r="K123" s="1669">
        <f>SUM(C123:J123)</f>
        <v>0</v>
      </c>
      <c r="L123" s="466">
        <v>0</v>
      </c>
    </row>
    <row r="124" spans="1:14" ht="14.25" thickTop="1" thickBot="1" x14ac:dyDescent="0.25">
      <c r="A124" s="1504" t="s">
        <v>197</v>
      </c>
      <c r="B124" s="614">
        <v>2540</v>
      </c>
      <c r="C124" s="466">
        <v>214264</v>
      </c>
      <c r="D124" s="466">
        <v>39464</v>
      </c>
      <c r="E124" s="466">
        <v>1698008</v>
      </c>
      <c r="F124" s="466">
        <v>614530</v>
      </c>
      <c r="G124" s="466">
        <v>49803</v>
      </c>
      <c r="H124" s="466"/>
      <c r="I124" s="467"/>
      <c r="J124" s="467"/>
      <c r="K124" s="1669">
        <f>SUM(C124:J124)</f>
        <v>2616069</v>
      </c>
      <c r="L124" s="466">
        <v>2625532</v>
      </c>
    </row>
    <row r="125" spans="1:14" ht="14.25" thickTop="1" thickBot="1" x14ac:dyDescent="0.25">
      <c r="A125" s="1504" t="s">
        <v>953</v>
      </c>
      <c r="B125" s="614">
        <v>2550</v>
      </c>
      <c r="C125" s="466"/>
      <c r="D125" s="466"/>
      <c r="E125" s="466"/>
      <c r="F125" s="466"/>
      <c r="G125" s="466"/>
      <c r="H125" s="466"/>
      <c r="I125" s="467"/>
      <c r="J125" s="467"/>
      <c r="K125" s="1669">
        <f>SUM(C125:J125)</f>
        <v>0</v>
      </c>
      <c r="L125" s="466">
        <v>0</v>
      </c>
    </row>
    <row r="126" spans="1:14" ht="14.25" thickTop="1" thickBot="1" x14ac:dyDescent="0.25">
      <c r="A126" s="1504"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214264</v>
      </c>
      <c r="D127" s="1669">
        <f t="shared" ref="D127:L127" si="14">SUM(D122:D126)</f>
        <v>39464</v>
      </c>
      <c r="E127" s="1669">
        <f t="shared" si="14"/>
        <v>1698008</v>
      </c>
      <c r="F127" s="1669">
        <f t="shared" si="14"/>
        <v>614530</v>
      </c>
      <c r="G127" s="1669">
        <f t="shared" si="14"/>
        <v>49803</v>
      </c>
      <c r="H127" s="1669">
        <f t="shared" si="14"/>
        <v>0</v>
      </c>
      <c r="I127" s="1669">
        <f t="shared" si="14"/>
        <v>0</v>
      </c>
      <c r="J127" s="1669">
        <f t="shared" si="14"/>
        <v>0</v>
      </c>
      <c r="K127" s="1669">
        <f t="shared" si="14"/>
        <v>2616069</v>
      </c>
      <c r="L127" s="1669">
        <f t="shared" si="14"/>
        <v>2625532</v>
      </c>
    </row>
    <row r="128" spans="1:14" ht="12.75" customHeight="1" thickTop="1" x14ac:dyDescent="0.2">
      <c r="A128" s="1511"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214264</v>
      </c>
      <c r="D129" s="1676">
        <f t="shared" ref="D129:L129" si="15">SUM(D120,D127,D128)</f>
        <v>39464</v>
      </c>
      <c r="E129" s="1676">
        <f t="shared" si="15"/>
        <v>1698008</v>
      </c>
      <c r="F129" s="1676">
        <f t="shared" si="15"/>
        <v>614530</v>
      </c>
      <c r="G129" s="1676">
        <f t="shared" si="15"/>
        <v>49803</v>
      </c>
      <c r="H129" s="1676">
        <f t="shared" si="15"/>
        <v>0</v>
      </c>
      <c r="I129" s="1676">
        <f t="shared" si="15"/>
        <v>0</v>
      </c>
      <c r="J129" s="1676">
        <f t="shared" si="15"/>
        <v>0</v>
      </c>
      <c r="K129" s="1676">
        <f t="shared" si="15"/>
        <v>2616069</v>
      </c>
      <c r="L129" s="1676">
        <f t="shared" si="15"/>
        <v>2625532</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1840</v>
      </c>
      <c r="C133" s="468"/>
      <c r="D133" s="468"/>
      <c r="E133" s="641"/>
      <c r="F133" s="468"/>
      <c r="G133" s="468"/>
      <c r="H133" s="641"/>
      <c r="I133" s="468"/>
      <c r="J133" s="468"/>
      <c r="K133" s="1820">
        <f>SUM(E133,H133)</f>
        <v>0</v>
      </c>
      <c r="L133" s="641">
        <v>0</v>
      </c>
      <c r="M133" s="206"/>
      <c r="N133" s="206"/>
    </row>
    <row r="134" spans="1:14" x14ac:dyDescent="0.2">
      <c r="A134" s="1504" t="s">
        <v>304</v>
      </c>
      <c r="B134" s="614">
        <v>4120</v>
      </c>
      <c r="C134" s="616"/>
      <c r="D134" s="616"/>
      <c r="E134" s="478"/>
      <c r="F134" s="616"/>
      <c r="G134" s="616"/>
      <c r="H134" s="481"/>
      <c r="I134" s="477"/>
      <c r="J134" s="616"/>
      <c r="K134" s="1671">
        <f>SUM(E134,H134)</f>
        <v>0</v>
      </c>
      <c r="L134" s="481">
        <v>0</v>
      </c>
    </row>
    <row r="135" spans="1:14" x14ac:dyDescent="0.2">
      <c r="A135" s="1504" t="s">
        <v>697</v>
      </c>
      <c r="B135" s="614">
        <v>4140</v>
      </c>
      <c r="C135" s="616"/>
      <c r="D135" s="616"/>
      <c r="E135" s="467"/>
      <c r="F135" s="616"/>
      <c r="G135" s="616"/>
      <c r="H135" s="466"/>
      <c r="I135" s="477"/>
      <c r="J135" s="616"/>
      <c r="K135" s="1671">
        <f>SUM(E135,H135)</f>
        <v>0</v>
      </c>
      <c r="L135" s="466">
        <v>0</v>
      </c>
    </row>
    <row r="136" spans="1:14" x14ac:dyDescent="0.2">
      <c r="A136" s="1508"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v>0</v>
      </c>
    </row>
    <row r="143" spans="1:14" x14ac:dyDescent="0.2">
      <c r="A143" s="1504" t="s">
        <v>88</v>
      </c>
      <c r="B143" s="614">
        <v>5120</v>
      </c>
      <c r="C143" s="616"/>
      <c r="D143" s="616"/>
      <c r="E143" s="616"/>
      <c r="F143" s="616"/>
      <c r="G143" s="616"/>
      <c r="H143" s="466"/>
      <c r="I143" s="468"/>
      <c r="J143" s="616"/>
      <c r="K143" s="1671">
        <f>SUM(H143)</f>
        <v>0</v>
      </c>
      <c r="L143" s="466">
        <v>0</v>
      </c>
    </row>
    <row r="144" spans="1:14" ht="12.75" customHeight="1" x14ac:dyDescent="0.2">
      <c r="A144" s="1504" t="s">
        <v>1170</v>
      </c>
      <c r="B144" s="628" t="s">
        <v>617</v>
      </c>
      <c r="C144" s="616"/>
      <c r="D144" s="616"/>
      <c r="E144" s="616"/>
      <c r="F144" s="616"/>
      <c r="G144" s="616"/>
      <c r="H144" s="466"/>
      <c r="I144" s="468"/>
      <c r="J144" s="616"/>
      <c r="K144" s="1671">
        <f>SUM(H144)</f>
        <v>0</v>
      </c>
      <c r="L144" s="466">
        <v>0</v>
      </c>
    </row>
    <row r="145" spans="1:14" x14ac:dyDescent="0.2">
      <c r="A145" s="1504" t="s">
        <v>89</v>
      </c>
      <c r="B145" s="614" t="s">
        <v>589</v>
      </c>
      <c r="C145" s="616"/>
      <c r="D145" s="616"/>
      <c r="E145" s="616"/>
      <c r="F145" s="616"/>
      <c r="G145" s="616"/>
      <c r="H145" s="466"/>
      <c r="I145" s="468"/>
      <c r="J145" s="616"/>
      <c r="K145" s="1671">
        <f>SUM(H145)</f>
        <v>0</v>
      </c>
      <c r="L145" s="466">
        <v>0</v>
      </c>
    </row>
    <row r="146" spans="1:14" ht="12.75" customHeight="1" x14ac:dyDescent="0.2">
      <c r="A146" s="1504" t="s">
        <v>619</v>
      </c>
      <c r="B146" s="614" t="s">
        <v>618</v>
      </c>
      <c r="C146" s="616"/>
      <c r="D146" s="616"/>
      <c r="E146" s="616"/>
      <c r="F146" s="616"/>
      <c r="G146" s="616"/>
      <c r="H146" s="466"/>
      <c r="I146" s="468"/>
      <c r="J146" s="616"/>
      <c r="K146" s="1671">
        <f>SUM(H146)</f>
        <v>0</v>
      </c>
      <c r="L146" s="466">
        <v>0</v>
      </c>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9" t="s">
        <v>620</v>
      </c>
      <c r="B151" s="2161"/>
      <c r="C151" s="1669">
        <f>SUM(C129,C130,C139,C149,C150)</f>
        <v>214264</v>
      </c>
      <c r="D151" s="1669">
        <f t="shared" ref="D151:K151" si="16">SUM(D129,D130,D139,D149,D150)</f>
        <v>39464</v>
      </c>
      <c r="E151" s="1669">
        <f t="shared" si="16"/>
        <v>1698008</v>
      </c>
      <c r="F151" s="1669">
        <f t="shared" si="16"/>
        <v>614530</v>
      </c>
      <c r="G151" s="1669">
        <f t="shared" si="16"/>
        <v>49803</v>
      </c>
      <c r="H151" s="1669">
        <f t="shared" si="16"/>
        <v>0</v>
      </c>
      <c r="I151" s="1669">
        <f t="shared" si="16"/>
        <v>0</v>
      </c>
      <c r="J151" s="1669">
        <f t="shared" si="16"/>
        <v>0</v>
      </c>
      <c r="K151" s="1669">
        <f t="shared" si="16"/>
        <v>2616069</v>
      </c>
      <c r="L151" s="1669">
        <f>SUM(L129,L130,L139,L149,L150)</f>
        <v>2625532</v>
      </c>
    </row>
    <row r="152" spans="1:14" ht="12.75" customHeight="1" thickTop="1" x14ac:dyDescent="0.2">
      <c r="A152" s="2182" t="s">
        <v>1178</v>
      </c>
      <c r="B152" s="2183"/>
      <c r="C152" s="618"/>
      <c r="D152" s="618"/>
      <c r="E152" s="618"/>
      <c r="F152" s="618"/>
      <c r="G152" s="618"/>
      <c r="H152" s="618"/>
      <c r="I152" s="618"/>
      <c r="J152" s="616"/>
      <c r="K152" s="1683">
        <f>'Revenues 9-14'!D268-'Expenditures 15-22'!K151</f>
        <v>-667547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1841</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1840</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1842</v>
      </c>
      <c r="C158" s="616"/>
      <c r="D158" s="616"/>
      <c r="E158" s="616"/>
      <c r="F158" s="616"/>
      <c r="G158" s="616"/>
      <c r="H158" s="467"/>
      <c r="I158" s="616"/>
      <c r="J158" s="616"/>
      <c r="K158" s="1670">
        <f>H158</f>
        <v>0</v>
      </c>
      <c r="L158" s="467">
        <v>0</v>
      </c>
      <c r="M158" s="619"/>
      <c r="N158" s="619"/>
    </row>
    <row r="159" spans="1:14" s="620" customFormat="1" ht="12" x14ac:dyDescent="0.2">
      <c r="A159" s="1825" t="s">
        <v>1843</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1844</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v>0</v>
      </c>
    </row>
    <row r="164" spans="1:14" x14ac:dyDescent="0.2">
      <c r="A164" s="1504" t="s">
        <v>88</v>
      </c>
      <c r="B164" s="614">
        <v>5120</v>
      </c>
      <c r="C164" s="616"/>
      <c r="D164" s="616"/>
      <c r="E164" s="616"/>
      <c r="F164" s="616"/>
      <c r="G164" s="616"/>
      <c r="H164" s="466"/>
      <c r="I164" s="616"/>
      <c r="J164" s="616"/>
      <c r="K164" s="1670">
        <f>SUM(C164:J164)</f>
        <v>0</v>
      </c>
      <c r="L164" s="466">
        <v>0</v>
      </c>
    </row>
    <row r="165" spans="1:14" ht="12.75" customHeight="1" x14ac:dyDescent="0.2">
      <c r="A165" s="1504" t="s">
        <v>1170</v>
      </c>
      <c r="B165" s="614" t="s">
        <v>617</v>
      </c>
      <c r="C165" s="616"/>
      <c r="D165" s="616"/>
      <c r="E165" s="616"/>
      <c r="F165" s="616"/>
      <c r="G165" s="616"/>
      <c r="H165" s="466"/>
      <c r="I165" s="616"/>
      <c r="J165" s="616"/>
      <c r="K165" s="1670">
        <f>SUM(C165:J165)</f>
        <v>0</v>
      </c>
      <c r="L165" s="466">
        <v>0</v>
      </c>
    </row>
    <row r="166" spans="1:14" x14ac:dyDescent="0.2">
      <c r="A166" s="1504" t="s">
        <v>89</v>
      </c>
      <c r="B166" s="628" t="s">
        <v>589</v>
      </c>
      <c r="C166" s="616"/>
      <c r="D166" s="616"/>
      <c r="E166" s="616"/>
      <c r="F166" s="616"/>
      <c r="G166" s="616"/>
      <c r="H166" s="466"/>
      <c r="I166" s="616"/>
      <c r="J166" s="616"/>
      <c r="K166" s="1670">
        <f>SUM(C166:J166)</f>
        <v>0</v>
      </c>
      <c r="L166" s="466">
        <v>0</v>
      </c>
    </row>
    <row r="167" spans="1:14" ht="12.75" customHeight="1" x14ac:dyDescent="0.2">
      <c r="A167" s="1504"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122297</v>
      </c>
      <c r="I169" s="616"/>
      <c r="J169" s="616"/>
      <c r="K169" s="1670">
        <f>SUM(C169:H169)</f>
        <v>122297</v>
      </c>
      <c r="L169" s="656">
        <v>33399</v>
      </c>
    </row>
    <row r="170" spans="1:14" ht="33.75" customHeight="1" x14ac:dyDescent="0.2">
      <c r="A170" s="669" t="s">
        <v>1670</v>
      </c>
      <c r="B170" s="671" t="s">
        <v>31</v>
      </c>
      <c r="C170" s="616"/>
      <c r="D170" s="616"/>
      <c r="E170" s="616"/>
      <c r="F170" s="616"/>
      <c r="G170" s="616"/>
      <c r="H170" s="569">
        <v>1826102</v>
      </c>
      <c r="I170" s="616"/>
      <c r="J170" s="616"/>
      <c r="K170" s="1670">
        <f>SUM(C170:J170)</f>
        <v>1826102</v>
      </c>
      <c r="L170" s="569">
        <v>1915000</v>
      </c>
    </row>
    <row r="171" spans="1:14" ht="15.75" customHeight="1" x14ac:dyDescent="0.2">
      <c r="A171" s="621" t="s">
        <v>766</v>
      </c>
      <c r="B171" s="672" t="s">
        <v>84</v>
      </c>
      <c r="C171" s="616"/>
      <c r="D171" s="616"/>
      <c r="E171" s="466"/>
      <c r="F171" s="616"/>
      <c r="G171" s="616"/>
      <c r="H171" s="569">
        <v>1400</v>
      </c>
      <c r="I171" s="477"/>
      <c r="J171" s="616"/>
      <c r="K171" s="1670">
        <f>SUM(C171:J171)</f>
        <v>1400</v>
      </c>
      <c r="L171" s="569">
        <v>1400</v>
      </c>
    </row>
    <row r="172" spans="1:14" ht="12.75" customHeight="1" thickBot="1" x14ac:dyDescent="0.25">
      <c r="A172" s="1667" t="s">
        <v>638</v>
      </c>
      <c r="B172" s="1668" t="s">
        <v>492</v>
      </c>
      <c r="C172" s="616"/>
      <c r="D172" s="616"/>
      <c r="E172" s="1676">
        <f>SUM(E168,E169,E170,E171)</f>
        <v>0</v>
      </c>
      <c r="F172" s="616"/>
      <c r="G172" s="616"/>
      <c r="H172" s="1676">
        <f>SUM(H168,H169,H170,H171)</f>
        <v>1949799</v>
      </c>
      <c r="I172" s="638"/>
      <c r="J172" s="616"/>
      <c r="K172" s="1676">
        <f>SUM(K168,K169,K170,K171)</f>
        <v>1949799</v>
      </c>
      <c r="L172" s="1676">
        <f>SUM(L168,L169,L170,L171)</f>
        <v>1949799</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1949799</v>
      </c>
      <c r="I174" s="638"/>
      <c r="J174" s="616"/>
      <c r="K174" s="1676">
        <f>SUM(K160,K172,K173)</f>
        <v>1949799</v>
      </c>
      <c r="L174" s="1676">
        <f>SUM(L160,L172,L173)</f>
        <v>1949799</v>
      </c>
    </row>
    <row r="175" spans="1:14" ht="13.5" thickTop="1" x14ac:dyDescent="0.2">
      <c r="A175" s="2189" t="s">
        <v>996</v>
      </c>
      <c r="B175" s="2190"/>
      <c r="C175" s="616"/>
      <c r="D175" s="616"/>
      <c r="E175" s="616"/>
      <c r="F175" s="616"/>
      <c r="G175" s="616"/>
      <c r="H175" s="618"/>
      <c r="I175" s="616"/>
      <c r="J175" s="616"/>
      <c r="K175" s="1683">
        <f>'Revenues 9-14'!E268-'Expenditures 15-22'!K174</f>
        <v>-795771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2054</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789487</v>
      </c>
      <c r="F182" s="466">
        <v>19299</v>
      </c>
      <c r="G182" s="466"/>
      <c r="H182" s="466"/>
      <c r="I182" s="467"/>
      <c r="J182" s="467"/>
      <c r="K182" s="1670">
        <f>SUM(C182:J182)</f>
        <v>808786</v>
      </c>
      <c r="L182" s="466">
        <v>765542</v>
      </c>
    </row>
    <row r="183" spans="1:14" ht="12.75" customHeight="1" thickBot="1" x14ac:dyDescent="0.25">
      <c r="A183" s="1509"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0</v>
      </c>
      <c r="D184" s="1676">
        <f t="shared" ref="D184:J184" si="17">SUM(D180,D182,D183)</f>
        <v>0</v>
      </c>
      <c r="E184" s="1676">
        <f t="shared" si="17"/>
        <v>789487</v>
      </c>
      <c r="F184" s="1676">
        <f t="shared" si="17"/>
        <v>19299</v>
      </c>
      <c r="G184" s="1676">
        <f t="shared" si="17"/>
        <v>0</v>
      </c>
      <c r="H184" s="1676">
        <f t="shared" si="17"/>
        <v>0</v>
      </c>
      <c r="I184" s="1676">
        <f t="shared" si="17"/>
        <v>0</v>
      </c>
      <c r="J184" s="1676">
        <f t="shared" si="17"/>
        <v>0</v>
      </c>
      <c r="K184" s="1676">
        <f>SUM(K180,K182,K183)</f>
        <v>808786</v>
      </c>
      <c r="L184" s="1676">
        <f>SUM(L180, L182:L183)</f>
        <v>765542</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v>0</v>
      </c>
    </row>
    <row r="189" spans="1:14" x14ac:dyDescent="0.2">
      <c r="A189" s="1504" t="s">
        <v>304</v>
      </c>
      <c r="B189" s="614">
        <v>4120</v>
      </c>
      <c r="C189" s="616"/>
      <c r="D189" s="616"/>
      <c r="E189" s="466"/>
      <c r="F189" s="616"/>
      <c r="G189" s="616"/>
      <c r="H189" s="466"/>
      <c r="I189" s="477"/>
      <c r="J189" s="616"/>
      <c r="K189" s="1670">
        <f t="shared" si="18"/>
        <v>0</v>
      </c>
      <c r="L189" s="466">
        <v>0</v>
      </c>
    </row>
    <row r="190" spans="1:14" x14ac:dyDescent="0.2">
      <c r="A190" s="1504" t="s">
        <v>305</v>
      </c>
      <c r="B190" s="628">
        <v>4130</v>
      </c>
      <c r="C190" s="616"/>
      <c r="D190" s="616"/>
      <c r="E190" s="466"/>
      <c r="F190" s="616"/>
      <c r="G190" s="616"/>
      <c r="H190" s="466"/>
      <c r="I190" s="477"/>
      <c r="J190" s="616"/>
      <c r="K190" s="1670">
        <f t="shared" si="18"/>
        <v>0</v>
      </c>
      <c r="L190" s="466">
        <v>0</v>
      </c>
    </row>
    <row r="191" spans="1:14" x14ac:dyDescent="0.2">
      <c r="A191" s="1504" t="s">
        <v>697</v>
      </c>
      <c r="B191" s="614">
        <v>4140</v>
      </c>
      <c r="C191" s="616"/>
      <c r="D191" s="616"/>
      <c r="E191" s="466"/>
      <c r="F191" s="616"/>
      <c r="G191" s="616"/>
      <c r="H191" s="466"/>
      <c r="I191" s="477"/>
      <c r="J191" s="616"/>
      <c r="K191" s="1670">
        <f t="shared" si="18"/>
        <v>0</v>
      </c>
      <c r="L191" s="466">
        <v>0</v>
      </c>
    </row>
    <row r="192" spans="1:14" x14ac:dyDescent="0.2">
      <c r="A192" s="1504" t="s">
        <v>86</v>
      </c>
      <c r="B192" s="614">
        <v>4170</v>
      </c>
      <c r="C192" s="616"/>
      <c r="D192" s="616"/>
      <c r="E192" s="466"/>
      <c r="F192" s="616"/>
      <c r="G192" s="616"/>
      <c r="H192" s="466"/>
      <c r="I192" s="477"/>
      <c r="J192" s="616"/>
      <c r="K192" s="1670">
        <f t="shared" si="18"/>
        <v>0</v>
      </c>
      <c r="L192" s="466">
        <v>0</v>
      </c>
    </row>
    <row r="193" spans="1:14" x14ac:dyDescent="0.2">
      <c r="A193" s="1508"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v>0</v>
      </c>
    </row>
    <row r="200" spans="1:14" x14ac:dyDescent="0.2">
      <c r="A200" s="1504" t="s">
        <v>88</v>
      </c>
      <c r="B200" s="614">
        <v>5120</v>
      </c>
      <c r="C200" s="616"/>
      <c r="D200" s="616"/>
      <c r="E200" s="616"/>
      <c r="F200" s="616"/>
      <c r="G200" s="616"/>
      <c r="H200" s="466"/>
      <c r="I200" s="616"/>
      <c r="J200" s="616"/>
      <c r="K200" s="1670">
        <f>SUM(H200)</f>
        <v>0</v>
      </c>
      <c r="L200" s="466">
        <v>0</v>
      </c>
    </row>
    <row r="201" spans="1:14" ht="12.75" customHeight="1" x14ac:dyDescent="0.2">
      <c r="A201" s="1504" t="s">
        <v>1170</v>
      </c>
      <c r="B201" s="628" t="s">
        <v>617</v>
      </c>
      <c r="C201" s="616"/>
      <c r="D201" s="616"/>
      <c r="E201" s="616"/>
      <c r="F201" s="616"/>
      <c r="G201" s="616"/>
      <c r="H201" s="466"/>
      <c r="I201" s="616"/>
      <c r="J201" s="616"/>
      <c r="K201" s="1670">
        <f>SUM(H201)</f>
        <v>0</v>
      </c>
      <c r="L201" s="466">
        <v>0</v>
      </c>
    </row>
    <row r="202" spans="1:14" x14ac:dyDescent="0.2">
      <c r="A202" s="1504" t="s">
        <v>89</v>
      </c>
      <c r="B202" s="614" t="s">
        <v>589</v>
      </c>
      <c r="C202" s="616"/>
      <c r="D202" s="616"/>
      <c r="E202" s="616"/>
      <c r="F202" s="616"/>
      <c r="G202" s="616"/>
      <c r="H202" s="466"/>
      <c r="I202" s="616"/>
      <c r="J202" s="616"/>
      <c r="K202" s="1670">
        <f>SUM(H202)</f>
        <v>0</v>
      </c>
      <c r="L202" s="466">
        <v>0</v>
      </c>
    </row>
    <row r="203" spans="1:14" x14ac:dyDescent="0.2">
      <c r="A203" s="1516"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1671</v>
      </c>
      <c r="B206" s="672" t="s">
        <v>31</v>
      </c>
      <c r="C206" s="616"/>
      <c r="D206" s="616"/>
      <c r="E206" s="616"/>
      <c r="F206" s="616"/>
      <c r="G206" s="616"/>
      <c r="H206" s="466"/>
      <c r="I206" s="616"/>
      <c r="J206" s="616"/>
      <c r="K206" s="1670">
        <f>SUM(H206)</f>
        <v>0</v>
      </c>
      <c r="L206" s="466">
        <v>0</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0</v>
      </c>
      <c r="D210" s="1669">
        <f>SUM(D184,D185)</f>
        <v>0</v>
      </c>
      <c r="E210" s="1669">
        <f>SUM(E184,E185,E196)</f>
        <v>789487</v>
      </c>
      <c r="F210" s="1669">
        <f>SUM(F184,F185)</f>
        <v>19299</v>
      </c>
      <c r="G210" s="1669">
        <f>SUM(G184,G185)</f>
        <v>0</v>
      </c>
      <c r="H210" s="1669">
        <f>SUM(H184,H185,H196,H208,H209)</f>
        <v>0</v>
      </c>
      <c r="I210" s="1669">
        <f>SUM(I184,I185)</f>
        <v>0</v>
      </c>
      <c r="J210" s="1669">
        <f>SUM(J184,J185)</f>
        <v>0</v>
      </c>
      <c r="K210" s="1670">
        <f>SUM(K184,K185,K196,K208,K209)</f>
        <v>808786</v>
      </c>
      <c r="L210" s="1669">
        <f>SUM(L184,L185,L196,L208,L209)</f>
        <v>765542</v>
      </c>
    </row>
    <row r="211" spans="1:14" ht="13.5" thickTop="1" x14ac:dyDescent="0.2">
      <c r="A211" s="2189" t="s">
        <v>996</v>
      </c>
      <c r="B211" s="2190"/>
      <c r="C211" s="618"/>
      <c r="D211" s="618"/>
      <c r="E211" s="618"/>
      <c r="F211" s="618"/>
      <c r="G211" s="618"/>
      <c r="H211" s="618"/>
      <c r="I211" s="616"/>
      <c r="J211" s="616"/>
      <c r="K211" s="1683">
        <f>'Revenues 9-14'!F268-'Expenditures 15-22'!K210</f>
        <v>37758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46544</v>
      </c>
      <c r="E215" s="616"/>
      <c r="F215" s="616"/>
      <c r="G215" s="616"/>
      <c r="H215" s="616"/>
      <c r="I215" s="616"/>
      <c r="J215" s="616"/>
      <c r="K215" s="1670">
        <f>D215</f>
        <v>46544</v>
      </c>
      <c r="L215" s="466">
        <v>54569</v>
      </c>
    </row>
    <row r="216" spans="1:14" x14ac:dyDescent="0.2">
      <c r="A216" s="1504" t="s">
        <v>163</v>
      </c>
      <c r="B216" s="614" t="s">
        <v>967</v>
      </c>
      <c r="C216" s="616"/>
      <c r="D216" s="467"/>
      <c r="E216" s="616"/>
      <c r="F216" s="616"/>
      <c r="G216" s="616"/>
      <c r="H216" s="616"/>
      <c r="I216" s="616"/>
      <c r="J216" s="616"/>
      <c r="K216" s="1670">
        <f t="shared" ref="K216:K228" si="19">D216</f>
        <v>0</v>
      </c>
      <c r="L216" s="466">
        <v>0</v>
      </c>
    </row>
    <row r="217" spans="1:14" x14ac:dyDescent="0.2">
      <c r="A217" s="1504" t="s">
        <v>164</v>
      </c>
      <c r="B217" s="614">
        <v>1200</v>
      </c>
      <c r="C217" s="616"/>
      <c r="D217" s="466">
        <v>32494</v>
      </c>
      <c r="E217" s="616"/>
      <c r="F217" s="616"/>
      <c r="G217" s="616"/>
      <c r="H217" s="616"/>
      <c r="I217" s="616"/>
      <c r="J217" s="616"/>
      <c r="K217" s="1670">
        <f t="shared" si="19"/>
        <v>32494</v>
      </c>
      <c r="L217" s="466">
        <v>33386</v>
      </c>
    </row>
    <row r="218" spans="1:14" x14ac:dyDescent="0.2">
      <c r="A218" s="1504" t="s">
        <v>278</v>
      </c>
      <c r="B218" s="614" t="s">
        <v>968</v>
      </c>
      <c r="C218" s="616"/>
      <c r="D218" s="467"/>
      <c r="E218" s="616"/>
      <c r="F218" s="616"/>
      <c r="G218" s="616"/>
      <c r="H218" s="616"/>
      <c r="I218" s="616"/>
      <c r="J218" s="616"/>
      <c r="K218" s="1670">
        <f t="shared" si="19"/>
        <v>0</v>
      </c>
      <c r="L218" s="466">
        <v>0</v>
      </c>
    </row>
    <row r="219" spans="1:14" x14ac:dyDescent="0.2">
      <c r="A219" s="1504" t="s">
        <v>279</v>
      </c>
      <c r="B219" s="614">
        <v>1250</v>
      </c>
      <c r="C219" s="616"/>
      <c r="D219" s="466">
        <v>16112</v>
      </c>
      <c r="E219" s="616"/>
      <c r="F219" s="616"/>
      <c r="G219" s="616"/>
      <c r="H219" s="616"/>
      <c r="I219" s="616"/>
      <c r="J219" s="616"/>
      <c r="K219" s="1670">
        <f t="shared" si="19"/>
        <v>16112</v>
      </c>
      <c r="L219" s="466">
        <v>16414</v>
      </c>
    </row>
    <row r="220" spans="1:14" x14ac:dyDescent="0.2">
      <c r="A220" s="1504" t="s">
        <v>280</v>
      </c>
      <c r="B220" s="614" t="s">
        <v>161</v>
      </c>
      <c r="C220" s="616"/>
      <c r="D220" s="467"/>
      <c r="E220" s="616"/>
      <c r="F220" s="616"/>
      <c r="G220" s="616"/>
      <c r="H220" s="616"/>
      <c r="I220" s="616"/>
      <c r="J220" s="616"/>
      <c r="K220" s="1670">
        <f t="shared" si="19"/>
        <v>0</v>
      </c>
      <c r="L220" s="466">
        <v>0</v>
      </c>
    </row>
    <row r="221" spans="1:14" x14ac:dyDescent="0.2">
      <c r="A221" s="1504" t="s">
        <v>962</v>
      </c>
      <c r="B221" s="614">
        <v>1300</v>
      </c>
      <c r="C221" s="616"/>
      <c r="D221" s="466">
        <v>20136</v>
      </c>
      <c r="E221" s="616"/>
      <c r="F221" s="616"/>
      <c r="G221" s="616"/>
      <c r="H221" s="616"/>
      <c r="I221" s="616"/>
      <c r="J221" s="616"/>
      <c r="K221" s="1670">
        <f t="shared" si="19"/>
        <v>20136</v>
      </c>
      <c r="L221" s="466">
        <v>23171</v>
      </c>
    </row>
    <row r="222" spans="1:14" x14ac:dyDescent="0.2">
      <c r="A222" s="1504" t="s">
        <v>723</v>
      </c>
      <c r="B222" s="614">
        <v>1400</v>
      </c>
      <c r="C222" s="616"/>
      <c r="D222" s="466">
        <v>6133</v>
      </c>
      <c r="E222" s="616"/>
      <c r="F222" s="616"/>
      <c r="G222" s="616"/>
      <c r="H222" s="616"/>
      <c r="I222" s="616"/>
      <c r="J222" s="616"/>
      <c r="K222" s="1670">
        <f t="shared" si="19"/>
        <v>6133</v>
      </c>
      <c r="L222" s="466">
        <v>6199</v>
      </c>
    </row>
    <row r="223" spans="1:14" x14ac:dyDescent="0.2">
      <c r="A223" s="1504" t="s">
        <v>963</v>
      </c>
      <c r="B223" s="614">
        <v>1500</v>
      </c>
      <c r="C223" s="616"/>
      <c r="D223" s="466">
        <v>38942</v>
      </c>
      <c r="E223" s="616"/>
      <c r="F223" s="616"/>
      <c r="G223" s="616"/>
      <c r="H223" s="616"/>
      <c r="I223" s="616"/>
      <c r="J223" s="616"/>
      <c r="K223" s="1670">
        <f t="shared" si="19"/>
        <v>38942</v>
      </c>
      <c r="L223" s="466">
        <v>36125</v>
      </c>
    </row>
    <row r="224" spans="1:14" x14ac:dyDescent="0.2">
      <c r="A224" s="1504" t="s">
        <v>964</v>
      </c>
      <c r="B224" s="614">
        <v>1600</v>
      </c>
      <c r="C224" s="616"/>
      <c r="D224" s="466">
        <v>2699</v>
      </c>
      <c r="E224" s="616"/>
      <c r="F224" s="616"/>
      <c r="G224" s="616"/>
      <c r="H224" s="616"/>
      <c r="I224" s="616"/>
      <c r="J224" s="616"/>
      <c r="K224" s="1670">
        <f t="shared" si="19"/>
        <v>2699</v>
      </c>
      <c r="L224" s="466">
        <v>3911</v>
      </c>
    </row>
    <row r="225" spans="1:12" x14ac:dyDescent="0.2">
      <c r="A225" s="1504" t="s">
        <v>987</v>
      </c>
      <c r="B225" s="614">
        <v>1650</v>
      </c>
      <c r="C225" s="616"/>
      <c r="D225" s="466"/>
      <c r="E225" s="616"/>
      <c r="F225" s="616"/>
      <c r="G225" s="616"/>
      <c r="H225" s="616"/>
      <c r="I225" s="616"/>
      <c r="J225" s="616"/>
      <c r="K225" s="1670">
        <f t="shared" si="19"/>
        <v>0</v>
      </c>
      <c r="L225" s="466">
        <v>0</v>
      </c>
    </row>
    <row r="226" spans="1:12" x14ac:dyDescent="0.2">
      <c r="A226" s="1504" t="s">
        <v>724</v>
      </c>
      <c r="B226" s="614" t="s">
        <v>162</v>
      </c>
      <c r="C226" s="616"/>
      <c r="D226" s="467">
        <v>1755</v>
      </c>
      <c r="E226" s="616"/>
      <c r="F226" s="616"/>
      <c r="G226" s="616"/>
      <c r="H226" s="616"/>
      <c r="I226" s="616"/>
      <c r="J226" s="616"/>
      <c r="K226" s="1670">
        <f t="shared" si="19"/>
        <v>1755</v>
      </c>
      <c r="L226" s="466">
        <v>2086</v>
      </c>
    </row>
    <row r="227" spans="1:12" x14ac:dyDescent="0.2">
      <c r="A227" s="1504" t="s">
        <v>1087</v>
      </c>
      <c r="B227" s="614">
        <v>1800</v>
      </c>
      <c r="C227" s="616"/>
      <c r="D227" s="466"/>
      <c r="E227" s="616"/>
      <c r="F227" s="616"/>
      <c r="G227" s="616"/>
      <c r="H227" s="616"/>
      <c r="I227" s="616"/>
      <c r="J227" s="616"/>
      <c r="K227" s="1670">
        <f t="shared" si="19"/>
        <v>0</v>
      </c>
      <c r="L227" s="466">
        <v>0</v>
      </c>
    </row>
    <row r="228" spans="1:12" x14ac:dyDescent="0.2">
      <c r="A228" s="1504" t="s">
        <v>1088</v>
      </c>
      <c r="B228" s="614">
        <v>1900</v>
      </c>
      <c r="C228" s="616"/>
      <c r="D228" s="466">
        <v>9915</v>
      </c>
      <c r="E228" s="616"/>
      <c r="F228" s="616"/>
      <c r="G228" s="616"/>
      <c r="H228" s="616"/>
      <c r="I228" s="616"/>
      <c r="J228" s="616"/>
      <c r="K228" s="1670">
        <f t="shared" si="19"/>
        <v>9915</v>
      </c>
      <c r="L228" s="466">
        <v>9220</v>
      </c>
    </row>
    <row r="229" spans="1:12" ht="12.75" customHeight="1" thickBot="1" x14ac:dyDescent="0.25">
      <c r="A229" s="1667" t="s">
        <v>715</v>
      </c>
      <c r="B229" s="1674" t="s">
        <v>570</v>
      </c>
      <c r="C229" s="616"/>
      <c r="D229" s="1669">
        <f>SUM(D215:D228)</f>
        <v>174730</v>
      </c>
      <c r="E229" s="616"/>
      <c r="F229" s="616"/>
      <c r="G229" s="616"/>
      <c r="H229" s="616"/>
      <c r="I229" s="616"/>
      <c r="J229" s="616"/>
      <c r="K229" s="1669">
        <f>SUM(K215:K228)</f>
        <v>174730</v>
      </c>
      <c r="L229" s="1669">
        <f>SUM(L215:L228)</f>
        <v>185081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26436</v>
      </c>
      <c r="E232" s="616"/>
      <c r="F232" s="616"/>
      <c r="G232" s="616"/>
      <c r="H232" s="616"/>
      <c r="I232" s="616"/>
      <c r="J232" s="616"/>
      <c r="K232" s="1670">
        <f t="shared" ref="K232:K237" si="20">D232</f>
        <v>26436</v>
      </c>
      <c r="L232" s="466">
        <v>26977</v>
      </c>
    </row>
    <row r="233" spans="1:12" x14ac:dyDescent="0.2">
      <c r="A233" s="1504" t="s">
        <v>1090</v>
      </c>
      <c r="B233" s="614">
        <v>2120</v>
      </c>
      <c r="C233" s="616"/>
      <c r="D233" s="466">
        <v>23498</v>
      </c>
      <c r="E233" s="616"/>
      <c r="F233" s="616"/>
      <c r="G233" s="616"/>
      <c r="H233" s="616"/>
      <c r="I233" s="616"/>
      <c r="J233" s="616"/>
      <c r="K233" s="1670">
        <f t="shared" si="20"/>
        <v>23498</v>
      </c>
      <c r="L233" s="466">
        <v>25390</v>
      </c>
    </row>
    <row r="234" spans="1:12" x14ac:dyDescent="0.2">
      <c r="A234" s="1504" t="s">
        <v>198</v>
      </c>
      <c r="B234" s="614">
        <v>2130</v>
      </c>
      <c r="C234" s="616"/>
      <c r="D234" s="466"/>
      <c r="E234" s="616"/>
      <c r="F234" s="616"/>
      <c r="G234" s="616"/>
      <c r="H234" s="616"/>
      <c r="I234" s="616"/>
      <c r="J234" s="616"/>
      <c r="K234" s="1670">
        <f t="shared" si="20"/>
        <v>0</v>
      </c>
      <c r="L234" s="466">
        <v>0</v>
      </c>
    </row>
    <row r="235" spans="1:12" x14ac:dyDescent="0.2">
      <c r="A235" s="1504" t="s">
        <v>199</v>
      </c>
      <c r="B235" s="614">
        <v>2140</v>
      </c>
      <c r="C235" s="616"/>
      <c r="D235" s="466"/>
      <c r="E235" s="616"/>
      <c r="F235" s="616"/>
      <c r="G235" s="616"/>
      <c r="H235" s="616"/>
      <c r="I235" s="616"/>
      <c r="J235" s="616"/>
      <c r="K235" s="1670">
        <f t="shared" si="20"/>
        <v>0</v>
      </c>
      <c r="L235" s="466">
        <v>0</v>
      </c>
    </row>
    <row r="236" spans="1:12" x14ac:dyDescent="0.2">
      <c r="A236" s="1504" t="s">
        <v>200</v>
      </c>
      <c r="B236" s="614">
        <v>2150</v>
      </c>
      <c r="C236" s="616"/>
      <c r="D236" s="466"/>
      <c r="E236" s="616"/>
      <c r="F236" s="616"/>
      <c r="G236" s="616"/>
      <c r="H236" s="616"/>
      <c r="I236" s="616"/>
      <c r="J236" s="616"/>
      <c r="K236" s="1670">
        <f t="shared" si="20"/>
        <v>0</v>
      </c>
      <c r="L236" s="466">
        <v>0</v>
      </c>
    </row>
    <row r="237" spans="1:12" x14ac:dyDescent="0.2">
      <c r="A237" s="1504" t="s">
        <v>165</v>
      </c>
      <c r="B237" s="614">
        <v>2190</v>
      </c>
      <c r="C237" s="616"/>
      <c r="D237" s="466">
        <v>46866</v>
      </c>
      <c r="E237" s="616"/>
      <c r="F237" s="616"/>
      <c r="G237" s="616"/>
      <c r="H237" s="616"/>
      <c r="I237" s="616"/>
      <c r="J237" s="616"/>
      <c r="K237" s="1670">
        <f t="shared" si="20"/>
        <v>46866</v>
      </c>
      <c r="L237" s="466">
        <v>53508</v>
      </c>
    </row>
    <row r="238" spans="1:12" ht="12.75" customHeight="1" thickBot="1" x14ac:dyDescent="0.25">
      <c r="A238" s="1667" t="s">
        <v>560</v>
      </c>
      <c r="B238" s="1674" t="s">
        <v>716</v>
      </c>
      <c r="C238" s="616"/>
      <c r="D238" s="1669">
        <f>SUM(D232:D237)</f>
        <v>96800</v>
      </c>
      <c r="E238" s="616"/>
      <c r="F238" s="616"/>
      <c r="G238" s="616"/>
      <c r="H238" s="616"/>
      <c r="I238" s="616"/>
      <c r="J238" s="616"/>
      <c r="K238" s="1669">
        <f>SUM(K232:K237)</f>
        <v>96800</v>
      </c>
      <c r="L238" s="1669">
        <f>SUM(L232:L237)</f>
        <v>105875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322</v>
      </c>
      <c r="E240" s="616"/>
      <c r="F240" s="616"/>
      <c r="G240" s="616"/>
      <c r="H240" s="616"/>
      <c r="I240" s="616"/>
      <c r="J240" s="616"/>
      <c r="K240" s="1671">
        <f>D240</f>
        <v>322</v>
      </c>
      <c r="L240" s="481">
        <v>65</v>
      </c>
    </row>
    <row r="241" spans="1:12" x14ac:dyDescent="0.2">
      <c r="A241" s="1504" t="s">
        <v>815</v>
      </c>
      <c r="B241" s="614">
        <v>2220</v>
      </c>
      <c r="C241" s="616"/>
      <c r="D241" s="466">
        <v>5608</v>
      </c>
      <c r="E241" s="616"/>
      <c r="F241" s="616"/>
      <c r="G241" s="616"/>
      <c r="H241" s="616"/>
      <c r="I241" s="616"/>
      <c r="J241" s="616"/>
      <c r="K241" s="1671">
        <f>D241</f>
        <v>5608</v>
      </c>
      <c r="L241" s="466">
        <v>6034</v>
      </c>
    </row>
    <row r="242" spans="1:12" x14ac:dyDescent="0.2">
      <c r="A242" s="1504" t="s">
        <v>816</v>
      </c>
      <c r="B242" s="614">
        <v>2230</v>
      </c>
      <c r="C242" s="616"/>
      <c r="D242" s="466">
        <v>666</v>
      </c>
      <c r="E242" s="616"/>
      <c r="F242" s="616"/>
      <c r="G242" s="616"/>
      <c r="H242" s="616"/>
      <c r="I242" s="616"/>
      <c r="J242" s="616"/>
      <c r="K242" s="1671">
        <f>D242</f>
        <v>666</v>
      </c>
      <c r="L242" s="466">
        <v>592</v>
      </c>
    </row>
    <row r="243" spans="1:12" ht="12.75" customHeight="1" thickBot="1" x14ac:dyDescent="0.25">
      <c r="A243" s="1693" t="s">
        <v>561</v>
      </c>
      <c r="B243" s="1694">
        <v>2200</v>
      </c>
      <c r="C243" s="616"/>
      <c r="D243" s="1669">
        <f>SUM(D240:D242)</f>
        <v>6596</v>
      </c>
      <c r="E243" s="616"/>
      <c r="F243" s="616"/>
      <c r="G243" s="616"/>
      <c r="H243" s="616"/>
      <c r="I243" s="616"/>
      <c r="J243" s="616"/>
      <c r="K243" s="1669">
        <f>SUM(K240:K242)</f>
        <v>6596</v>
      </c>
      <c r="L243" s="1669">
        <f>SUM(L240:L242)</f>
        <v>6691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2553</v>
      </c>
      <c r="E245" s="616"/>
      <c r="F245" s="616"/>
      <c r="G245" s="616"/>
      <c r="H245" s="616"/>
      <c r="I245" s="616"/>
      <c r="J245" s="616"/>
      <c r="K245" s="1671">
        <f>D245</f>
        <v>2553</v>
      </c>
      <c r="L245" s="481">
        <v>0</v>
      </c>
    </row>
    <row r="246" spans="1:12" x14ac:dyDescent="0.2">
      <c r="A246" s="1504" t="s">
        <v>818</v>
      </c>
      <c r="B246" s="614">
        <v>2320</v>
      </c>
      <c r="C246" s="616"/>
      <c r="D246" s="466">
        <v>19848</v>
      </c>
      <c r="E246" s="616"/>
      <c r="F246" s="616"/>
      <c r="G246" s="616"/>
      <c r="H246" s="616"/>
      <c r="I246" s="616"/>
      <c r="J246" s="616"/>
      <c r="K246" s="1671">
        <f t="shared" ref="K246:K256" si="21">D246</f>
        <v>19848</v>
      </c>
      <c r="L246" s="466">
        <v>21721</v>
      </c>
    </row>
    <row r="247" spans="1:12" x14ac:dyDescent="0.2">
      <c r="A247" s="1504" t="s">
        <v>819</v>
      </c>
      <c r="B247" s="614">
        <v>2330</v>
      </c>
      <c r="C247" s="616"/>
      <c r="D247" s="466">
        <v>104</v>
      </c>
      <c r="E247" s="616"/>
      <c r="F247" s="616"/>
      <c r="G247" s="616"/>
      <c r="H247" s="616"/>
      <c r="I247" s="616"/>
      <c r="J247" s="616"/>
      <c r="K247" s="1671">
        <f t="shared" si="21"/>
        <v>104</v>
      </c>
      <c r="L247" s="466">
        <v>2767</v>
      </c>
    </row>
    <row r="248" spans="1:12" x14ac:dyDescent="0.2">
      <c r="A248" s="1505" t="s">
        <v>299</v>
      </c>
      <c r="B248" s="602" t="s">
        <v>281</v>
      </c>
      <c r="C248" s="616"/>
      <c r="D248" s="474"/>
      <c r="E248" s="616"/>
      <c r="F248" s="616"/>
      <c r="G248" s="616"/>
      <c r="H248" s="616"/>
      <c r="I248" s="616"/>
      <c r="J248" s="616"/>
      <c r="K248" s="1671">
        <f t="shared" si="21"/>
        <v>0</v>
      </c>
      <c r="L248" s="466">
        <v>0</v>
      </c>
    </row>
    <row r="249" spans="1:12" x14ac:dyDescent="0.2">
      <c r="A249" s="1506" t="s">
        <v>1801</v>
      </c>
      <c r="B249" s="683" t="s">
        <v>282</v>
      </c>
      <c r="C249" s="616"/>
      <c r="D249" s="474"/>
      <c r="E249" s="616"/>
      <c r="F249" s="616"/>
      <c r="G249" s="616"/>
      <c r="H249" s="616"/>
      <c r="I249" s="616"/>
      <c r="J249" s="616"/>
      <c r="K249" s="1671">
        <f t="shared" si="21"/>
        <v>0</v>
      </c>
      <c r="L249" s="466">
        <v>0</v>
      </c>
    </row>
    <row r="250" spans="1:12" x14ac:dyDescent="0.2">
      <c r="A250" s="1505" t="s">
        <v>1802</v>
      </c>
      <c r="B250" s="602" t="s">
        <v>283</v>
      </c>
      <c r="C250" s="616"/>
      <c r="D250" s="474"/>
      <c r="E250" s="616"/>
      <c r="F250" s="616"/>
      <c r="G250" s="616"/>
      <c r="H250" s="616"/>
      <c r="I250" s="616"/>
      <c r="J250" s="616"/>
      <c r="K250" s="1671">
        <f t="shared" si="21"/>
        <v>0</v>
      </c>
      <c r="L250" s="466">
        <v>0</v>
      </c>
    </row>
    <row r="251" spans="1:12" x14ac:dyDescent="0.2">
      <c r="A251" s="1505" t="s">
        <v>238</v>
      </c>
      <c r="B251" s="602" t="s">
        <v>284</v>
      </c>
      <c r="C251" s="616"/>
      <c r="D251" s="474"/>
      <c r="E251" s="616"/>
      <c r="F251" s="616"/>
      <c r="G251" s="616"/>
      <c r="H251" s="616"/>
      <c r="I251" s="616"/>
      <c r="J251" s="616"/>
      <c r="K251" s="1671">
        <f t="shared" si="21"/>
        <v>0</v>
      </c>
      <c r="L251" s="466">
        <v>0</v>
      </c>
    </row>
    <row r="252" spans="1:12" x14ac:dyDescent="0.2">
      <c r="A252" s="1505" t="s">
        <v>702</v>
      </c>
      <c r="B252" s="602" t="s">
        <v>285</v>
      </c>
      <c r="C252" s="616"/>
      <c r="D252" s="474"/>
      <c r="E252" s="616"/>
      <c r="F252" s="616"/>
      <c r="G252" s="616"/>
      <c r="H252" s="616"/>
      <c r="I252" s="616"/>
      <c r="J252" s="616"/>
      <c r="K252" s="1671">
        <f t="shared" si="21"/>
        <v>0</v>
      </c>
      <c r="L252" s="466">
        <v>0</v>
      </c>
    </row>
    <row r="253" spans="1:12" x14ac:dyDescent="0.2">
      <c r="A253" s="1505" t="s">
        <v>239</v>
      </c>
      <c r="B253" s="602" t="s">
        <v>286</v>
      </c>
      <c r="C253" s="616"/>
      <c r="D253" s="474"/>
      <c r="E253" s="616"/>
      <c r="F253" s="616"/>
      <c r="G253" s="616"/>
      <c r="H253" s="616"/>
      <c r="I253" s="616"/>
      <c r="J253" s="616"/>
      <c r="K253" s="1671">
        <f t="shared" si="21"/>
        <v>0</v>
      </c>
      <c r="L253" s="466">
        <v>0</v>
      </c>
    </row>
    <row r="254" spans="1:12" ht="22.5" x14ac:dyDescent="0.2">
      <c r="A254" s="1505" t="s">
        <v>1029</v>
      </c>
      <c r="B254" s="683" t="s">
        <v>287</v>
      </c>
      <c r="C254" s="616"/>
      <c r="D254" s="474"/>
      <c r="E254" s="616"/>
      <c r="F254" s="616"/>
      <c r="G254" s="616"/>
      <c r="H254" s="616"/>
      <c r="I254" s="616"/>
      <c r="J254" s="616"/>
      <c r="K254" s="1671">
        <f t="shared" si="21"/>
        <v>0</v>
      </c>
      <c r="L254" s="466">
        <v>0</v>
      </c>
    </row>
    <row r="255" spans="1:12" x14ac:dyDescent="0.2">
      <c r="A255" s="1505" t="s">
        <v>1030</v>
      </c>
      <c r="B255" s="602" t="s">
        <v>288</v>
      </c>
      <c r="C255" s="616"/>
      <c r="D255" s="474"/>
      <c r="E255" s="616"/>
      <c r="F255" s="616"/>
      <c r="G255" s="616"/>
      <c r="H255" s="616"/>
      <c r="I255" s="616"/>
      <c r="J255" s="616"/>
      <c r="K255" s="1671">
        <f t="shared" si="21"/>
        <v>0</v>
      </c>
      <c r="L255" s="466">
        <v>0</v>
      </c>
    </row>
    <row r="256" spans="1:12" x14ac:dyDescent="0.2">
      <c r="A256" s="1505"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22505</v>
      </c>
      <c r="E257" s="616"/>
      <c r="F257" s="616"/>
      <c r="G257" s="616"/>
      <c r="H257" s="616"/>
      <c r="I257" s="616"/>
      <c r="J257" s="616"/>
      <c r="K257" s="1669">
        <f>SUM(K245:K256)</f>
        <v>22505</v>
      </c>
      <c r="L257" s="1669">
        <f>SUM(L245:L256)</f>
        <v>24488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23978</v>
      </c>
      <c r="E259" s="616"/>
      <c r="F259" s="616"/>
      <c r="G259" s="616"/>
      <c r="H259" s="616"/>
      <c r="I259" s="616"/>
      <c r="J259" s="616"/>
      <c r="K259" s="1671">
        <f>D259</f>
        <v>23978</v>
      </c>
      <c r="L259" s="481">
        <v>29056</v>
      </c>
    </row>
    <row r="260" spans="1:14" s="597" customFormat="1" x14ac:dyDescent="0.2">
      <c r="A260" s="1522" t="s">
        <v>1800</v>
      </c>
      <c r="B260" s="628">
        <v>2490</v>
      </c>
      <c r="C260" s="616"/>
      <c r="D260" s="466">
        <v>3367</v>
      </c>
      <c r="E260" s="616"/>
      <c r="F260" s="616"/>
      <c r="G260" s="616"/>
      <c r="H260" s="616"/>
      <c r="I260" s="616"/>
      <c r="J260" s="616"/>
      <c r="K260" s="1671">
        <f>D260</f>
        <v>3367</v>
      </c>
      <c r="L260" s="466">
        <v>0</v>
      </c>
      <c r="M260" s="210"/>
      <c r="N260" s="210"/>
    </row>
    <row r="261" spans="1:14" ht="12.75" customHeight="1" thickBot="1" x14ac:dyDescent="0.25">
      <c r="A261" s="1691" t="s">
        <v>263</v>
      </c>
      <c r="B261" s="1696" t="s">
        <v>34</v>
      </c>
      <c r="C261" s="616"/>
      <c r="D261" s="1669">
        <f>SUM(D259:D260)</f>
        <v>27345</v>
      </c>
      <c r="E261" s="616"/>
      <c r="F261" s="616"/>
      <c r="G261" s="616"/>
      <c r="H261" s="616"/>
      <c r="I261" s="616"/>
      <c r="J261" s="616"/>
      <c r="K261" s="1669">
        <f>SUM(K259:K260)</f>
        <v>27345</v>
      </c>
      <c r="L261" s="1669">
        <f>SUM(L259:L260)</f>
        <v>29056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9383</v>
      </c>
      <c r="E263" s="616"/>
      <c r="F263" s="616"/>
      <c r="G263" s="616"/>
      <c r="H263" s="616"/>
      <c r="I263" s="616"/>
      <c r="J263" s="616"/>
      <c r="K263" s="1671">
        <f>D263</f>
        <v>9383</v>
      </c>
      <c r="L263" s="481">
        <v>10240</v>
      </c>
    </row>
    <row r="264" spans="1:14" x14ac:dyDescent="0.2">
      <c r="A264" s="1504" t="s">
        <v>463</v>
      </c>
      <c r="B264" s="685">
        <v>2520</v>
      </c>
      <c r="C264" s="616"/>
      <c r="D264" s="466">
        <v>17829</v>
      </c>
      <c r="E264" s="616"/>
      <c r="F264" s="616"/>
      <c r="G264" s="616"/>
      <c r="H264" s="616"/>
      <c r="I264" s="616"/>
      <c r="J264" s="616"/>
      <c r="K264" s="1671">
        <f t="shared" ref="K264:K269" si="22">D264</f>
        <v>17829</v>
      </c>
      <c r="L264" s="466">
        <v>18603</v>
      </c>
    </row>
    <row r="265" spans="1:14" x14ac:dyDescent="0.2">
      <c r="A265" s="1504" t="s">
        <v>4</v>
      </c>
      <c r="B265" s="614">
        <v>2530</v>
      </c>
      <c r="C265" s="616"/>
      <c r="D265" s="466"/>
      <c r="E265" s="616"/>
      <c r="F265" s="616"/>
      <c r="G265" s="616"/>
      <c r="H265" s="616"/>
      <c r="I265" s="616"/>
      <c r="J265" s="616"/>
      <c r="K265" s="1671">
        <f t="shared" si="22"/>
        <v>0</v>
      </c>
      <c r="L265" s="466">
        <v>0</v>
      </c>
    </row>
    <row r="266" spans="1:14" x14ac:dyDescent="0.2">
      <c r="A266" s="1504" t="s">
        <v>197</v>
      </c>
      <c r="B266" s="614">
        <v>2540</v>
      </c>
      <c r="C266" s="616"/>
      <c r="D266" s="466">
        <v>45479</v>
      </c>
      <c r="E266" s="616"/>
      <c r="F266" s="616"/>
      <c r="G266" s="616"/>
      <c r="H266" s="616"/>
      <c r="I266" s="616"/>
      <c r="J266" s="616"/>
      <c r="K266" s="1671">
        <f t="shared" si="22"/>
        <v>45479</v>
      </c>
      <c r="L266" s="466">
        <v>62107</v>
      </c>
    </row>
    <row r="267" spans="1:14" x14ac:dyDescent="0.2">
      <c r="A267" s="1504" t="s">
        <v>953</v>
      </c>
      <c r="B267" s="614">
        <v>2550</v>
      </c>
      <c r="C267" s="616"/>
      <c r="D267" s="466"/>
      <c r="E267" s="616"/>
      <c r="F267" s="616"/>
      <c r="G267" s="616"/>
      <c r="H267" s="616"/>
      <c r="I267" s="616"/>
      <c r="J267" s="616"/>
      <c r="K267" s="1671">
        <f t="shared" si="22"/>
        <v>0</v>
      </c>
      <c r="L267" s="466">
        <v>0</v>
      </c>
    </row>
    <row r="268" spans="1:14" x14ac:dyDescent="0.2">
      <c r="A268" s="1504" t="s">
        <v>100</v>
      </c>
      <c r="B268" s="614">
        <v>2560</v>
      </c>
      <c r="C268" s="616"/>
      <c r="D268" s="466">
        <v>33293</v>
      </c>
      <c r="E268" s="616"/>
      <c r="F268" s="616"/>
      <c r="G268" s="616"/>
      <c r="H268" s="616"/>
      <c r="I268" s="616"/>
      <c r="J268" s="616"/>
      <c r="K268" s="1671">
        <f t="shared" si="22"/>
        <v>33293</v>
      </c>
      <c r="L268" s="466">
        <v>40043</v>
      </c>
    </row>
    <row r="269" spans="1:14" x14ac:dyDescent="0.2">
      <c r="A269" s="1504"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105984</v>
      </c>
      <c r="E270" s="616"/>
      <c r="F270" s="616"/>
      <c r="G270" s="616"/>
      <c r="H270" s="616"/>
      <c r="I270" s="616"/>
      <c r="J270" s="616"/>
      <c r="K270" s="1669">
        <f>SUM(K263:K269)</f>
        <v>105984</v>
      </c>
      <c r="L270" s="1669">
        <f>SUM(L263:L269)</f>
        <v>130993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v>0</v>
      </c>
    </row>
    <row r="273" spans="1:12" x14ac:dyDescent="0.2">
      <c r="A273" s="1504" t="s">
        <v>607</v>
      </c>
      <c r="B273" s="628">
        <v>2620</v>
      </c>
      <c r="C273" s="616"/>
      <c r="D273" s="466"/>
      <c r="E273" s="616"/>
      <c r="F273" s="616"/>
      <c r="G273" s="616"/>
      <c r="H273" s="616"/>
      <c r="I273" s="616"/>
      <c r="J273" s="616"/>
      <c r="K273" s="1671">
        <f>D273</f>
        <v>0</v>
      </c>
      <c r="L273" s="466">
        <v>0</v>
      </c>
    </row>
    <row r="274" spans="1:12" ht="12" customHeight="1" x14ac:dyDescent="0.2">
      <c r="A274" s="1504" t="s">
        <v>1061</v>
      </c>
      <c r="B274" s="614">
        <v>2630</v>
      </c>
      <c r="C274" s="616"/>
      <c r="D274" s="466"/>
      <c r="E274" s="616"/>
      <c r="F274" s="616"/>
      <c r="G274" s="616"/>
      <c r="H274" s="616"/>
      <c r="I274" s="616"/>
      <c r="J274" s="616"/>
      <c r="K274" s="1671">
        <f>D274</f>
        <v>0</v>
      </c>
      <c r="L274" s="466">
        <v>0</v>
      </c>
    </row>
    <row r="275" spans="1:12" x14ac:dyDescent="0.2">
      <c r="A275" s="1504" t="s">
        <v>403</v>
      </c>
      <c r="B275" s="614">
        <v>2640</v>
      </c>
      <c r="C275" s="616"/>
      <c r="D275" s="466"/>
      <c r="E275" s="616"/>
      <c r="F275" s="616"/>
      <c r="G275" s="616"/>
      <c r="H275" s="616"/>
      <c r="I275" s="616"/>
      <c r="J275" s="616"/>
      <c r="K275" s="1671">
        <f>D275</f>
        <v>0</v>
      </c>
      <c r="L275" s="466">
        <v>0</v>
      </c>
    </row>
    <row r="276" spans="1:12" x14ac:dyDescent="0.2">
      <c r="A276" s="1504"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v>21858</v>
      </c>
      <c r="E278" s="616"/>
      <c r="F278" s="616"/>
      <c r="G278" s="616"/>
      <c r="H278" s="616"/>
      <c r="I278" s="616"/>
      <c r="J278" s="616"/>
      <c r="K278" s="1684">
        <f>D278</f>
        <v>21858</v>
      </c>
      <c r="L278" s="656">
        <v>23950</v>
      </c>
    </row>
    <row r="279" spans="1:12" ht="12.75" customHeight="1" thickBot="1" x14ac:dyDescent="0.25">
      <c r="A279" s="1697" t="s">
        <v>811</v>
      </c>
      <c r="B279" s="1680">
        <v>2000</v>
      </c>
      <c r="C279" s="616"/>
      <c r="D279" s="1676">
        <f>SUM(D238,D243,D257,D261,D270,D277,D278)</f>
        <v>281088</v>
      </c>
      <c r="E279" s="616"/>
      <c r="F279" s="616"/>
      <c r="G279" s="616"/>
      <c r="H279" s="616"/>
      <c r="I279" s="616"/>
      <c r="J279" s="616"/>
      <c r="K279" s="1676">
        <f>SUM(K238,K243,K257,K261,K270,K277,K278)</f>
        <v>281088</v>
      </c>
      <c r="L279" s="1676">
        <f>SUM(L238,L243,L257,L261,L270,L277,L278)</f>
        <v>321053</v>
      </c>
    </row>
    <row r="280" spans="1:12" ht="15.75" customHeight="1" thickTop="1" thickBot="1" x14ac:dyDescent="0.25">
      <c r="A280" s="1624" t="s">
        <v>875</v>
      </c>
      <c r="B280" s="1613">
        <v>3000</v>
      </c>
      <c r="C280" s="616"/>
      <c r="D280" s="576">
        <v>36263</v>
      </c>
      <c r="E280" s="616"/>
      <c r="F280" s="616"/>
      <c r="G280" s="616"/>
      <c r="H280" s="616"/>
      <c r="I280" s="616"/>
      <c r="J280" s="616"/>
      <c r="K280" s="1678">
        <f>D280</f>
        <v>36263</v>
      </c>
      <c r="L280" s="576">
        <v>41331</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1840</v>
      </c>
      <c r="C282" s="616"/>
      <c r="D282" s="467"/>
      <c r="E282" s="616"/>
      <c r="F282" s="616"/>
      <c r="G282" s="616"/>
      <c r="H282" s="616"/>
      <c r="I282" s="616"/>
      <c r="J282" s="616"/>
      <c r="K282" s="1670">
        <f>D282</f>
        <v>0</v>
      </c>
      <c r="L282" s="467">
        <v>0</v>
      </c>
    </row>
    <row r="283" spans="1:12" x14ac:dyDescent="0.2">
      <c r="A283" s="1504" t="s">
        <v>304</v>
      </c>
      <c r="B283" s="614">
        <v>4120</v>
      </c>
      <c r="C283" s="616"/>
      <c r="D283" s="466"/>
      <c r="E283" s="616"/>
      <c r="F283" s="616"/>
      <c r="G283" s="616"/>
      <c r="H283" s="616"/>
      <c r="I283" s="616"/>
      <c r="J283" s="616"/>
      <c r="K283" s="1670">
        <f>D283</f>
        <v>0</v>
      </c>
      <c r="L283" s="466">
        <v>0</v>
      </c>
    </row>
    <row r="284" spans="1:12" x14ac:dyDescent="0.2">
      <c r="A284" s="1504"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v>0</v>
      </c>
    </row>
    <row r="289" spans="1:14" x14ac:dyDescent="0.2">
      <c r="A289" s="1504" t="s">
        <v>88</v>
      </c>
      <c r="B289" s="614">
        <v>5120</v>
      </c>
      <c r="C289" s="616"/>
      <c r="D289" s="616"/>
      <c r="E289" s="616"/>
      <c r="F289" s="616"/>
      <c r="G289" s="616"/>
      <c r="H289" s="466"/>
      <c r="I289" s="616"/>
      <c r="J289" s="616"/>
      <c r="K289" s="1670">
        <f>H289</f>
        <v>0</v>
      </c>
      <c r="L289" s="466">
        <v>0</v>
      </c>
    </row>
    <row r="290" spans="1:14" ht="12.75" customHeight="1" x14ac:dyDescent="0.2">
      <c r="A290" s="1504" t="s">
        <v>1170</v>
      </c>
      <c r="B290" s="628" t="s">
        <v>617</v>
      </c>
      <c r="C290" s="616"/>
      <c r="D290" s="616"/>
      <c r="E290" s="616"/>
      <c r="F290" s="616"/>
      <c r="G290" s="616"/>
      <c r="H290" s="466"/>
      <c r="I290" s="616"/>
      <c r="J290" s="616"/>
      <c r="K290" s="1670">
        <f>H290</f>
        <v>0</v>
      </c>
      <c r="L290" s="466">
        <v>0</v>
      </c>
    </row>
    <row r="291" spans="1:14" x14ac:dyDescent="0.2">
      <c r="A291" s="1504" t="s">
        <v>89</v>
      </c>
      <c r="B291" s="614" t="s">
        <v>589</v>
      </c>
      <c r="C291" s="616"/>
      <c r="D291" s="616"/>
      <c r="E291" s="616"/>
      <c r="F291" s="616"/>
      <c r="G291" s="616"/>
      <c r="H291" s="466"/>
      <c r="I291" s="616"/>
      <c r="J291" s="616"/>
      <c r="K291" s="1670">
        <f>H291</f>
        <v>0</v>
      </c>
      <c r="L291" s="466">
        <v>0</v>
      </c>
    </row>
    <row r="292" spans="1:14" x14ac:dyDescent="0.2">
      <c r="A292" s="1504"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0" t="s">
        <v>505</v>
      </c>
      <c r="B295" s="2181"/>
      <c r="C295" s="616"/>
      <c r="D295" s="1669">
        <f>SUM(D229,D279,D280,D285)</f>
        <v>492081</v>
      </c>
      <c r="E295" s="616"/>
      <c r="F295" s="616"/>
      <c r="G295" s="616"/>
      <c r="H295" s="1669">
        <f>H293</f>
        <v>0</v>
      </c>
      <c r="I295" s="616"/>
      <c r="J295" s="616"/>
      <c r="K295" s="1669">
        <f>SUM(K229,K279,K280,K285,K293,K294)</f>
        <v>492081</v>
      </c>
      <c r="L295" s="1669">
        <f>SUM(L229,L279,L280,L285,L293,L294)</f>
        <v>547465</v>
      </c>
    </row>
    <row r="296" spans="1:14" ht="13.5" thickTop="1" x14ac:dyDescent="0.2">
      <c r="A296" s="2189" t="s">
        <v>996</v>
      </c>
      <c r="B296" s="2190"/>
      <c r="C296" s="616"/>
      <c r="D296" s="618"/>
      <c r="E296" s="616"/>
      <c r="F296" s="616"/>
      <c r="G296" s="616"/>
      <c r="H296" s="687"/>
      <c r="I296" s="616"/>
      <c r="J296" s="616"/>
      <c r="K296" s="1683">
        <f>'Revenues 9-14'!G268-'Expenditures 15-22'!K295</f>
        <v>10977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938132</v>
      </c>
      <c r="F301" s="466"/>
      <c r="G301" s="466"/>
      <c r="H301" s="466"/>
      <c r="I301" s="467"/>
      <c r="J301" s="467"/>
      <c r="K301" s="1670">
        <f>SUM(C301:J301)</f>
        <v>938132</v>
      </c>
      <c r="L301" s="467">
        <v>1172460</v>
      </c>
    </row>
    <row r="302" spans="1:14" ht="13.5" customHeight="1" x14ac:dyDescent="0.2">
      <c r="A302" s="1517"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938132</v>
      </c>
      <c r="F303" s="1676">
        <f t="shared" si="23"/>
        <v>0</v>
      </c>
      <c r="G303" s="1676">
        <f t="shared" si="23"/>
        <v>0</v>
      </c>
      <c r="H303" s="1676">
        <f t="shared" si="23"/>
        <v>0</v>
      </c>
      <c r="I303" s="1676">
        <f t="shared" si="23"/>
        <v>0</v>
      </c>
      <c r="J303" s="1676">
        <f t="shared" si="23"/>
        <v>0</v>
      </c>
      <c r="K303" s="1676">
        <f t="shared" si="23"/>
        <v>938132</v>
      </c>
      <c r="L303" s="1676">
        <f t="shared" si="23"/>
        <v>1172460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0">
        <f>SUM(E306,H306)</f>
        <v>0</v>
      </c>
      <c r="L306" s="467">
        <v>0</v>
      </c>
    </row>
    <row r="307" spans="1:14" x14ac:dyDescent="0.2">
      <c r="A307" s="1504" t="s">
        <v>304</v>
      </c>
      <c r="B307" s="614">
        <v>4120</v>
      </c>
      <c r="C307" s="616"/>
      <c r="D307" s="616"/>
      <c r="E307" s="467"/>
      <c r="F307" s="616"/>
      <c r="G307" s="616"/>
      <c r="H307" s="467"/>
      <c r="I307" s="477"/>
      <c r="J307" s="616"/>
      <c r="K307" s="1670">
        <f>SUM(E307,H307)</f>
        <v>0</v>
      </c>
      <c r="L307" s="466">
        <v>0</v>
      </c>
    </row>
    <row r="308" spans="1:14" x14ac:dyDescent="0.2">
      <c r="A308" s="1504" t="s">
        <v>697</v>
      </c>
      <c r="B308" s="614">
        <v>4140</v>
      </c>
      <c r="C308" s="616"/>
      <c r="D308" s="616"/>
      <c r="E308" s="467"/>
      <c r="F308" s="616"/>
      <c r="G308" s="616"/>
      <c r="H308" s="467"/>
      <c r="I308" s="477"/>
      <c r="J308" s="616"/>
      <c r="K308" s="1670">
        <f>SUM(E308,H308)</f>
        <v>0</v>
      </c>
      <c r="L308" s="466">
        <v>0</v>
      </c>
    </row>
    <row r="309" spans="1:14" ht="12.75" customHeight="1" x14ac:dyDescent="0.2">
      <c r="A309" s="1508"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7" t="s">
        <v>277</v>
      </c>
      <c r="B312" s="2178"/>
      <c r="C312" s="1669">
        <f>SUM(C303)</f>
        <v>0</v>
      </c>
      <c r="D312" s="1669">
        <f>SUM(D303)</f>
        <v>0</v>
      </c>
      <c r="E312" s="1669">
        <f>SUM(E303,E310)</f>
        <v>938132</v>
      </c>
      <c r="F312" s="1669">
        <f>SUM(F303)</f>
        <v>0</v>
      </c>
      <c r="G312" s="1669">
        <f>SUM(G303)</f>
        <v>0</v>
      </c>
      <c r="H312" s="1669">
        <f>SUM(H303,H310)</f>
        <v>0</v>
      </c>
      <c r="I312" s="1669">
        <f>SUM(I303)</f>
        <v>0</v>
      </c>
      <c r="J312" s="1669">
        <f>SUM(J303)</f>
        <v>0</v>
      </c>
      <c r="K312" s="1669">
        <f>SUM(K303,K310,K311)</f>
        <v>938132</v>
      </c>
      <c r="L312" s="1669">
        <f>SUM(L303,L310,L311)</f>
        <v>1172460</v>
      </c>
      <c r="M312" s="665"/>
      <c r="N312" s="665"/>
    </row>
    <row r="313" spans="1:14" ht="13.5" thickTop="1" x14ac:dyDescent="0.2">
      <c r="A313" s="2173" t="s">
        <v>996</v>
      </c>
      <c r="B313" s="2174"/>
      <c r="C313" s="626"/>
      <c r="D313" s="626"/>
      <c r="E313" s="626"/>
      <c r="F313" s="626"/>
      <c r="G313" s="626"/>
      <c r="H313" s="626"/>
      <c r="I313" s="626"/>
      <c r="J313" s="626"/>
      <c r="K313" s="1684">
        <f>'Revenues 9-14'!H268-'Expenditures 15-22'!K312</f>
        <v>-141753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3" t="s">
        <v>1801</v>
      </c>
      <c r="B320" s="698" t="s">
        <v>282</v>
      </c>
      <c r="C320" s="467"/>
      <c r="D320" s="467"/>
      <c r="E320" s="467"/>
      <c r="F320" s="467"/>
      <c r="G320" s="467"/>
      <c r="H320" s="467"/>
      <c r="I320" s="467"/>
      <c r="J320" s="467"/>
      <c r="K320" s="1670">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v>0</v>
      </c>
      <c r="M321" s="665"/>
      <c r="N321" s="665"/>
    </row>
    <row r="322" spans="1:14" s="674" customFormat="1" x14ac:dyDescent="0.2">
      <c r="A322" s="1519" t="s">
        <v>238</v>
      </c>
      <c r="B322" s="697" t="s">
        <v>284</v>
      </c>
      <c r="C322" s="467"/>
      <c r="D322" s="467"/>
      <c r="E322" s="467">
        <v>94357</v>
      </c>
      <c r="F322" s="467"/>
      <c r="G322" s="467"/>
      <c r="H322" s="467"/>
      <c r="I322" s="467"/>
      <c r="J322" s="467"/>
      <c r="K322" s="1670">
        <f t="shared" si="24"/>
        <v>94357</v>
      </c>
      <c r="L322" s="467">
        <v>245000</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9" t="s">
        <v>1029</v>
      </c>
      <c r="B325" s="698" t="s">
        <v>287</v>
      </c>
      <c r="C325" s="467"/>
      <c r="D325" s="467"/>
      <c r="E325" s="467">
        <v>77958</v>
      </c>
      <c r="F325" s="467"/>
      <c r="G325" s="467"/>
      <c r="H325" s="467"/>
      <c r="I325" s="467"/>
      <c r="J325" s="467"/>
      <c r="K325" s="1670">
        <f t="shared" si="24"/>
        <v>77958</v>
      </c>
      <c r="L325" s="467">
        <v>107000</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172315</v>
      </c>
      <c r="F330" s="1669">
        <f t="shared" si="25"/>
        <v>0</v>
      </c>
      <c r="G330" s="1669">
        <f t="shared" si="25"/>
        <v>0</v>
      </c>
      <c r="H330" s="1669">
        <f t="shared" si="25"/>
        <v>0</v>
      </c>
      <c r="I330" s="1669">
        <f t="shared" si="25"/>
        <v>0</v>
      </c>
      <c r="J330" s="1669">
        <f t="shared" si="25"/>
        <v>0</v>
      </c>
      <c r="K330" s="1669">
        <f>SUM(K319:K329)</f>
        <v>172315</v>
      </c>
      <c r="L330" s="1669">
        <f>SUM(L319:L329)</f>
        <v>352000</v>
      </c>
      <c r="M330" s="665"/>
      <c r="N330" s="665"/>
    </row>
    <row r="331" spans="1:14" s="674" customFormat="1" ht="12.75" customHeight="1" thickTop="1" x14ac:dyDescent="0.2">
      <c r="A331" s="1830" t="s">
        <v>1846</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1840</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1842</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1847</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v>0</v>
      </c>
    </row>
    <row r="338" spans="1:14" ht="12.75" customHeight="1" x14ac:dyDescent="0.2">
      <c r="A338" s="1518" t="s">
        <v>1170</v>
      </c>
      <c r="B338" s="690" t="s">
        <v>617</v>
      </c>
      <c r="C338" s="638"/>
      <c r="D338" s="638"/>
      <c r="E338" s="638"/>
      <c r="F338" s="638"/>
      <c r="G338" s="638"/>
      <c r="H338" s="478"/>
      <c r="I338" s="638"/>
      <c r="J338" s="638"/>
      <c r="K338" s="1670">
        <f>H338</f>
        <v>0</v>
      </c>
      <c r="L338" s="478">
        <v>0</v>
      </c>
    </row>
    <row r="339" spans="1:14" x14ac:dyDescent="0.2">
      <c r="A339" s="1504"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0</v>
      </c>
      <c r="D342" s="1669">
        <f>SUM(D330)</f>
        <v>0</v>
      </c>
      <c r="E342" s="1669">
        <f>SUM(E330)</f>
        <v>172315</v>
      </c>
      <c r="F342" s="1669">
        <f>SUM(F330)</f>
        <v>0</v>
      </c>
      <c r="G342" s="1669">
        <f>SUM(G330)</f>
        <v>0</v>
      </c>
      <c r="H342" s="1669">
        <f>SUM(H330,H334,H340)</f>
        <v>0</v>
      </c>
      <c r="I342" s="1669">
        <f>SUM(I330)</f>
        <v>0</v>
      </c>
      <c r="J342" s="1669">
        <f>SUM(J330)</f>
        <v>0</v>
      </c>
      <c r="K342" s="1669">
        <f>SUM(K330,K334,K340)</f>
        <v>172315</v>
      </c>
      <c r="L342" s="1676">
        <f>SUM(L330,L334,L340,L341)</f>
        <v>352000</v>
      </c>
    </row>
    <row r="343" spans="1:14" ht="12.75" customHeight="1" thickTop="1" x14ac:dyDescent="0.2">
      <c r="A343" s="2175" t="s">
        <v>996</v>
      </c>
      <c r="B343" s="2176"/>
      <c r="C343" s="616"/>
      <c r="D343" s="616"/>
      <c r="E343" s="616"/>
      <c r="F343" s="616"/>
      <c r="G343" s="616"/>
      <c r="H343" s="616"/>
      <c r="I343" s="616"/>
      <c r="J343" s="616"/>
      <c r="K343" s="1683">
        <f>'Revenues 9-14'!J268-'Expenditures 15-22'!K342</f>
        <v>176041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368510</v>
      </c>
      <c r="F348" s="466"/>
      <c r="G348" s="466"/>
      <c r="H348" s="466"/>
      <c r="I348" s="467"/>
      <c r="J348" s="467"/>
      <c r="K348" s="1670">
        <f>SUM(C348:J348)</f>
        <v>368510</v>
      </c>
      <c r="L348" s="466">
        <v>379607</v>
      </c>
    </row>
    <row r="349" spans="1:14" x14ac:dyDescent="0.2">
      <c r="A349" s="1504" t="s">
        <v>197</v>
      </c>
      <c r="B349" s="614">
        <v>2540</v>
      </c>
      <c r="C349" s="466"/>
      <c r="D349" s="466"/>
      <c r="E349" s="466"/>
      <c r="F349" s="466"/>
      <c r="G349" s="466"/>
      <c r="H349" s="466"/>
      <c r="I349" s="467"/>
      <c r="J349" s="467"/>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368510</v>
      </c>
      <c r="F350" s="1669">
        <f t="shared" si="26"/>
        <v>0</v>
      </c>
      <c r="G350" s="1669">
        <f t="shared" si="26"/>
        <v>0</v>
      </c>
      <c r="H350" s="1669">
        <f t="shared" si="26"/>
        <v>0</v>
      </c>
      <c r="I350" s="1669">
        <f t="shared" si="26"/>
        <v>0</v>
      </c>
      <c r="J350" s="1669">
        <f t="shared" si="26"/>
        <v>0</v>
      </c>
      <c r="K350" s="1669">
        <f t="shared" si="26"/>
        <v>368510</v>
      </c>
      <c r="L350" s="1669">
        <f t="shared" si="26"/>
        <v>379607</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368510</v>
      </c>
      <c r="F352" s="1669">
        <f t="shared" si="27"/>
        <v>0</v>
      </c>
      <c r="G352" s="1669">
        <f t="shared" si="27"/>
        <v>0</v>
      </c>
      <c r="H352" s="1669">
        <f t="shared" si="27"/>
        <v>0</v>
      </c>
      <c r="I352" s="1669">
        <f t="shared" si="27"/>
        <v>0</v>
      </c>
      <c r="J352" s="1669">
        <f t="shared" si="27"/>
        <v>0</v>
      </c>
      <c r="K352" s="1669">
        <f t="shared" si="27"/>
        <v>368510</v>
      </c>
      <c r="L352" s="1669">
        <f t="shared" si="27"/>
        <v>379607</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1848</v>
      </c>
      <c r="B354" s="683" t="s">
        <v>1840</v>
      </c>
      <c r="C354" s="616"/>
      <c r="D354" s="616"/>
      <c r="E354" s="616"/>
      <c r="F354" s="616"/>
      <c r="G354" s="616"/>
      <c r="H354" s="474"/>
      <c r="I354" s="701"/>
      <c r="J354" s="616"/>
      <c r="K354" s="1698">
        <f>H354</f>
        <v>0</v>
      </c>
      <c r="L354" s="471">
        <v>0</v>
      </c>
    </row>
    <row r="355" spans="1:14" ht="12.75" customHeight="1" x14ac:dyDescent="0.2">
      <c r="A355" s="1513" t="s">
        <v>1849</v>
      </c>
      <c r="B355" s="690" t="s">
        <v>1842</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v>0</v>
      </c>
    </row>
    <row r="361" spans="1:14" ht="12.75" customHeight="1" x14ac:dyDescent="0.2">
      <c r="A361" s="1505"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368510</v>
      </c>
      <c r="F367" s="1669">
        <f t="shared" si="28"/>
        <v>0</v>
      </c>
      <c r="G367" s="1669">
        <f t="shared" si="28"/>
        <v>0</v>
      </c>
      <c r="H367" s="1669">
        <f t="shared" si="28"/>
        <v>0</v>
      </c>
      <c r="I367" s="1669">
        <f t="shared" si="28"/>
        <v>0</v>
      </c>
      <c r="J367" s="1669">
        <f t="shared" si="28"/>
        <v>0</v>
      </c>
      <c r="K367" s="1669">
        <f t="shared" si="28"/>
        <v>368510</v>
      </c>
      <c r="L367" s="1669">
        <f t="shared" si="28"/>
        <v>379607</v>
      </c>
    </row>
    <row r="368" spans="1:14" ht="13.5" thickTop="1" x14ac:dyDescent="0.2">
      <c r="A368" s="2189" t="s">
        <v>996</v>
      </c>
      <c r="B368" s="2190"/>
      <c r="C368" s="654"/>
      <c r="D368" s="654"/>
      <c r="E368" s="626"/>
      <c r="F368" s="626"/>
      <c r="G368" s="626"/>
      <c r="H368" s="626"/>
      <c r="I368" s="626"/>
      <c r="J368" s="623"/>
      <c r="K368" s="1670">
        <f>'Revenues 9-14'!K268-'Expenditures 15-22'!K367</f>
        <v>-184031</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purl.org/dc/dcmitype/"/>
    <ds:schemaRef ds:uri="http://schemas.microsoft.com/sharepoint/v3"/>
    <ds:schemaRef ds:uri="http://schemas.microsoft.com/office/2006/documentManagement/types"/>
    <ds:schemaRef ds:uri="http://schemas.microsoft.com/office/infopath/2007/PartnerControls"/>
    <ds:schemaRef ds:uri="http://purl.org/dc/elements/1.1/"/>
    <ds:schemaRef ds:uri="4d435f69-8686-490b-bd6d-b153bf22ab50"/>
    <ds:schemaRef ds:uri="http://schemas.microsoft.com/office/2006/metadata/properties"/>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2019-10-23T18:49:38Z</cp:lastPrinted>
  <dcterms:created xsi:type="dcterms:W3CDTF">2003-10-29T19:06:34Z</dcterms:created>
  <dcterms:modified xsi:type="dcterms:W3CDTF">2019-12-04T16:36:16Z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