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A9759315-8CF7-45DE-9ED7-ED065FFD49A5}" xr6:coauthVersionLast="36" xr6:coauthVersionMax="36" xr10:uidLastSave="{00000000-0000-0000-0000-000000000000}"/>
  <bookViews>
    <workbookView xWindow="2037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301" i="29" l="1"/>
  <c r="C4" i="3" l="1"/>
  <c r="G50" i="29" l="1"/>
  <c r="F50" i="29"/>
  <c r="E50" i="29"/>
  <c r="C50" i="29"/>
  <c r="D45" i="29"/>
  <c r="E45" i="29"/>
  <c r="E10" i="29"/>
  <c r="D280" i="29"/>
  <c r="C107" i="5"/>
  <c r="D5" i="29" l="1"/>
  <c r="D219" i="29" l="1"/>
  <c r="D215" i="29"/>
  <c r="C182" i="29"/>
  <c r="F61" i="29"/>
  <c r="G75" i="29" l="1"/>
  <c r="E75" i="29"/>
  <c r="F8" i="29"/>
  <c r="G7" i="29"/>
  <c r="E5" i="29"/>
  <c r="C96" i="5"/>
  <c r="E301" i="29" l="1"/>
  <c r="D268" i="29"/>
  <c r="D267" i="29"/>
  <c r="D266" i="29"/>
  <c r="D264" i="29"/>
  <c r="D259" i="29"/>
  <c r="D246" i="29"/>
  <c r="D241" i="29"/>
  <c r="D240" i="29"/>
  <c r="D227" i="29"/>
  <c r="D223" i="29"/>
  <c r="D216" i="29"/>
  <c r="F182" i="29"/>
  <c r="E182" i="29"/>
  <c r="D182" i="29"/>
  <c r="F124" i="29"/>
  <c r="E124" i="29"/>
  <c r="D124" i="29"/>
  <c r="C124" i="29"/>
  <c r="F75" i="29"/>
  <c r="D75" i="29"/>
  <c r="C75" i="29"/>
  <c r="E73" i="29"/>
  <c r="F63" i="29"/>
  <c r="E63" i="29"/>
  <c r="D63" i="29"/>
  <c r="C63" i="29"/>
  <c r="G61" i="29"/>
  <c r="E61" i="29"/>
  <c r="D61" i="29"/>
  <c r="C61" i="29"/>
  <c r="C60" i="29"/>
  <c r="E59" i="29"/>
  <c r="F55" i="29"/>
  <c r="E55" i="29"/>
  <c r="D55" i="29"/>
  <c r="D50" i="29"/>
  <c r="F49" i="29"/>
  <c r="E49" i="29"/>
  <c r="E46" i="29"/>
  <c r="F45" i="29"/>
  <c r="C45" i="29"/>
  <c r="H44" i="29"/>
  <c r="F44" i="29"/>
  <c r="E44" i="29"/>
  <c r="D44" i="29"/>
  <c r="C44" i="29"/>
  <c r="E36" i="29"/>
  <c r="F18" i="29"/>
  <c r="E18" i="29"/>
  <c r="D18" i="29"/>
  <c r="C18" i="29"/>
  <c r="H14" i="29"/>
  <c r="F14" i="29"/>
  <c r="E14" i="29"/>
  <c r="D14" i="29"/>
  <c r="C14" i="29"/>
  <c r="H10" i="29"/>
  <c r="F10" i="29"/>
  <c r="D10" i="29"/>
  <c r="C10" i="29"/>
  <c r="H8" i="29"/>
  <c r="G8" i="29"/>
  <c r="E8" i="29"/>
  <c r="D8" i="29"/>
  <c r="C8" i="29"/>
  <c r="F7" i="29"/>
  <c r="C7" i="29"/>
  <c r="E7" i="29"/>
  <c r="D7" i="29"/>
  <c r="H5" i="29"/>
  <c r="G5" i="29"/>
  <c r="F5" i="29"/>
  <c r="C5" i="29"/>
  <c r="C159" i="5"/>
  <c r="C191" i="5"/>
  <c r="C146" i="5"/>
  <c r="C81"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C14" i="4" s="1"/>
  <c r="B2558" i="106" s="1"/>
  <c r="D2558" i="106" s="1"/>
  <c r="K130" i="29"/>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K93" i="29"/>
  <c r="B6997" i="106" s="1"/>
  <c r="D6997" i="106" s="1"/>
  <c r="K94" i="29"/>
  <c r="K95" i="29"/>
  <c r="B7001" i="106" s="1"/>
  <c r="D7001" i="106" s="1"/>
  <c r="K96" i="29"/>
  <c r="K97" i="29"/>
  <c r="K98" i="29"/>
  <c r="K99" i="29"/>
  <c r="B7010" i="106" s="1"/>
  <c r="D7010" i="106" s="1"/>
  <c r="K101" i="29"/>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B7090" i="106" s="1"/>
  <c r="D7090" i="106" s="1"/>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F31" i="108"/>
  <c r="F36" i="108"/>
  <c r="F37" i="108"/>
  <c r="G28" i="108"/>
  <c r="E30" i="108"/>
  <c r="D31" i="108"/>
  <c r="D36" i="108"/>
  <c r="D37" i="108"/>
  <c r="E31" i="108"/>
  <c r="G31" i="108"/>
  <c r="G33" i="108"/>
  <c r="E34" i="108"/>
  <c r="G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B2633" i="106"/>
  <c r="D2633" i="106" s="1"/>
  <c r="D7" i="118"/>
  <c r="D8" i="118"/>
  <c r="D9" i="118"/>
  <c r="H14" i="118"/>
  <c r="H19" i="118"/>
  <c r="H24" i="118"/>
  <c r="H28" i="118"/>
  <c r="J22" i="37"/>
  <c r="L22" i="37"/>
  <c r="D24" i="37"/>
  <c r="B4270" i="106" s="1"/>
  <c r="D4270" i="106" s="1"/>
  <c r="D9" i="7"/>
  <c r="B1767" i="106" s="1"/>
  <c r="D1767" i="106" s="1"/>
  <c r="D11" i="37" l="1"/>
  <c r="F70" i="34"/>
  <c r="F62" i="34"/>
  <c r="E38" i="108"/>
  <c r="E35" i="108"/>
  <c r="F26" i="108"/>
  <c r="D26" i="108"/>
  <c r="D68" i="36"/>
  <c r="B6995" i="106"/>
  <c r="D6995" i="106" s="1"/>
  <c r="B6289" i="106"/>
  <c r="D6289" i="106" s="1"/>
  <c r="B3647" i="106"/>
  <c r="D3647" i="106" s="1"/>
  <c r="K76" i="4"/>
  <c r="B3586" i="106" s="1"/>
  <c r="D3586" i="106" s="1"/>
  <c r="B1126" i="106"/>
  <c r="D1126" i="106" s="1"/>
  <c r="D54" i="36"/>
  <c r="N22" i="3"/>
  <c r="B283" i="106" s="1"/>
  <c r="D283" i="106" s="1"/>
  <c r="G14" i="4"/>
  <c r="B2609" i="106" s="1"/>
  <c r="D2609" i="106" s="1"/>
  <c r="H29" i="118"/>
  <c r="K28" i="118" s="1"/>
  <c r="O27" i="118" s="1"/>
  <c r="O29" i="118" s="1"/>
  <c r="D31" i="36"/>
  <c r="D22" i="37"/>
  <c r="H33" i="118"/>
  <c r="F42" i="34"/>
  <c r="D69" i="36"/>
  <c r="J77" i="4"/>
  <c r="B6262" i="106" s="1"/>
  <c r="D6262" i="106" s="1"/>
  <c r="B1124" i="106"/>
  <c r="D1124" i="106" s="1"/>
  <c r="F49" i="34"/>
  <c r="L5" i="11"/>
  <c r="B2056" i="106" s="1"/>
  <c r="D2056" i="106" s="1"/>
  <c r="F19" i="7"/>
  <c r="B1807" i="106" s="1"/>
  <c r="D1807" i="106" s="1"/>
  <c r="F50" i="34"/>
  <c r="B7047" i="106"/>
  <c r="D7047" i="106" s="1"/>
  <c r="B1274" i="106"/>
  <c r="D1274" i="106" s="1"/>
  <c r="L342" i="29"/>
  <c r="F34" i="34"/>
  <c r="E28" i="108"/>
  <c r="F28" i="108"/>
  <c r="F41" i="108" s="1"/>
  <c r="G43" i="108" s="1"/>
  <c r="F52" i="34"/>
  <c r="G39" i="108"/>
  <c r="G38" i="108"/>
  <c r="G30" i="108"/>
  <c r="E29" i="108"/>
  <c r="G29" i="108"/>
  <c r="D27" i="108"/>
  <c r="D41" i="108" s="1"/>
  <c r="E43" i="108" s="1"/>
  <c r="D17" i="7"/>
  <c r="B4104" i="106" s="1"/>
  <c r="D4104" i="106" s="1"/>
  <c r="F46" i="34"/>
  <c r="H76" i="4"/>
  <c r="B3298" i="106" s="1"/>
  <c r="D3298" i="106" s="1"/>
  <c r="F44" i="34"/>
  <c r="J352" i="29"/>
  <c r="J367" i="29" s="1"/>
  <c r="B7245" i="106" s="1"/>
  <c r="D7245" i="106" s="1"/>
  <c r="D6103" i="106"/>
  <c r="K41" i="3"/>
  <c r="L15" i="11"/>
  <c r="B3459" i="106" s="1"/>
  <c r="D3459" i="106" s="1"/>
  <c r="L13" i="11"/>
  <c r="B2060" i="106" s="1"/>
  <c r="D2060" i="106" s="1"/>
  <c r="C129" i="29"/>
  <c r="C342" i="29"/>
  <c r="B7216" i="106" s="1"/>
  <c r="D7216" i="106" s="1"/>
  <c r="J41" i="3"/>
  <c r="D51" i="36" s="1"/>
  <c r="H365" i="29"/>
  <c r="B7242" i="106" s="1"/>
  <c r="D7242" i="106" s="1"/>
  <c r="F77" i="4"/>
  <c r="B3255" i="106" s="1"/>
  <c r="D3255" i="106" s="1"/>
  <c r="K184" i="29"/>
  <c r="F13" i="4" s="1"/>
  <c r="B2596" i="106" s="1"/>
  <c r="D2596" i="106" s="1"/>
  <c r="G210" i="29"/>
  <c r="G15" i="145"/>
  <c r="L367" i="29"/>
  <c r="B1308" i="106"/>
  <c r="D1308" i="106" s="1"/>
  <c r="E174" i="29"/>
  <c r="B1309" i="106" s="1"/>
  <c r="D130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H77" i="4" l="1"/>
  <c r="B3299" i="106" s="1"/>
  <c r="D3299" i="106" s="1"/>
  <c r="K77" i="4"/>
  <c r="B3587" i="106" s="1"/>
  <c r="D3587" i="106" s="1"/>
  <c r="D7255" i="106"/>
  <c r="D7252" i="106"/>
  <c r="B7235" i="106"/>
  <c r="D7235" i="106" s="1"/>
  <c r="B1328" i="106"/>
  <c r="D1328" i="106" s="1"/>
  <c r="L16" i="11"/>
  <c r="B2061" i="106" s="1"/>
  <c r="D2061" i="106" s="1"/>
  <c r="B2031" i="106"/>
  <c r="D2031" i="106" s="1"/>
  <c r="L114" i="29"/>
  <c r="D44" i="36"/>
  <c r="B1381" i="106"/>
  <c r="D1381" i="106" s="1"/>
  <c r="B1317" i="106"/>
  <c r="D1317" i="106" s="1"/>
  <c r="B5527" i="106"/>
  <c r="D5527" i="106" s="1"/>
  <c r="D7256" i="106"/>
  <c r="C114" i="29"/>
  <c r="B757" i="106" s="1"/>
  <c r="D757" i="106" s="1"/>
  <c r="B3568" i="106"/>
  <c r="D3568" i="106" s="1"/>
  <c r="D52" i="36"/>
  <c r="D7251" i="106"/>
  <c r="D7253" i="106"/>
  <c r="F174" i="34"/>
  <c r="D7254" i="106"/>
  <c r="D7250" i="106"/>
  <c r="B5778" i="106"/>
  <c r="D5778" i="106" s="1"/>
  <c r="G6" i="4"/>
  <c r="B2604" i="106" s="1"/>
  <c r="D2604" i="106" s="1"/>
  <c r="K342" i="29"/>
  <c r="F13" i="34" s="1"/>
  <c r="B5770" i="106"/>
  <c r="D5770" i="106" s="1"/>
  <c r="B1365" i="106"/>
  <c r="D1365" i="106" s="1"/>
  <c r="F65" i="34"/>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B6223" i="106" l="1"/>
  <c r="D6223" i="106" s="1"/>
  <c r="K17" i="4"/>
  <c r="B3575" i="106" s="1"/>
  <c r="D357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C11" i="14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B1644" i="106"/>
  <c r="D1644" i="106" s="1"/>
  <c r="D82" i="4"/>
  <c r="B6268" i="106" s="1"/>
  <c r="D6268"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<sst xmlns="http://schemas.openxmlformats.org/spreadsheetml/2006/main" count="5067" uniqueCount="2093">
  <si>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</si>
  <si>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</si>
  <si>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</si>
  <si>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</si>
  <si>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</si>
  <si>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</si>
  <si>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</si>
  <si>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</si>
  <si>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</si>
  <si>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</si>
  <si>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</si>
  <si>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</si>
  <si>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</si>
  <si>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</si>
  <si>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</si>
  <si>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</si>
  <si>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</si>
  <si>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</si>
  <si>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</si>
  <si>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</si>
  <si>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</si>
  <si>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</si>
  <si>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</si>
  <si>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</si>
  <si>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</si>
  <si>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</si>
  <si>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</si>
  <si>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</si>
  <si>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</si>
  <si>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</si>
  <si>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</si>
  <si>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</si>
  <si>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</si>
  <si>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</si>
  <si>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</si>
  <si>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</si>
  <si>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</si>
  <si>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</si>
  <si>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</si>
  <si>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</si>
  <si>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</si>
  <si>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</si>
  <si>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</si>
  <si>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</si>
  <si>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</si>
  <si>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</si>
  <si>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</si>
  <si>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</si>
  <si>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</si>
  <si>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</si>
  <si>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</si>
  <si>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</si>
  <si>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</si>
  <si>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</si>
  <si>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</si>
  <si>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</si>
  <si>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</si>
  <si>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</si>
  <si>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</si>
  <si>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</si>
  <si>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</si>
  <si>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</si>
  <si>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</si>
  <si>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</si>
  <si>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</si>
  <si>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</si>
  <si>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</si>
  <si>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</si>
  <si>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</si>
  <si>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</si>
  <si>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</si>
  <si>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</si>
  <si>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</si>
  <si>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</si>
  <si>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</si>
  <si>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</si>
  <si>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</si>
  <si>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</si>
  <si>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</si>
  <si>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</si>
  <si>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</si>
  <si>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</si>
  <si>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</si>
  <si>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</si>
  <si>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</si>
  <si>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</si>
  <si>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</si>
  <si>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</si>
  <si>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</si>
  <si>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</si>
  <si>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</si>
  <si>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</si>
  <si>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</si>
  <si>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</si>
  <si>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</si>
  <si>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</si>
  <si>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</si>
  <si>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</si>
  <si>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</si>
  <si>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</si>
  <si>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</si>
  <si>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</si>
  <si>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</si>
  <si>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</si>
  <si>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</si>
  <si>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</si>
  <si>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</si>
  <si>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</si>
  <si>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</si>
  <si>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</si>
  <si>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</si>
  <si>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</si>
  <si>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</si>
  <si>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</si>
  <si>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</si>
  <si>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</si>
  <si>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</si>
  <si>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</si>
  <si>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</si>
  <si>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</si>
  <si>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</si>
  <si>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</si>
  <si>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</si>
  <si>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</si>
  <si>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</si>
  <si>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</si>
  <si>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</si>
  <si>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</si>
  <si>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</si>
  <si>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</si>
  <si>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</si>
  <si>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</si>
  <si>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</si>
  <si>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</si>
  <si>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</si>
  <si>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</si>
  <si>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</si>
  <si>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</si>
  <si>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</si>
  <si>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</si>
  <si>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</si>
  <si>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</si>
  <si>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</si>
  <si>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</si>
  <si>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</si>
  <si>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</si>
  <si>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</si>
  <si>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</si>
  <si>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</si>
  <si>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</si>
  <si>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</si>
  <si>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</si>
  <si>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</si>
  <si>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</si>
  <si>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</si>
  <si>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</si>
  <si>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</si>
  <si>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</si>
  <si>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</si>
  <si>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</si>
  <si>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</si>
  <si>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</si>
  <si>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</si>
  <si>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</si>
  <si>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</si>
  <si>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</si>
  <si>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</si>
  <si>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</si>
  <si>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</si>
  <si>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</si>
  <si>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</si>
  <si>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</si>
  <si>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</si>
  <si>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</si>
  <si>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</si>
  <si>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</si>
  <si>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</si>
  <si>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</si>
  <si>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</si>
  <si>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</si>
  <si>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</si>
  <si>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</si>
  <si>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</si>
  <si>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</si>
  <si>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</si>
  <si>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</si>
  <si>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</si>
  <si>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</si>
  <si>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</si>
  <si>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</si>
  <si>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</si>
  <si>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</si>
  <si>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</si>
  <si>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</si>
  <si>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</si>
  <si>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</si>
  <si>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</si>
  <si>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</si>
  <si>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</si>
  <si>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</si>
  <si>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</si>
  <si>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</si>
  <si>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</si>
  <si>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</si>
  <si>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</si>
  <si>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</si>
  <si>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</si>
  <si>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</si>
  <si>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</si>
  <si>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</si>
  <si>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</si>
  <si>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</si>
  <si>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</si>
  <si>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</si>
  <si>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</si>
  <si>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</si>
  <si>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</si>
  <si>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</si>
  <si>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</si>
  <si>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</si>
  <si>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</si>
  <si>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</si>
  <si>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</si>
  <si>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</si>
  <si>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</si>
  <si>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</si>
  <si>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</si>
  <si>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</si>
  <si>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</si>
  <si>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</si>
  <si>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</si>
  <si>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</si>
  <si>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</si>
  <si>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</si>
  <si>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</si>
  <si>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</si>
  <si>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</si>
  <si>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</si>
  <si>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</si>
  <si>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</si>
  <si>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</si>
  <si>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</si>
  <si>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</si>
  <si>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</si>
  <si>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</si>
  <si>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</si>
  <si>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</si>
  <si>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</si>
  <si>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</si>
  <si>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</si>
  <si>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</si>
  <si>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</si>
  <si>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</si>
  <si>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</si>
  <si>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</si>
  <si>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</si>
  <si>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</si>
  <si>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</si>
  <si>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</si>
  <si>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</si>
  <si>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</si>
  <si>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</si>
  <si>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</si>
  <si>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</si>
  <si>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</si>
  <si>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</si>
  <si>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</si>
  <si>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</si>
  <si>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</si>
  <si>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</si>
  <si>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</si>
  <si>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</si>
  <si>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</si>
  <si>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</si>
  <si>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</si>
  <si>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</si>
  <si>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</si>
  <si>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</si>
  <si>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</si>
  <si>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</si>
  <si>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</si>
  <si>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</si>
  <si>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</si>
  <si>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</si>
  <si>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</si>
  <si>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</si>
  <si>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</si>
  <si>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</si>
  <si>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</si>
  <si>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</si>
  <si>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</si>
  <si>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</si>
  <si>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</si>
  <si>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</si>
  <si>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</si>
  <si>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</si>
  <si>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</si>
  <si>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</si>
  <si>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</si>
  <si>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</si>
  <si>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</si>
  <si>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</si>
  <si>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</si>
  <si>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</si>
  <si>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</si>
  <si>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</si>
  <si>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</si>
  <si>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</si>
  <si>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</si>
  <si>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</si>
  <si>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</si>
  <si>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</si>
  <si>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</si>
  <si>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</si>
  <si>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</si>
  <si>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</si>
  <si>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</si>
  <si>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</si>
  <si>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</si>
  <si>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</si>
  <si>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</si>
  <si>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</si>
  <si>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</si>
  <si>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</si>
  <si>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</si>
  <si>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</si>
  <si>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</si>
  <si>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</si>
  <si>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</si>
  <si>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</si>
  <si>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</si>
  <si>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</si>
  <si>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</si>
  <si>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</si>
  <si>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</si>
  <si>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</si>
  <si>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</si>
  <si>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</si>
  <si>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</si>
  <si>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</si>
  <si>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</si>
  <si>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</si>
  <si>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</si>
  <si>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</si>
  <si>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</si>
  <si>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</si>
  <si>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</si>
  <si>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</si>
  <si>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</si>
  <si>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</si>
  <si>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</si>
  <si>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</si>
  <si>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</si>
  <si>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</si>
  <si>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</si>
  <si>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</si>
  <si>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</si>
  <si>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</si>
  <si>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</si>
  <si>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</si>
  <si>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</si>
  <si>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</si>
  <si>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</si>
  <si>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</si>
  <si>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</si>
  <si>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</si>
  <si>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</si>
  <si>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</si>
  <si>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</si>
  <si>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</si>
  <si>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</si>
  <si>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</si>
  <si>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</si>
  <si>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</si>
  <si>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</si>
  <si>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</si>
  <si>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</si>
  <si>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</si>
  <si>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</si>
  <si>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</si>
  <si>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</si>
  <si>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</si>
  <si>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</si>
  <si>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</si>
  <si>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</si>
  <si>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</si>
  <si>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</si>
  <si>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</si>
  <si>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</si>
  <si>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</si>
  <si>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</si>
  <si>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</si>
  <si>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</si>
  <si>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</si>
  <si>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</si>
  <si>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</si>
  <si>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</si>
  <si>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</si>
  <si>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</si>
  <si>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</si>
  <si>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</si>
  <si>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</si>
  <si>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</si>
  <si>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</si>
  <si>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</si>
  <si>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</si>
  <si>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</si>
  <si>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</si>
  <si>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</si>
  <si>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</si>
  <si>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</si>
  <si>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</si>
  <si>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</si>
  <si>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</si>
  <si>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</si>
  <si>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</si>
  <si>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</si>
  <si>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</si>
  <si>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</si>
  <si>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</si>
  <si>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</si>
  <si>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</si>
  <si>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</si>
  <si>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</si>
  <si>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</si>
  <si>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</si>
  <si>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</si>
  <si>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</si>
  <si>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</si>
  <si>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</si>
  <si>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</si>
  <si>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</si>
  <si>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</si>
  <si>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</si>
  <si>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</si>
  <si>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</si>
  <si>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</si>
  <si>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</si>
  <si>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</si>
  <si>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</si>
  <si>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</si>
  <si>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</si>
  <si>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</si>
  <si>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</si>
  <si>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</si>
  <si>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</si>
  <si>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</si>
  <si>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</si>
  <si>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</si>
  <si>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</si>
  <si>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</si>
  <si>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</si>
  <si>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</si>
  <si>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</si>
  <si>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</si>
  <si>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</si>
  <si>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</si>
  <si>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</si>
  <si>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</si>
  <si>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</si>
  <si>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</si>
  <si>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</si>
  <si>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</si>
  <si>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</si>
  <si>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</si>
  <si>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</si>
  <si>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</si>
  <si>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</si>
  <si>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</si>
  <si>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</si>
  <si>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</si>
  <si>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</si>
  <si>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</si>
  <si>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</si>
  <si>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</si>
  <si>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</si>
  <si>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</si>
  <si>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</si>
  <si>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</si>
  <si>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</si>
  <si>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</si>
  <si>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</si>
  <si>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</si>
  <si>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</si>
  <si>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</si>
  <si>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</si>
  <si>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</si>
  <si>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</si>
  <si>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</si>
  <si>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</si>
  <si>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</si>
  <si>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</si>
  <si>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</si>
  <si>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</si>
  <si>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</si>
  <si>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</si>
  <si>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</si>
  <si>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</si>
  <si>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</si>
  <si>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</si>
  <si>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</si>
  <si>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</si>
  <si>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</si>
  <si>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</si>
  <si>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</si>
  <si>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</si>
  <si>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</si>
  <si>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</si>
  <si>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</si>
  <si>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</si>
  <si>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</si>
  <si>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</si>
  <si>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</si>
  <si>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</si>
  <si>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</si>
  <si>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</si>
  <si>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</si>
  <si>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</si>
  <si>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</si>
  <si>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</si>
  <si>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</si>
  <si>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</si>
  <si>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</si>
  <si>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</si>
  <si>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</si>
  <si>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</si>
  <si>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</si>
  <si>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</si>
  <si>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</si>
  <si>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</si>
  <si>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</si>
  <si>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</si>
  <si>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</si>
  <si>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</si>
  <si>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</si>
  <si>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</si>
  <si>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</si>
  <si>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</si>
  <si>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</si>
  <si>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</si>
  <si>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</si>
  <si>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</si>
  <si>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</si>
  <si>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</si>
  <si>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</si>
  <si>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</si>
  <si>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</si>
  <si>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</si>
  <si>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</si>
  <si>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</si>
  <si>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</si>
  <si>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</si>
  <si>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</si>
  <si>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</si>
  <si>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</si>
  <si>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</si>
  <si>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</si>
  <si>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</si>
  <si>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</si>
  <si>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</si>
  <si>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</si>
  <si>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</si>
  <si>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</si>
  <si>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</si>
  <si>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</si>
  <si>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</si>
  <si>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</si>
  <si>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</si>
  <si>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</si>
  <si>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</si>
  <si>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</si>
  <si>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</si>
  <si>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</si>
  <si>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</si>
  <si>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</si>
  <si>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</si>
  <si>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</si>
  <si>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</si>
  <si>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</si>
  <si>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</si>
  <si>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</si>
  <si>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</si>
  <si>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</si>
  <si>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</si>
  <si>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</si>
  <si>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</si>
  <si>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</si>
  <si>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</si>
  <si>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</si>
  <si>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</si>
  <si>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</si>
  <si>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</si>
  <si>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</si>
  <si>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</si>
  <si>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</si>
  <si>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</si>
  <si>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</si>
  <si>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</si>
  <si>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</si>
  <si>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</si>
  <si>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</si>
  <si>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</si>
  <si>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</si>
  <si>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</si>
  <si>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</si>
  <si>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</si>
  <si>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</si>
  <si>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</si>
  <si>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</si>
  <si>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</si>
  <si>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</si>
  <si>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</si>
  <si>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</si>
  <si>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</si>
  <si>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</si>
  <si>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</si>
  <si>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</si>
  <si>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</si>
  <si>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</si>
  <si>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</si>
  <si>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</si>
  <si>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</si>
  <si>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</si>
  <si>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</si>
  <si>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</si>
  <si>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</si>
  <si>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</si>
  <si>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</si>
  <si>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</si>
  <si>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</si>
  <si>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</si>
  <si>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</si>
  <si>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</si>
  <si>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</si>
  <si>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</si>
  <si>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</si>
  <si>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</si>
  <si>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</si>
  <si>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</si>
  <si>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</si>
  <si>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</si>
  <si>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</si>
  <si>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</si>
  <si>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</si>
  <si>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</si>
  <si>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</si>
  <si>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</si>
  <si>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</si>
  <si>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</si>
  <si>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</si>
  <si>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</si>
  <si>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</si>
  <si>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</si>
  <si>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</si>
  <si>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</si>
  <si>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</si>
  <si>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</si>
  <si>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</si>
  <si>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</si>
  <si>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</si>
  <si>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</si>
  <si>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</si>
  <si>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</si>
  <si>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</si>
  <si>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</si>
  <si>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</si>
  <si>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</si>
  <si>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</si>
  <si>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</si>
  <si>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</si>
  <si>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</si>
  <si>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</si>
  <si>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</si>
  <si>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</si>
  <si>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</si>
  <si>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</si>
  <si>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</si>
  <si>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</si>
  <si>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</si>
  <si>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</si>
  <si>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</si>
  <si>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</si>
  <si>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</si>
  <si>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</si>
  <si>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</si>
  <si>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</si>
  <si>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</si>
  <si>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</si>
  <si>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</si>
  <si>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</si>
  <si>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</si>
  <si>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</si>
  <si>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</si>
  <si>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</si>
  <si>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</si>
  <si>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</si>
  <si>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</si>
  <si>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</si>
  <si>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</si>
  <si>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</si>
  <si>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</si>
  <si>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</si>
  <si>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</si>
  <si>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</si>
  <si>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</si>
  <si>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</si>
  <si>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</si>
  <si>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</si>
  <si>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</si>
  <si>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</si>
  <si>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</si>
  <si>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</si>
  <si>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</si>
  <si>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</si>
  <si>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</si>
  <si>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</si>
  <si>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</si>
  <si>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</si>
  <si>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</si>
  <si>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</si>
  <si>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</si>
  <si>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</si>
  <si>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</si>
  <si>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</si>
  <si>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</si>
  <si>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</si>
  <si>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</si>
  <si>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</si>
  <si>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</si>
  <si>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</si>
  <si>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</si>
  <si>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</si>
  <si>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</si>
  <si>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</si>
  <si>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</si>
  <si>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</si>
  <si>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</si>
  <si>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</si>
  <si>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</si>
  <si>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</si>
  <si>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</si>
  <si>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</si>
  <si>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</si>
  <si>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</si>
  <si>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</si>
  <si>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</si>
  <si>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</si>
  <si>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</si>
  <si>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</si>
  <si>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</si>
  <si>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</si>
  <si>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</si>
  <si>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</si>
  <si>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</si>
  <si>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</si>
  <si>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</si>
  <si>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</si>
  <si>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</si>
  <si>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</si>
  <si>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</si>
  <si>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</si>
  <si>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</si>
  <si>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</si>
  <si>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</si>
  <si>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</si>
  <si>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</si>
  <si>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</si>
  <si>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</si>
  <si>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</si>
  <si>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</si>
  <si>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</si>
  <si>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</si>
  <si>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</si>
  <si>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</si>
  <si>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</si>
  <si>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</si>
  <si>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</si>
  <si>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</si>
  <si>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</si>
  <si>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</si>
  <si>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</si>
  <si>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</si>
  <si>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</si>
  <si>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</si>
  <si>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</si>
  <si>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</si>
  <si>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</si>
  <si>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</si>
  <si>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</si>
  <si>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</si>
  <si>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</si>
  <si>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</si>
  <si>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</si>
  <si>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</si>
  <si>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</si>
  <si>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</si>
  <si>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</si>
  <si>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</si>
  <si>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</si>
  <si>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</si>
  <si>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</si>
  <si>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</si>
  <si>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</si>
  <si>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</si>
  <si>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</si>
  <si>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</si>
  <si>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</si>
  <si>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</si>
  <si>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</si>
  <si>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</si>
  <si>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</si>
  <si>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</si>
  <si>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</si>
  <si>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</si>
  <si>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</si>
  <si>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</si>
  <si>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</si>
  <si>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</si>
  <si>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</si>
  <si>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</si>
  <si>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</si>
  <si>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</si>
  <si>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</si>
  <si>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</si>
  <si>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</si>
  <si>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</si>
  <si>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</si>
  <si>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</si>
  <si>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</si>
  <si>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</si>
  <si>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</si>
  <si>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</si>
  <si>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</si>
  <si>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</si>
  <si>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</si>
  <si>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</si>
  <si>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</si>
  <si>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</si>
  <si>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</si>
  <si>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</si>
  <si>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</si>
  <si>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</si>
  <si>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</si>
  <si>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</si>
  <si>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</si>
  <si>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</si>
  <si>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</si>
  <si>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</si>
  <si>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</si>
  <si>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</si>
  <si>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</si>
  <si>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</si>
  <si>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</si>
  <si>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</si>
  <si>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</si>
  <si>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</si>
  <si>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</si>
  <si>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</si>
  <si>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</si>
  <si>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</si>
  <si>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</si>
  <si>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</si>
  <si>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</si>
  <si>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</si>
  <si>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</si>
  <si>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</si>
  <si>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</si>
  <si>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</si>
  <si>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</si>
  <si>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</si>
  <si>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</si>
  <si>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</si>
  <si>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</si>
  <si>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</si>
  <si>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</si>
  <si>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</si>
  <si>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</si>
  <si>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</si>
  <si>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</si>
  <si>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</si>
  <si>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</si>
  <si>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</si>
  <si>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</si>
  <si>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</si>
  <si>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</si>
  <si>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</si>
  <si>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</si>
  <si>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</si>
  <si>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</si>
  <si>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</si>
  <si>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</si>
  <si>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</si>
  <si>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</si>
  <si>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</si>
  <si>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</si>
  <si>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</si>
  <si>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</si>
  <si>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</si>
  <si>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</si>
  <si>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</si>
  <si>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</si>
  <si>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</si>
  <si>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</si>
  <si>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</si>
  <si>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</si>
  <si>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</si>
  <si>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</si>
  <si>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</si>
  <si>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</si>
  <si>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</si>
  <si>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</si>
  <si>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</si>
  <si>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</si>
  <si>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</si>
  <si>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</si>
  <si>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</si>
  <si>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</si>
  <si>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</si>
  <si>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</si>
  <si>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</si>
  <si>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</si>
  <si>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</si>
  <si>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</si>
  <si>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</si>
  <si>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</si>
  <si>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</si>
  <si>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</si>
  <si>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</si>
  <si>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</si>
  <si>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</si>
  <si>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</si>
  <si>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</si>
  <si>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</si>
  <si>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</si>
  <si>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</si>
  <si>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</si>
  <si>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</si>
  <si>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</si>
  <si>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</si>
  <si>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</si>
  <si>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</si>
  <si>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</si>
  <si>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</si>
  <si>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</si>
  <si>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</si>
  <si>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</si>
  <si>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</si>
  <si>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</si>
  <si>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</si>
  <si>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</si>
  <si>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</si>
  <si>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</si>
  <si>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</si>
  <si>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</si>
  <si>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</si>
  <si>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</si>
  <si>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</si>
  <si>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</si>
  <si>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</si>
  <si>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</si>
  <si>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</si>
  <si>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</si>
  <si>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</si>
  <si>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</si>
  <si>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</si>
  <si>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</si>
  <si>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</si>
  <si>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</si>
  <si>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</si>
  <si>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</si>
  <si>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</si>
  <si>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</si>
  <si>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</si>
  <si>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</si>
  <si>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</si>
  <si>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</si>
  <si>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</si>
  <si>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</si>
  <si>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</si>
  <si>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</si>
  <si>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</si>
  <si>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</si>
  <si>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</si>
  <si>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</si>
  <si>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</si>
  <si>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</si>
  <si>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</si>
  <si>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</si>
  <si>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</si>
  <si>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</si>
  <si>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</si>
  <si>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</si>
  <si>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</si>
  <si>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</si>
  <si>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</si>
  <si>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</si>
  <si>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</si>
  <si>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</si>
  <si>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</si>
  <si>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</si>
  <si>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</si>
  <si>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</si>
  <si>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</si>
  <si>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</si>
  <si>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</si>
  <si>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</si>
  <si>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</si>
  <si>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</si>
  <si>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</si>
  <si>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</si>
  <si>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</si>
  <si>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</si>
  <si>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</si>
  <si>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</si>
  <si>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</si>
  <si>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</si>
  <si>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</si>
  <si>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</si>
  <si>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</si>
  <si>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</si>
  <si>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</si>
  <si>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</si>
  <si>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</si>
  <si>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</si>
  <si>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</si>
  <si>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</si>
  <si>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</si>
  <si>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</si>
  <si>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</si>
  <si>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</si>
  <si>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</si>
  <si>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</si>
  <si>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</si>
  <si>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</si>
  <si>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</si>
  <si>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</si>
  <si>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</si>
  <si>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</si>
  <si>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</si>
  <si>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</si>
  <si>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</si>
  <si>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</si>
  <si>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</si>
  <si>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</si>
  <si>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</si>
  <si>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</si>
  <si>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</si>
  <si>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</si>
  <si>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</si>
  <si>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</si>
  <si>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</si>
  <si>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</si>
  <si>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</si>
  <si>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</si>
  <si>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</si>
  <si>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</si>
  <si>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</si>
  <si>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</si>
  <si>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</si>
  <si>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</si>
  <si>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</si>
  <si>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</si>
  <si>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</si>
  <si>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</si>
  <si>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</si>
  <si>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</si>
  <si>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</si>
  <si>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</si>
  <si>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</si>
  <si>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</si>
  <si>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</si>
  <si>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</si>
  <si>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</si>
  <si>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</si>
  <si>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</si>
  <si>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</si>
  <si>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</si>
  <si>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</si>
  <si>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</si>
  <si>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</si>
  <si>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</si>
  <si>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</si>
  <si>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</si>
  <si>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</si>
  <si>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</si>
  <si>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</si>
  <si>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</si>
  <si>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</si>
  <si>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</si>
  <si>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</si>
  <si>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</si>
  <si>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</si>
  <si>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</si>
  <si>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</si>
  <si>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</si>
  <si>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</si>
  <si>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</si>
  <si>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</si>
  <si>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</si>
  <si>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</si>
  <si>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</si>
  <si>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</si>
  <si>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</si>
  <si>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</si>
  <si>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</si>
  <si>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</si>
  <si>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</si>
  <si>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</si>
  <si>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</si>
  <si>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</si>
  <si>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</si>
  <si>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</si>
  <si>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</si>
  <si>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</si>
  <si>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</si>
  <si>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</si>
  <si>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</si>
  <si>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</si>
  <si>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</si>
  <si>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</si>
  <si>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</si>
  <si>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</si>
  <si>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</si>
  <si>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</si>
  <si>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</si>
  <si>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</si>
  <si>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</si>
  <si>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</si>
  <si>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</si>
  <si>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</si>
  <si>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</si>
  <si>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</si>
  <si>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</si>
  <si>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</si>
  <si>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</si>
  <si>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</si>
  <si>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</si>
  <si>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</si>
  <si>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</si>
  <si>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</si>
  <si>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</si>
  <si>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</si>
  <si>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</si>
  <si>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</si>
  <si>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</si>
  <si>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</si>
  <si>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</si>
  <si>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</si>
  <si>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</si>
  <si>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</si>
  <si>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</si>
  <si>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</si>
  <si>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</si>
  <si>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</si>
  <si>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</si>
  <si>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</si>
  <si>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</si>
  <si>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</si>
  <si>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</si>
  <si>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</si>
  <si>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</si>
  <si>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</si>
  <si>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</si>
  <si>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</si>
  <si>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</si>
  <si>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</si>
  <si>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</si>
  <si>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</si>
  <si>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</si>
  <si>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</si>
  <si>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</si>
  <si>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</si>
  <si>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</si>
  <si>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</si>
  <si>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</si>
  <si>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</si>
  <si>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</si>
  <si>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</si>
  <si>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</si>
  <si>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</si>
  <si>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</si>
  <si>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</si>
  <si>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</si>
  <si>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</si>
  <si>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</si>
  <si>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</si>
  <si>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</si>
  <si>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</si>
  <si>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</si>
  <si>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</si>
  <si>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</si>
  <si>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</si>
  <si>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</si>
  <si>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</si>
  <si>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</si>
  <si>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</si>
  <si>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</si>
  <si>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</si>
  <si>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</si>
  <si>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</si>
  <si>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</si>
  <si>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</si>
  <si>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</si>
  <si>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</si>
  <si>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</si>
  <si>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</si>
  <si>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</si>
  <si>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</si>
  <si>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</si>
  <si>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</si>
  <si>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</si>
  <si>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</si>
  <si>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</si>
  <si>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</si>
  <si>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</si>
  <si>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</si>
  <si>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</si>
  <si>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</si>
  <si>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</si>
  <si>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</si>
  <si>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</si>
  <si>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</si>
  <si>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</si>
  <si>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</si>
  <si>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</si>
  <si>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</si>
  <si>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</si>
  <si>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</si>
  <si>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</si>
  <si>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</si>
  <si>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</si>
  <si>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</si>
  <si>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</si>
  <si>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</si>
  <si>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</si>
  <si>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</si>
  <si>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</si>
  <si>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</si>
  <si>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</si>
  <si>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</si>
  <si>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</si>
  <si>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</si>
  <si>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</si>
  <si>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</si>
  <si>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</si>
  <si>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</si>
  <si>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</si>
  <si>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</si>
  <si>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</si>
  <si>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</si>
  <si>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</si>
  <si>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</si>
  <si>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</si>
  <si>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</si>
  <si>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</si>
  <si>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</si>
  <si>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</si>
  <si>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</si>
  <si>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</si>
  <si>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</si>
  <si>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</si>
  <si>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</si>
  <si>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</si>
  <si>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</si>
  <si>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</si>
  <si>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</si>
  <si>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</si>
  <si>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</si>
  <si>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</si>
  <si>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</si>
  <si>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</si>
  <si>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</si>
  <si>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</si>
  <si>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</si>
  <si>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</si>
  <si>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</si>
  <si>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</si>
  <si>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</si>
  <si>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</si>
  <si>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</si>
  <si>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</si>
  <si>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</si>
  <si>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</si>
  <si>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</si>
  <si>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</si>
  <si>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</si>
  <si>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</si>
  <si>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</si>
  <si>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</si>
  <si>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</si>
  <si>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</si>
  <si>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</si>
  <si>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</si>
  <si>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</si>
  <si>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</si>
  <si>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</si>
  <si>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</si>
  <si>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</si>
  <si>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</si>
  <si>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</si>
  <si>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</si>
  <si>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</si>
  <si>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</si>
  <si>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</si>
  <si>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</si>
  <si>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</si>
  <si>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</si>
  <si>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</si>
  <si>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</si>
  <si>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</si>
  <si>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</si>
  <si>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</si>
  <si>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</si>
  <si>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</si>
  <si>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</si>
  <si>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</si>
  <si>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</si>
  <si>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</si>
  <si>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</si>
  <si>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</si>
  <si>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</si>
  <si>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</si>
  <si>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</si>
  <si>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</si>
  <si>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</si>
  <si>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</si>
  <si>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</si>
  <si>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</si>
  <si>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</si>
  <si>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</si>
  <si>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</si>
  <si>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</si>
  <si>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</si>
  <si>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</si>
  <si>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</si>
  <si>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</si>
  <si>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</si>
  <si>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</si>
  <si>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</si>
  <si>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</si>
  <si>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</si>
  <si>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</si>
  <si>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</si>
  <si>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</si>
  <si>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</si>
  <si>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</si>
  <si>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</si>
  <si>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</si>
  <si>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</si>
  <si>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</si>
  <si>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</si>
  <si>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</si>
  <si>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</si>
  <si>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</si>
  <si>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</si>
  <si>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</si>
  <si>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</si>
  <si>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</si>
  <si>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</si>
  <si>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</si>
  <si>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</si>
  <si>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</si>
  <si>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</si>
  <si>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</si>
  <si>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</si>
  <si>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</si>
  <si>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</si>
  <si>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</si>
  <si>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</si>
  <si>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</si>
  <si>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</si>
  <si>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</si>
  <si>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</si>
  <si>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</si>
  <si>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</si>
  <si>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</si>
  <si>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</si>
  <si>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</si>
  <si>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</si>
  <si>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</si>
  <si>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</si>
  <si>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</si>
  <si>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</si>
  <si>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</si>
  <si>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</si>
  <si>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</si>
  <si>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</si>
  <si>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</si>
  <si>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</si>
  <si>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</si>
  <si>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</si>
  <si>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</si>
  <si>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</si>
  <si>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</si>
  <si>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</si>
  <si>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</si>
  <si>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</si>
  <si>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</si>
  <si>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</si>
  <si>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</si>
  <si>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</si>
  <si>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</si>
  <si>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</si>
  <si>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</si>
  <si>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</si>
  <si>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</si>
  <si>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</si>
  <si>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</si>
  <si>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</si>
  <si>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</si>
  <si>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</si>
  <si>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</si>
  <si>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</si>
  <si>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</si>
  <si>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</si>
  <si>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</si>
  <si>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</si>
  <si>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</si>
  <si>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</si>
  <si>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</si>
  <si>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</si>
  <si>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</si>
  <si>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</si>
  <si>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</si>
  <si>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</si>
  <si>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</si>
  <si>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</si>
  <si>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</si>
  <si>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</si>
  <si>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</si>
  <si>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</si>
  <si>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</si>
  <si>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</si>
  <si>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</si>
  <si>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</si>
  <si>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</si>
  <si>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</si>
  <si>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</si>
  <si>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</si>
  <si>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</si>
  <si>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</si>
  <si>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</si>
  <si>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</si>
  <si>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</si>
  <si>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</si>
  <si>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</si>
  <si>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</si>
  <si>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</si>
  <si>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</si>
  <si>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</si>
  <si>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</si>
  <si>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</si>
  <si>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</si>
  <si>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</si>
  <si>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</si>
  <si>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</si>
  <si>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</si>
  <si>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</si>
  <si>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</si>
  <si>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</si>
  <si>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</si>
  <si>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</si>
  <si>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</si>
  <si>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</si>
  <si>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</si>
  <si>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</si>
  <si>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</si>
  <si>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</si>
  <si>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</si>
  <si>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</si>
  <si>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</si>
  <si>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</si>
  <si>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</si>
  <si>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</si>
  <si>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</si>
  <si>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</si>
  <si>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</si>
  <si>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</si>
  <si>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</si>
  <si>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</si>
  <si>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</si>
  <si>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</si>
  <si>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</si>
  <si>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</si>
  <si>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</si>
  <si>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</si>
  <si>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</si>
  <si>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</si>
  <si>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</si>
  <si>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</si>
  <si>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</si>
  <si>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</si>
  <si>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</si>
  <si>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</si>
  <si>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</si>
  <si>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</si>
  <si>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</si>
  <si>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</si>
  <si>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</si>
  <si>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</si>
  <si>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</si>
  <si>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</si>
  <si>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</si>
  <si>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</si>
  <si>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</si>
  <si>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</si>
  <si>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</si>
  <si>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</si>
  <si>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</si>
  <si>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</si>
  <si>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</si>
  <si>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</si>
  <si>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</si>
  <si>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</si>
  <si>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</si>
  <si>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</si>
  <si>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</si>
  <si>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</si>
  <si>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</si>
  <si>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</si>
  <si>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</si>
  <si>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</si>
  <si>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</si>
  <si>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</si>
  <si>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</si>
  <si>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</si>
  <si>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</si>
  <si>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</si>
  <si>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</si>
  <si>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</si>
  <si>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</si>
  <si>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</si>
  <si>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</si>
  <si>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</si>
  <si>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</si>
  <si>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</si>
  <si>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</si>
  <si>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</si>
  <si>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</si>
  <si>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</si>
  <si>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</si>
  <si>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</si>
  <si>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</si>
  <si>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</si>
  <si>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</si>
  <si>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</si>
  <si>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</si>
  <si>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</si>
  <si>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</si>
  <si>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</si>
  <si>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</si>
  <si>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</si>
  <si>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</si>
  <si>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</si>
  <si>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</si>
  <si>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</si>
  <si>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</si>
  <si>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</si>
  <si>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</si>
  <si>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</si>
  <si>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</si>
  <si>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</si>
  <si>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</si>
  <si>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</si>
  <si>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</si>
  <si>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</si>
  <si>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</si>
  <si>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</si>
  <si>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</si>
  <si>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</si>
  <si>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</si>
  <si>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</si>
  <si>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</si>
  <si>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</si>
  <si>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</si>
  <si>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</si>
  <si>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</si>
  <si>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</si>
  <si>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</si>
  <si>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</si>
  <si>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</si>
  <si>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</si>
  <si>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</si>
  <si>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</si>
  <si>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</si>
  <si>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</si>
  <si>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</si>
  <si>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</si>
  <si>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</si>
  <si>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</si>
  <si>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</si>
  <si>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</si>
  <si>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</si>
  <si>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</si>
  <si>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</si>
  <si>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</si>
  <si>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</si>
  <si>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</si>
  <si>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</si>
  <si>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</si>
  <si>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</si>
  <si>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</si>
  <si>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</si>
  <si>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</si>
  <si>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</si>
  <si>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</si>
  <si>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</si>
  <si>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</si>
  <si>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</si>
  <si>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</si>
  <si>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</si>
  <si>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</si>
  <si>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</si>
  <si>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</si>
  <si>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</si>
  <si>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</si>
  <si>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</si>
  <si>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</si>
  <si>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</si>
  <si>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</si>
  <si>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</si>
  <si>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</si>
  <si>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</si>
  <si>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</si>
  <si>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</si>
  <si>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</si>
  <si>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</si>
  <si>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</si>
  <si>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</si>
  <si>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</si>
  <si>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</si>
  <si>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</si>
  <si>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</si>
  <si>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</si>
  <si>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</si>
  <si>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</si>
  <si>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</si>
  <si>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</si>
  <si>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</si>
  <si>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</si>
  <si>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</si>
  <si>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</si>
  <si>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</si>
  <si>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</si>
  <si>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</si>
  <si>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</si>
  <si>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</si>
  <si>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</si>
  <si>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</si>
  <si>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</si>
  <si>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</si>
  <si>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</si>
  <si>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</si>
  <si>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</si>
  <si>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</si>
  <si>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</si>
  <si>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</si>
  <si>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</si>
  <si>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</si>
  <si>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</si>
  <si>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</si>
  <si>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</si>
  <si>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</si>
  <si>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</si>
  <si>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</si>
  <si>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</si>
  <si>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</si>
  <si>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</si>
  <si>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</si>
  <si>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</si>
  <si>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</si>
  <si>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</si>
  <si>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</si>
  <si>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</si>
  <si>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</si>
  <si>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</si>
  <si>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</si>
  <si>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</si>
  <si>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</si>
  <si>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</si>
  <si>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</si>
  <si>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</si>
  <si>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</si>
  <si>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</si>
  <si>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</si>
  <si>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</si>
  <si>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</si>
  <si>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</si>
  <si>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</si>
  <si>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</si>
  <si>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</si>
  <si>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</si>
  <si>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</si>
  <si>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</si>
  <si>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</si>
  <si>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</si>
  <si>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</si>
  <si>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</si>
  <si>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</si>
  <si>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</si>
  <si>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</si>
  <si>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</si>
  <si>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</si>
  <si>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</si>
  <si>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</si>
  <si>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</si>
  <si>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</si>
  <si>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</si>
  <si>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</si>
  <si>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</si>
  <si>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</si>
  <si>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</si>
  <si>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</si>
  <si>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</si>
  <si>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</si>
  <si>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</si>
  <si>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</si>
  <si>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</si>
  <si>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</si>
  <si>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</si>
  <si>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</si>
  <si>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</si>
  <si>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</si>
  <si>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</si>
  <si>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</si>
  <si>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</si>
  <si>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</si>
  <si>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</si>
  <si>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</si>
  <si>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</si>
  <si>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</si>
  <si>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</si>
  <si>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</si>
  <si>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</si>
  <si>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</si>
  <si>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</si>
  <si>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</si>
  <si>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</si>
  <si>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</si>
  <si>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</si>
  <si>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</si>
  <si>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</si>
  <si>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</si>
  <si>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</si>
  <si>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</si>
  <si>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</si>
  <si>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</si>
  <si>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</si>
  <si>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</si>
  <si>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</si>
  <si>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</si>
  <si>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</si>
  <si>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</si>
  <si>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</si>
  <si>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</si>
  <si>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</si>
  <si>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</si>
  <si>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</si>
  <si>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</si>
  <si>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</si>
  <si>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</si>
  <si>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</si>
  <si>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</si>
  <si>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</si>
  <si>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</si>
  <si>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</si>
  <si>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</si>
  <si>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</si>
  <si>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</si>
  <si>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</si>
  <si>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</si>
  <si>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</si>
  <si>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</si>
  <si>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</si>
  <si>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</si>
  <si>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</si>
  <si>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</si>
  <si>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</si>
  <si>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</si>
  <si>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</si>
  <si>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</si>
  <si>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</si>
  <si>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</si>
  <si>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</si>
  <si>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</si>
  <si>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</si>
  <si>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</si>
  <si>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</si>
  <si>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</si>
  <si>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</si>
  <si>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</si>
  <si>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</si>
  <si>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</si>
  <si>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</si>
  <si>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</si>
  <si>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</si>
  <si>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</si>
  <si>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</si>
  <si>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</si>
  <si>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</si>
  <si>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</si>
  <si>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</si>
  <si>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</si>
  <si>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</si>
  <si>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</si>
  <si>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</si>
  <si>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</si>
  <si>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</si>
  <si>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</si>
  <si>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</si>
  <si>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</si>
  <si>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</si>
  <si>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</si>
  <si>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</si>
  <si>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</si>
  <si>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</si>
  <si>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</si>
  <si>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</si>
  <si>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</si>
  <si>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</si>
  <si>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</si>
  <si>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</si>
  <si>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</si>
  <si>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</si>
  <si>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</si>
  <si>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</si>
  <si>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</si>
  <si>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</si>
  <si>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</si>
  <si>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</si>
  <si>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</si>
  <si>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</si>
  <si>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</si>
  <si>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</si>
  <si>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</si>
  <si>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</si>
  <si>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</si>
  <si>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</si>
  <si>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</si>
  <si>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</si>
  <si>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</si>
  <si>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</si>
  <si>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</si>
  <si>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</si>
  <si>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</si>
  <si>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</si>
  <si>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</si>
  <si>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</si>
  <si>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</si>
  <si>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</si>
  <si>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</si>
  <si>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</si>
  <si>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</si>
  <si>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</si>
  <si>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</si>
  <si>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</si>
  <si>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</si>
  <si>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</si>
  <si>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</si>
  <si>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</si>
  <si>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</si>
  <si>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</si>
  <si>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</si>
  <si>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</si>
  <si>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</si>
  <si>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</si>
  <si>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</si>
  <si>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</si>
  <si>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</si>
  <si>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</si>
  <si>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</si>
  <si>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</si>
  <si>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</si>
  <si>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</si>
  <si>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</si>
  <si>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</si>
  <si>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</si>
  <si>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</si>
  <si>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</si>
  <si>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</si>
  <si>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</si>
  <si>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</si>
  <si>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</si>
  <si>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</si>
  <si>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</si>
  <si>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</si>
  <si>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</si>
  <si>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</si>
  <si>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</si>
  <si>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</si>
  <si>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</si>
  <si>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</si>
  <si>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</si>
  <si>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</si>
  <si>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</si>
  <si>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</si>
  <si>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</si>
  <si>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</si>
  <si>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</si>
  <si>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</si>
  <si>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</si>
  <si>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</si>
  <si>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</si>
  <si>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</si>
  <si>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</si>
  <si>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</si>
  <si>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</si>
  <si>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</si>
  <si>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</si>
  <si>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</si>
  <si>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</si>
  <si>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</si>
  <si>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</si>
  <si>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</si>
  <si>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</si>
  <si>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</si>
  <si>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</si>
  <si>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</si>
  <si>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</si>
  <si>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</si>
  <si>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</si>
  <si>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</si>
  <si>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</si>
  <si>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</si>
  <si>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</si>
  <si>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</si>
  <si>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</si>
  <si>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</si>
  <si>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</si>
  <si>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</si>
  <si>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</si>
  <si>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</si>
  <si>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</si>
  <si>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</si>
  <si>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</si>
  <si>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</si>
  <si>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</si>
  <si>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</si>
  <si>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</si>
  <si>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</si>
  <si>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</si>
  <si>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</si>
  <si>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</si>
  <si>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</si>
  <si>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</si>
  <si>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</si>
  <si>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</si>
  <si>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</si>
  <si>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</si>
  <si>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</si>
  <si>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</si>
  <si>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</si>
  <si>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</si>
  <si>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</si>
  <si>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</si>
  <si>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</si>
  <si>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</si>
  <si>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</si>
  <si>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</si>
  <si>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</si>
  <si>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</si>
  <si>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</si>
  <si>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</si>
  <si>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</si>
  <si>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</si>
  <si>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</si>
  <si>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</si>
  <si>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</si>
  <si>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</si>
  <si>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</si>
  <si>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</si>
  <si>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</si>
  <si>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</si>
  <si>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</si>
  <si>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</si>
  <si>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</si>
  <si>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</si>
  <si>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</si>
  <si>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</si>
  <si>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</si>
  <si>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</si>
  <si>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</si>
  <si>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</si>
  <si>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</si>
  <si>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</si>
  <si>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</si>
  <si>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</si>
  <si>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</si>
  <si>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</si>
  <si>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</si>
  <si>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</si>
  <si>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</si>
  <si>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</si>
  <si>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</si>
  <si>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</si>
  <si>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</si>
  <si>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</si>
  <si>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</si>
  <si>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</si>
  <si>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</si>
  <si>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</si>
  <si>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</si>
  <si>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</si>
  <si>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</si>
  <si>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</si>
  <si>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</si>
  <si>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</si>
  <si>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</si>
  <si>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</si>
  <si>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</si>
  <si>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</si>
  <si>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</si>
  <si>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</si>
  <si>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</si>
  <si>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</si>
  <si>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</si>
  <si>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</si>
  <si>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</si>
  <si>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</si>
  <si>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</si>
  <si>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</si>
  <si>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</si>
  <si>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</si>
  <si>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</si>
  <si>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</si>
  <si>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</si>
  <si>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</si>
  <si>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</si>
  <si>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</si>
  <si>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</si>
  <si>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</si>
  <si>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</si>
  <si>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</si>
  <si>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</si>
  <si>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</si>
  <si>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</si>
  <si>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</si>
  <si>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</si>
  <si>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</si>
  <si>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</si>
  <si>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</si>
  <si>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</si>
  <si>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</si>
  <si>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</si>
  <si>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</si>
  <si>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</si>
  <si>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</si>
  <si>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</si>
  <si>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</si>
  <si>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</si>
  <si>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</si>
  <si>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</si>
  <si>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</si>
  <si>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</si>
  <si>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</si>
  <si>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</si>
  <si>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</si>
  <si>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</si>
  <si>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</si>
  <si>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</si>
  <si>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</si>
  <si>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</si>
  <si>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</si>
  <si>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</si>
  <si>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</si>
  <si>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Jackson</t>
  </si>
  <si>
    <t>4033 S. Illinois Avenue</t>
  </si>
  <si>
    <t>Carbondale</t>
  </si>
  <si>
    <t>Kujawa &amp; Batteau, P.C.</t>
  </si>
  <si>
    <t>Kevin Batteau</t>
  </si>
  <si>
    <t>309 S. Walnut Street</t>
  </si>
  <si>
    <t>Pinckneyville</t>
  </si>
  <si>
    <t>IL</t>
  </si>
  <si>
    <t>(618) 357-3000</t>
  </si>
  <si>
    <t>(618) 357-3654</t>
  </si>
  <si>
    <t>kbatteau@kandb-cpa.com</t>
  </si>
  <si>
    <t>Dr. Lori James-Gross</t>
  </si>
  <si>
    <t>ljgross@up140.org</t>
  </si>
  <si>
    <t>618-529-4151</t>
  </si>
  <si>
    <t>618-529-4154</t>
  </si>
  <si>
    <t>x</t>
  </si>
  <si>
    <t xml:space="preserve">Qualified Zone Academy Bonds </t>
  </si>
  <si>
    <t>Working Cash Bonds 2014B Series</t>
  </si>
  <si>
    <t>Alternate Revenue Bonds 2018A Series</t>
  </si>
  <si>
    <t>Alternate Revenue Bonds 2018B Series</t>
  </si>
  <si>
    <t>Kujawa &amp; Batteau, PC</t>
  </si>
  <si>
    <t>Ameripride</t>
  </si>
  <si>
    <t>Lanter Company</t>
  </si>
  <si>
    <t>Lunchroom purchased services</t>
  </si>
  <si>
    <t>Tri County Special Education</t>
  </si>
  <si>
    <t>Giant City School-Special Education student to Unity Point</t>
  </si>
  <si>
    <t>10-2560-300</t>
  </si>
  <si>
    <t>Unity Point CCSD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</si>
</sst>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242454</xdr:colOff>
          <xdr:row>1</xdr:row>
          <xdr:rowOff>121227</xdr:rowOff>
        </xdr:from>
        <xdr:to>
          <xdr:col>1</xdr:col>
          <xdr:colOff>1156854</xdr:colOff>
          <xdr:row>5</xdr:row>
          <xdr:rowOff>159327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5" t="s">
        <v>1945</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2064</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30039140004</v>
      </c>
      <c r="B13" s="2017"/>
      <c r="C13" s="2017"/>
      <c r="D13" s="2017"/>
      <c r="E13" s="2017"/>
      <c r="F13" s="2017"/>
      <c r="G13" s="2017"/>
      <c r="H13" s="2018"/>
      <c r="I13" s="31"/>
      <c r="J13" s="30"/>
      <c r="K13" s="28"/>
      <c r="L13" s="30"/>
      <c r="M13" s="30"/>
      <c r="N13" s="30"/>
      <c r="O13" s="30"/>
      <c r="P13" s="30"/>
      <c r="Q13" s="30"/>
      <c r="R13" s="30"/>
      <c r="S13" s="30"/>
      <c r="T13" s="2021" t="s">
        <v>2068</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2069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2092</v>
      </c>
      <c r="B17" s="1976"/>
      <c r="C17" s="1976"/>
      <c r="D17" s="1976"/>
      <c r="E17" s="1976"/>
      <c r="F17" s="1976"/>
      <c r="G17" s="1976"/>
      <c r="H17" s="2001"/>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2066</v>
      </c>
      <c r="B19" s="1961"/>
      <c r="C19" s="1961"/>
      <c r="D19" s="1961"/>
      <c r="E19" s="1961"/>
      <c r="F19" s="1961"/>
      <c r="G19" s="1961"/>
      <c r="H19" s="1941"/>
      <c r="I19" s="30"/>
      <c r="J19" s="99"/>
      <c r="K19" s="40"/>
      <c r="L19" s="38"/>
      <c r="M19" s="112" t="s">
        <v>315</v>
      </c>
      <c r="P19" s="27"/>
      <c r="Q19" s="27"/>
      <c r="R19" s="27"/>
      <c r="S19" s="31"/>
      <c r="T19" s="2015" t="s">
        <v>2071</v>
      </c>
      <c r="U19" s="1940"/>
      <c r="V19" s="1940"/>
      <c r="W19" s="1941"/>
      <c r="X19" s="2030" t="s">
        <v>2072</v>
      </c>
      <c r="Y19" s="2031"/>
      <c r="Z19" s="2028">
        <v>62274</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2067</v>
      </c>
      <c r="B21" s="1940"/>
      <c r="C21" s="1940"/>
      <c r="D21" s="1940"/>
      <c r="E21" s="1940"/>
      <c r="F21" s="1940"/>
      <c r="G21" s="1940"/>
      <c r="H21" s="1941"/>
      <c r="I21" s="1995" t="s">
        <v>678</v>
      </c>
      <c r="J21" s="1990"/>
      <c r="K21" s="1990"/>
      <c r="L21" s="1990"/>
      <c r="M21" s="1990"/>
      <c r="N21" s="1990"/>
      <c r="O21" s="1990"/>
      <c r="P21" s="1990"/>
      <c r="Q21" s="1990"/>
      <c r="R21" s="1990"/>
      <c r="S21" s="1996"/>
      <c r="T21" s="2039" t="s">
        <v>2073</v>
      </c>
      <c r="U21" s="2040"/>
      <c r="V21" s="2040"/>
      <c r="W21" s="2040"/>
      <c r="X21" s="2045" t="s">
        <v>2074</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v>65.028419999999997</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62903</v>
      </c>
      <c r="B25" s="1940"/>
      <c r="C25" s="1940"/>
      <c r="D25" s="1940"/>
      <c r="E25" s="1940"/>
      <c r="F25" s="1940"/>
      <c r="G25" s="1940"/>
      <c r="H25" s="1941"/>
      <c r="I25" s="113"/>
      <c r="J25" s="1964"/>
      <c r="K25" s="1964"/>
      <c r="L25" s="1964"/>
      <c r="M25" s="1964"/>
      <c r="N25" s="1964"/>
      <c r="O25" s="1964"/>
      <c r="P25" s="1964"/>
      <c r="Q25" s="1964"/>
      <c r="R25" s="1964"/>
      <c r="S25" s="1965"/>
      <c r="T25" s="2035" t="s">
        <v>2075</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2080</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48" t="s">
        <v>2080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2076</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2077</v>
      </c>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2078</v>
      </c>
      <c r="B42" s="1959"/>
      <c r="C42" s="1960"/>
      <c r="D42" s="1958" t="s">
        <v>2079</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F36"/>
  <sheetViews>
    <sheetView showGridLines="0" defaultGridColor="0" colorId="8" zoomScale="110" zoomScaleNormal="110" workbookViewId="0">
      <selection activeCell="C11" sqref="C1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1" t="s">
        <v>1802</v>
      </c>
      <c r="B2" s="1528" t="s">
        <v>1951</v>
      </c>
      <c r="C2" s="714" t="s">
        <v>1952</v>
      </c>
      <c r="D2" s="714" t="s">
        <v>1953</v>
      </c>
      <c r="E2" s="714" t="s">
        <v>1954</v>
      </c>
      <c r="F2" s="714" t="s">
        <v>1955</v>
      </c>
    </row>
    <row r="3" spans="1:6" ht="12" customHeight="1" x14ac:dyDescent="0.2">
      <c r="A3" s="2182"/>
      <c r="B3" s="1525"/>
      <c r="C3" s="1526"/>
      <c r="D3" s="1527" t="s">
        <v>256</v>
      </c>
      <c r="E3" s="1526"/>
      <c r="F3" s="1527" t="s">
        <v>257</v>
      </c>
    </row>
    <row r="4" spans="1:6" ht="13.7" customHeight="1" x14ac:dyDescent="0.2">
      <c r="A4" s="715" t="s">
        <v>1155</v>
      </c>
      <c r="B4" s="1749">
        <f>'Revenues 9-14'!C5</f>
        <v>1223681.72</v>
      </c>
      <c r="C4" s="1524"/>
      <c r="D4" s="1752">
        <f>B4-C4</f>
        <v>1223681.72</v>
      </c>
      <c r="E4" s="1524">
        <v>1266179</v>
      </c>
      <c r="F4" s="1752">
        <f>E4-C4</f>
        <v>1266179</v>
      </c>
    </row>
    <row r="5" spans="1:6" ht="13.7" customHeight="1" x14ac:dyDescent="0.2">
      <c r="A5" s="715" t="s">
        <v>870</v>
      </c>
      <c r="B5" s="1750">
        <f>'Revenues 9-14'!D5</f>
        <v>284231.92</v>
      </c>
      <c r="C5" s="585"/>
      <c r="D5" s="1753">
        <f t="shared" ref="D5:D18" si="0">B5-C5</f>
        <v>284231.92</v>
      </c>
      <c r="E5" s="585">
        <v>279532</v>
      </c>
      <c r="F5" s="1753">
        <f>E5-C5</f>
        <v>279532</v>
      </c>
    </row>
    <row r="6" spans="1:6" ht="13.7" customHeight="1" x14ac:dyDescent="0.2">
      <c r="A6" s="715" t="s">
        <v>411</v>
      </c>
      <c r="B6" s="1750">
        <f>'Revenues 9-14'!E5</f>
        <v>115456.05</v>
      </c>
      <c r="C6" s="585"/>
      <c r="D6" s="1753">
        <f t="shared" si="0"/>
        <v>115456.05</v>
      </c>
      <c r="E6" s="585">
        <v>115747</v>
      </c>
      <c r="F6" s="1753">
        <f t="shared" ref="F6:F18" si="1">E6-C6</f>
        <v>115747</v>
      </c>
    </row>
    <row r="7" spans="1:6" ht="13.7" customHeight="1" x14ac:dyDescent="0.2">
      <c r="A7" s="715" t="s">
        <v>155</v>
      </c>
      <c r="B7" s="1750">
        <f>'Revenues 9-14'!F5</f>
        <v>89759.42</v>
      </c>
      <c r="C7" s="585"/>
      <c r="D7" s="1753">
        <f t="shared" si="0"/>
        <v>89759.42</v>
      </c>
      <c r="E7" s="585">
        <v>93185</v>
      </c>
      <c r="F7" s="1753">
        <f t="shared" si="1"/>
        <v>93185</v>
      </c>
    </row>
    <row r="8" spans="1:6" ht="13.7" customHeight="1" x14ac:dyDescent="0.2">
      <c r="A8" s="715" t="s">
        <v>1179</v>
      </c>
      <c r="B8" s="1750">
        <f>'Revenues 9-14'!G5</f>
        <v>96241.2</v>
      </c>
      <c r="C8" s="585"/>
      <c r="D8" s="1753">
        <f t="shared" si="0"/>
        <v>96241.2</v>
      </c>
      <c r="E8" s="585">
        <v>102987</v>
      </c>
      <c r="F8" s="1753">
        <f t="shared" si="1"/>
        <v>102987</v>
      </c>
    </row>
    <row r="9" spans="1:6" ht="13.7" customHeight="1" x14ac:dyDescent="0.2">
      <c r="A9" s="715" t="s">
        <v>408</v>
      </c>
      <c r="B9" s="1750">
        <f>'Revenues 9-14'!H5</f>
        <v>0</v>
      </c>
      <c r="C9" s="585"/>
      <c r="D9" s="1753">
        <f t="shared" si="0"/>
        <v>0</v>
      </c>
      <c r="E9" s="585">
        <v>0</v>
      </c>
      <c r="F9" s="1753">
        <f t="shared" si="1"/>
        <v>0</v>
      </c>
    </row>
    <row r="10" spans="1:6" ht="13.7" customHeight="1" x14ac:dyDescent="0.2">
      <c r="A10" s="715" t="s">
        <v>407</v>
      </c>
      <c r="B10" s="1750">
        <f>'Revenues 9-14'!I5</f>
        <v>37382.14</v>
      </c>
      <c r="C10" s="585"/>
      <c r="D10" s="1753">
        <f t="shared" si="0"/>
        <v>37382.14</v>
      </c>
      <c r="E10" s="585">
        <v>36170</v>
      </c>
      <c r="F10" s="1753">
        <f t="shared" si="1"/>
        <v>36170</v>
      </c>
    </row>
    <row r="11" spans="1:6" x14ac:dyDescent="0.2">
      <c r="A11" s="715" t="s">
        <v>409</v>
      </c>
      <c r="B11" s="1750">
        <f>'Revenues 9-14'!J5</f>
        <v>0</v>
      </c>
      <c r="C11" s="585"/>
      <c r="D11" s="1753">
        <f t="shared" si="0"/>
        <v>0</v>
      </c>
      <c r="E11" s="585">
        <v>0</v>
      </c>
      <c r="F11" s="1753">
        <f t="shared" si="1"/>
        <v>0</v>
      </c>
    </row>
    <row r="12" spans="1:6" ht="13.7" customHeight="1" x14ac:dyDescent="0.2">
      <c r="A12" s="715" t="s">
        <v>157</v>
      </c>
      <c r="B12" s="1750">
        <f>'Revenues 9-14'!K5</f>
        <v>0</v>
      </c>
      <c r="C12" s="585"/>
      <c r="D12" s="1753">
        <f t="shared" si="0"/>
        <v>0</v>
      </c>
      <c r="E12" s="585">
        <v>0</v>
      </c>
      <c r="F12" s="1753">
        <f t="shared" si="1"/>
        <v>0</v>
      </c>
    </row>
    <row r="13" spans="1:6" ht="13.7" customHeight="1" x14ac:dyDescent="0.2">
      <c r="A13" s="715" t="s">
        <v>936</v>
      </c>
      <c r="B13" s="1750">
        <f>SUM('Revenues 9-14'!C6:D6)</f>
        <v>0</v>
      </c>
      <c r="C13" s="585"/>
      <c r="D13" s="1753">
        <f t="shared" si="0"/>
        <v>0</v>
      </c>
      <c r="E13" s="585">
        <v>0</v>
      </c>
      <c r="F13" s="1753">
        <f t="shared" si="1"/>
        <v>0</v>
      </c>
    </row>
    <row r="14" spans="1:6" ht="13.7" customHeight="1" x14ac:dyDescent="0.2">
      <c r="A14" s="715" t="s">
        <v>410</v>
      </c>
      <c r="B14" s="1750">
        <f>SUM('Revenues 9-14'!C7:D7,'Revenues 9-14'!F7:H7)</f>
        <v>24433.22</v>
      </c>
      <c r="C14" s="585"/>
      <c r="D14" s="1753">
        <f t="shared" si="0"/>
        <v>24433.22</v>
      </c>
      <c r="E14" s="585">
        <v>26486</v>
      </c>
      <c r="F14" s="1753">
        <f t="shared" si="1"/>
        <v>26486</v>
      </c>
    </row>
    <row r="15" spans="1:6" ht="13.7" customHeight="1" x14ac:dyDescent="0.2">
      <c r="A15" s="715" t="s">
        <v>1158</v>
      </c>
      <c r="B15" s="1750">
        <f>SUM('Revenues 9-14'!D9:E9,'Revenues 9-14'!H9)</f>
        <v>0</v>
      </c>
      <c r="C15" s="585"/>
      <c r="D15" s="1753">
        <f t="shared" si="0"/>
        <v>0</v>
      </c>
      <c r="E15" s="585">
        <v>0</v>
      </c>
      <c r="F15" s="1753">
        <f t="shared" si="1"/>
        <v>0</v>
      </c>
    </row>
    <row r="16" spans="1:6" ht="13.7" customHeight="1" x14ac:dyDescent="0.2">
      <c r="A16" s="715" t="s">
        <v>1159</v>
      </c>
      <c r="B16" s="1750">
        <f>'Revenues 9-14'!G8</f>
        <v>104719</v>
      </c>
      <c r="C16" s="585"/>
      <c r="D16" s="1753">
        <f t="shared" si="0"/>
        <v>104719</v>
      </c>
      <c r="E16" s="585">
        <v>112797</v>
      </c>
      <c r="F16" s="1753">
        <f t="shared" si="1"/>
        <v>112797</v>
      </c>
    </row>
    <row r="17" spans="1:6" ht="13.7" customHeight="1" x14ac:dyDescent="0.2">
      <c r="A17" s="715" t="s">
        <v>1160</v>
      </c>
      <c r="B17" s="1750">
        <f>'Revenues 9-14'!C10</f>
        <v>0</v>
      </c>
      <c r="C17" s="585"/>
      <c r="D17" s="1753">
        <f t="shared" si="0"/>
        <v>0</v>
      </c>
      <c r="E17" s="585">
        <v>0</v>
      </c>
      <c r="F17" s="1753">
        <f t="shared" si="1"/>
        <v>0</v>
      </c>
    </row>
    <row r="18" spans="1:6" ht="13.7" customHeight="1" x14ac:dyDescent="0.2">
      <c r="A18" s="715" t="s">
        <v>762</v>
      </c>
      <c r="B18" s="1750">
        <f>SUM('Revenues 9-14'!C11:K11)</f>
        <v>0</v>
      </c>
      <c r="C18" s="585"/>
      <c r="D18" s="1753">
        <f t="shared" si="0"/>
        <v>0</v>
      </c>
      <c r="E18" s="585">
        <v>0</v>
      </c>
      <c r="F18" s="1753">
        <f t="shared" si="1"/>
        <v>0</v>
      </c>
    </row>
    <row r="19" spans="1:6" ht="13.7" customHeight="1" thickBot="1" x14ac:dyDescent="0.25">
      <c r="A19" s="1754" t="s">
        <v>1161</v>
      </c>
      <c r="B19" s="1751">
        <f>SUM(B4:B18)</f>
        <v>1975904.6699999997</v>
      </c>
      <c r="C19" s="1751">
        <f>SUM(C4:C18)</f>
        <v>0</v>
      </c>
      <c r="D19" s="1751">
        <f>SUM(D4:D18)</f>
        <v>1975904.6699999997</v>
      </c>
      <c r="E19" s="1751">
        <f>SUM(E4:E18)</f>
        <v>2033083</v>
      </c>
      <c r="F19" s="1751">
        <f>SUM(F4:F18)</f>
        <v>2033083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statements&amp;CPage 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E13" sqref="E1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4" t="s">
        <v>1956</v>
      </c>
      <c r="D2" s="723" t="s">
        <v>1957</v>
      </c>
      <c r="E2" s="723" t="s">
        <v>1958</v>
      </c>
      <c r="F2" s="1884" t="s">
        <v>1959</v>
      </c>
    </row>
    <row r="3" spans="1:7" ht="15.75" customHeight="1" x14ac:dyDescent="0.2">
      <c r="A3" s="2210" t="s">
        <v>1114</v>
      </c>
      <c r="B3" s="2211"/>
      <c r="C3" s="2204"/>
      <c r="D3" s="2205"/>
      <c r="E3" s="2205"/>
      <c r="F3" s="2206"/>
    </row>
    <row r="4" spans="1:7" ht="12.75" customHeight="1" thickBot="1" x14ac:dyDescent="0.25">
      <c r="A4" s="2198" t="s">
        <v>630</v>
      </c>
      <c r="B4" s="2199"/>
      <c r="C4" s="581">
        <v>0</v>
      </c>
      <c r="D4" s="581">
        <v>0</v>
      </c>
      <c r="E4" s="581">
        <v>0</v>
      </c>
      <c r="F4" s="1755">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4" t="s">
        <v>631</v>
      </c>
      <c r="B15" s="2195"/>
      <c r="C15" s="1755">
        <f>SUM(C6:C14)</f>
        <v>0</v>
      </c>
      <c r="D15" s="1755">
        <f>SUM(D6:D14)</f>
        <v>0</v>
      </c>
      <c r="E15" s="1755">
        <f>SUM(E6:E14)</f>
        <v>0</v>
      </c>
      <c r="F15" s="1755">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5">
        <f>SUM(C17+D17)-E17</f>
        <v>0</v>
      </c>
    </row>
    <row r="18" spans="1:11" ht="12.75" customHeight="1" thickTop="1" thickBot="1" x14ac:dyDescent="0.25">
      <c r="A18" s="2189" t="s">
        <v>6</v>
      </c>
      <c r="B18" s="2190"/>
      <c r="C18" s="726"/>
      <c r="D18" s="585"/>
      <c r="E18" s="726"/>
      <c r="F18" s="1755">
        <f>SUM(C18+D18)-E18</f>
        <v>0</v>
      </c>
    </row>
    <row r="19" spans="1:11" ht="12.75" customHeight="1" thickTop="1" thickBot="1" x14ac:dyDescent="0.25">
      <c r="A19" s="2189" t="s">
        <v>388</v>
      </c>
      <c r="B19" s="2190"/>
      <c r="C19" s="726"/>
      <c r="D19" s="585"/>
      <c r="E19" s="726"/>
      <c r="F19" s="1755">
        <f>SUM(C19+D19)-E19</f>
        <v>0</v>
      </c>
    </row>
    <row r="20" spans="1:11" ht="12.75" customHeight="1" thickTop="1" thickBot="1" x14ac:dyDescent="0.25">
      <c r="A20" s="2189" t="s">
        <v>448</v>
      </c>
      <c r="B20" s="2190"/>
      <c r="C20" s="726"/>
      <c r="D20" s="585"/>
      <c r="E20" s="726"/>
      <c r="F20" s="1755">
        <f>SUM(C20+D20)-E20</f>
        <v>0</v>
      </c>
    </row>
    <row r="21" spans="1:11" ht="14.25" thickTop="1" thickBot="1" x14ac:dyDescent="0.25">
      <c r="A21" s="2194" t="s">
        <v>632</v>
      </c>
      <c r="B21" s="2195"/>
      <c r="C21" s="1755">
        <f>SUM(C17:C20)</f>
        <v>0</v>
      </c>
      <c r="D21" s="1755">
        <f>SUM(D17:D20)</f>
        <v>0</v>
      </c>
      <c r="E21" s="1755">
        <f>SUM(E17:E20)</f>
        <v>0</v>
      </c>
      <c r="F21" s="1755">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5">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5">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5">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2081</v>
      </c>
      <c r="B31" s="733">
        <v>39364</v>
      </c>
      <c r="C31" s="734">
        <v>1010995</v>
      </c>
      <c r="D31" s="735">
        <v>7</v>
      </c>
      <c r="E31" s="734">
        <v>336985</v>
      </c>
      <c r="F31" s="734"/>
      <c r="G31" s="734"/>
      <c r="H31" s="734">
        <v>67397</v>
      </c>
      <c r="I31" s="1756">
        <f>((E31+F31)-H31)+G31</f>
        <v>269588</v>
      </c>
      <c r="J31" s="734">
        <v>29010</v>
      </c>
      <c r="K31" s="736"/>
    </row>
    <row r="32" spans="1:11" ht="12" customHeight="1" x14ac:dyDescent="0.2">
      <c r="A32" s="732" t="s">
        <v>2082</v>
      </c>
      <c r="B32" s="733">
        <v>41821</v>
      </c>
      <c r="C32" s="734">
        <v>801000</v>
      </c>
      <c r="D32" s="735">
        <v>1</v>
      </c>
      <c r="E32" s="734">
        <v>600000</v>
      </c>
      <c r="F32" s="734"/>
      <c r="G32" s="734"/>
      <c r="H32" s="734">
        <v>93000</v>
      </c>
      <c r="I32" s="1756">
        <f>((E32+F32)-H32)+G32</f>
        <v>507000</v>
      </c>
      <c r="J32" s="734">
        <v>507000</v>
      </c>
      <c r="K32" s="736"/>
    </row>
    <row r="33" spans="1:11" ht="12" customHeight="1" x14ac:dyDescent="0.2">
      <c r="A33" s="732" t="s">
        <v>2083</v>
      </c>
      <c r="B33" s="733">
        <v>43277</v>
      </c>
      <c r="C33" s="734">
        <v>1412000</v>
      </c>
      <c r="D33" s="735">
        <v>2</v>
      </c>
      <c r="E33" s="734">
        <v>1412000</v>
      </c>
      <c r="F33" s="734"/>
      <c r="G33" s="734"/>
      <c r="H33" s="734"/>
      <c r="I33" s="1756">
        <f t="shared" ref="I33:I48" si="1">((E33+F33)-H33)+G33</f>
        <v>1412000</v>
      </c>
      <c r="J33" s="734">
        <v>1412000</v>
      </c>
      <c r="K33" s="736"/>
    </row>
    <row r="34" spans="1:11" ht="12" customHeight="1" x14ac:dyDescent="0.2">
      <c r="A34" s="732" t="s">
        <v>2084</v>
      </c>
      <c r="B34" s="733">
        <v>43277</v>
      </c>
      <c r="C34" s="734">
        <v>1444400</v>
      </c>
      <c r="D34" s="735">
        <v>2</v>
      </c>
      <c r="E34" s="734">
        <v>1444000</v>
      </c>
      <c r="F34" s="734"/>
      <c r="G34" s="734"/>
      <c r="H34" s="734"/>
      <c r="I34" s="1756">
        <f t="shared" si="1"/>
        <v>1444000</v>
      </c>
      <c r="J34" s="734">
        <v>1444000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4668395</v>
      </c>
      <c r="D49" s="745"/>
      <c r="E49" s="1756">
        <f t="shared" ref="E49:J49" si="2">SUM(E31:E48)</f>
        <v>3792985</v>
      </c>
      <c r="F49" s="1756">
        <f t="shared" si="2"/>
        <v>0</v>
      </c>
      <c r="G49" s="1756">
        <f t="shared" si="2"/>
        <v>0</v>
      </c>
      <c r="H49" s="1756">
        <f t="shared" si="2"/>
        <v>160397</v>
      </c>
      <c r="I49" s="1756">
        <f t="shared" si="2"/>
        <v>3632588</v>
      </c>
      <c r="J49" s="1756">
        <f t="shared" si="2"/>
        <v>3392010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4" firstPageNumber="24" orientation="landscape" useFirstPageNumber="1" r:id="rId1"/>
  <headerFooter alignWithMargins="0">
    <oddHeader>&amp;L&amp;8Page &amp;P&amp;R&amp;8Page &amp;P</oddHeader>
    <oddFooter>&amp;L&amp;8
'The notes are an integral part of these statements"&amp;CPage 24</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K48"/>
  <sheetViews>
    <sheetView showGridLines="0" defaultGridColor="0" topLeftCell="A7" colorId="8" zoomScale="110" zoomScaleNormal="110" workbookViewId="0">
      <selection activeCell="J37" sqref="J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1964</v>
      </c>
      <c r="B3" s="2235"/>
      <c r="C3" s="2235"/>
      <c r="D3" s="2235"/>
      <c r="E3" s="2236"/>
      <c r="F3" s="763"/>
      <c r="G3" s="764">
        <v>0</v>
      </c>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24433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7"/>
      <c r="G12" s="1758">
        <f>SUM(G5:G11)</f>
        <v>0</v>
      </c>
      <c r="H12" s="1758">
        <f>SUM(H5:H11)</f>
        <v>24433</v>
      </c>
      <c r="I12" s="1758">
        <f>SUM(I5:I11)</f>
        <v>0</v>
      </c>
      <c r="J12" s="1758">
        <f>SUM(J5:J11)</f>
        <v>0</v>
      </c>
      <c r="K12" s="1758">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24433</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9"/>
      <c r="G21" s="792"/>
      <c r="H21" s="796"/>
      <c r="I21" s="796"/>
      <c r="J21" s="1760">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1"/>
      <c r="G23" s="1758">
        <f>SUM(G14:G16,G21,G22)</f>
        <v>0</v>
      </c>
      <c r="H23" s="1758">
        <f>SUM(H14:H16,H21,H22)</f>
        <v>24433</v>
      </c>
      <c r="I23" s="1758">
        <f>SUM(I14:I16,I21,I22)</f>
        <v>0</v>
      </c>
      <c r="J23" s="1758">
        <f>SUM(J14:J16,J21,J22)</f>
        <v>0</v>
      </c>
      <c r="K23" s="1758">
        <f>SUM(K14:K16,K21,K22)</f>
        <v>0</v>
      </c>
    </row>
    <row r="24" spans="1:11" ht="14.25" thickTop="1" thickBot="1" x14ac:dyDescent="0.25">
      <c r="A24" s="2246" t="s">
        <v>1965</v>
      </c>
      <c r="B24" s="2245"/>
      <c r="C24" s="2245"/>
      <c r="D24" s="2245"/>
      <c r="E24" s="224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2080</v>
      </c>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35" right="0.17" top="0.57999999999999996" bottom="0.4" header="0.21" footer="0.2"/>
  <pageSetup scale="85"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statements"&amp;CPage 25</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110" zoomScaleNormal="110" workbookViewId="0">
      <selection activeCell="J10" sqref="J10"/>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1909</v>
      </c>
      <c r="B1" s="2252"/>
      <c r="C1" s="2253"/>
      <c r="D1" s="826"/>
      <c r="E1" s="827"/>
      <c r="F1" s="827"/>
      <c r="G1" s="828"/>
      <c r="H1" s="829"/>
      <c r="I1" s="830"/>
      <c r="J1" s="2249"/>
      <c r="K1" s="2250"/>
      <c r="L1" s="2250"/>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30100</v>
      </c>
      <c r="D5" s="841"/>
      <c r="E5" s="841"/>
      <c r="F5" s="1760">
        <f>(C5+D5)-E5</f>
        <v>30100</v>
      </c>
      <c r="G5" s="837"/>
      <c r="H5" s="842"/>
      <c r="I5" s="842"/>
      <c r="J5" s="842"/>
      <c r="K5" s="793"/>
      <c r="L5" s="1769">
        <f>F5-K5</f>
        <v>30100</v>
      </c>
    </row>
    <row r="6" spans="1:14" ht="14.25" thickTop="1" thickBot="1" x14ac:dyDescent="0.25">
      <c r="A6" s="778" t="s">
        <v>1117</v>
      </c>
      <c r="B6" s="840">
        <v>222</v>
      </c>
      <c r="C6" s="765"/>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11579717</v>
      </c>
      <c r="D8" s="844">
        <v>722021.53</v>
      </c>
      <c r="E8" s="844"/>
      <c r="F8" s="1760">
        <f>(C8+D8)-E8</f>
        <v>12301738.529999999</v>
      </c>
      <c r="G8" s="843">
        <v>50</v>
      </c>
      <c r="H8" s="765">
        <v>4966769</v>
      </c>
      <c r="I8" s="765">
        <v>266273</v>
      </c>
      <c r="J8" s="765"/>
      <c r="K8" s="1769">
        <f>(H8+I8)-J8</f>
        <v>5233042</v>
      </c>
      <c r="L8" s="1769">
        <f>F8-K8</f>
        <v>7068696.5299999993</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989072</v>
      </c>
      <c r="D10" s="846">
        <v>26787</v>
      </c>
      <c r="E10" s="846"/>
      <c r="F10" s="1764">
        <f>(C10+D10)-E10</f>
        <v>1015859</v>
      </c>
      <c r="G10" s="843">
        <v>20</v>
      </c>
      <c r="H10" s="847">
        <v>508916</v>
      </c>
      <c r="I10" s="847">
        <v>50793</v>
      </c>
      <c r="J10" s="847"/>
      <c r="K10" s="1769">
        <f>(H10+I10)-J10</f>
        <v>559709</v>
      </c>
      <c r="L10" s="1769">
        <f>F10-K10</f>
        <v>456150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1309271</v>
      </c>
      <c r="D12" s="844"/>
      <c r="E12" s="844"/>
      <c r="F12" s="1760">
        <f>(C12+D12)-E12</f>
        <v>1309271</v>
      </c>
      <c r="G12" s="843">
        <v>10</v>
      </c>
      <c r="H12" s="765">
        <v>1309271</v>
      </c>
      <c r="I12" s="765"/>
      <c r="J12" s="765"/>
      <c r="K12" s="1769">
        <f>(H12+I12)-J12</f>
        <v>1309271</v>
      </c>
      <c r="L12" s="1769">
        <f>F12-K12</f>
        <v>0</v>
      </c>
    </row>
    <row r="13" spans="1:14" ht="14.25" thickTop="1" thickBot="1" x14ac:dyDescent="0.25">
      <c r="A13" s="848" t="s">
        <v>1122</v>
      </c>
      <c r="B13" s="840">
        <v>252</v>
      </c>
      <c r="C13" s="844">
        <v>2028226</v>
      </c>
      <c r="D13" s="844">
        <v>89582.25</v>
      </c>
      <c r="E13" s="844"/>
      <c r="F13" s="1760">
        <f>(C13+D13)-E13</f>
        <v>2117808.25</v>
      </c>
      <c r="G13" s="843">
        <v>5</v>
      </c>
      <c r="H13" s="765">
        <v>1733522</v>
      </c>
      <c r="I13" s="765">
        <v>95994</v>
      </c>
      <c r="J13" s="765"/>
      <c r="K13" s="1769">
        <f>(H13+I13)-J13</f>
        <v>1829516</v>
      </c>
      <c r="L13" s="1769">
        <f>F13-K13</f>
        <v>288292.25</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15936386</v>
      </c>
      <c r="D16" s="1760">
        <f>SUM(D3,D5:D6,D8:D10,D12:D15)</f>
        <v>838390.78</v>
      </c>
      <c r="E16" s="1760">
        <f>SUM(E3,E5:E6,E8:E10,E12:E15)</f>
        <v>0</v>
      </c>
      <c r="F16" s="1760">
        <f>SUM(F3,F5:F6,F8:F10,F12:F15)</f>
        <v>16774776.779999999</v>
      </c>
      <c r="G16" s="843"/>
      <c r="H16" s="1760">
        <f>SUM(H3,H6,H8:H10,H12:H14,)</f>
        <v>8518478</v>
      </c>
      <c r="I16" s="1760">
        <f>SUM(I3,I6,I8:I10,I12:I14,)</f>
        <v>413060</v>
      </c>
      <c r="J16" s="1760">
        <f>SUM(J3,J6,J8:J10,J12:J14,)</f>
        <v>0</v>
      </c>
      <c r="K16" s="1760">
        <f>(H16+I16)-J16</f>
        <v>8931538</v>
      </c>
      <c r="L16" s="1760">
        <f>F16-K16</f>
        <v>7843238.7799999993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413060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ageMargins left="0.25" right="0.17" top="1.1000000000000001" bottom="0.66" header="0.39" footer="0.17"/>
  <pageSetup scale="83" firstPageNumber="26" orientation="landscape" useFirstPageNumber="1" r:id="rId1"/>
  <headerFooter alignWithMargins="0">
    <oddHeader>&amp;L&amp;8Page &amp;P&amp;C &amp;R&amp;8Page &amp;P</oddHeader>
    <oddFooter>&amp;L&amp;8"The notes are an integral part of these statements"&amp;CPage 26</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pageSetUpPr fitToPage="1"/>
  </sheetPr>
  <dimension ref="A1:H202"/>
  <sheetViews>
    <sheetView showGridLines="0" defaultGridColor="0" topLeftCell="A69" colorId="8" zoomScale="110" zoomScaleNormal="110" workbookViewId="0">
      <selection activeCell="J119" sqref="J11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1975</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5853501.6499999994</v>
      </c>
      <c r="G8" s="865"/>
    </row>
    <row r="9" spans="1:7" x14ac:dyDescent="0.2">
      <c r="A9" s="869" t="s">
        <v>460</v>
      </c>
      <c r="B9" s="870" t="s">
        <v>1877</v>
      </c>
      <c r="C9" s="871"/>
      <c r="D9" s="869" t="s">
        <v>501</v>
      </c>
      <c r="E9" s="868"/>
      <c r="F9" s="1909">
        <f>'Expenditures 15-22'!K151</f>
        <v>425189.04</v>
      </c>
      <c r="G9" s="872"/>
    </row>
    <row r="10" spans="1:7" x14ac:dyDescent="0.2">
      <c r="A10" s="869" t="s">
        <v>499</v>
      </c>
      <c r="B10" s="870" t="s">
        <v>1878</v>
      </c>
      <c r="C10" s="871"/>
      <c r="D10" s="869" t="s">
        <v>501</v>
      </c>
      <c r="E10" s="868"/>
      <c r="F10" s="1909">
        <f>'Expenditures 15-22'!K174</f>
        <v>183165</v>
      </c>
      <c r="G10" s="872"/>
    </row>
    <row r="11" spans="1:7" x14ac:dyDescent="0.2">
      <c r="A11" s="869" t="s">
        <v>461</v>
      </c>
      <c r="B11" s="870" t="s">
        <v>1879</v>
      </c>
      <c r="C11" s="871"/>
      <c r="D11" s="869" t="s">
        <v>501</v>
      </c>
      <c r="E11" s="868"/>
      <c r="F11" s="1909">
        <f>'Expenditures 15-22'!K210</f>
        <v>314069.90999999997</v>
      </c>
      <c r="G11" s="872"/>
    </row>
    <row r="12" spans="1:7" x14ac:dyDescent="0.2">
      <c r="A12" s="869" t="s">
        <v>462</v>
      </c>
      <c r="B12" s="870" t="s">
        <v>1880</v>
      </c>
      <c r="C12" s="871"/>
      <c r="D12" s="869" t="s">
        <v>501</v>
      </c>
      <c r="E12" s="868"/>
      <c r="F12" s="1909">
        <f>'Expenditures 15-22'!K295</f>
        <v>288767.10000000003</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7064692.6999999993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12225</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402748.04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281127.73999999993</v>
      </c>
      <c r="G52" s="865"/>
    </row>
    <row r="53" spans="1:7" x14ac:dyDescent="0.2">
      <c r="A53" s="869" t="s">
        <v>459</v>
      </c>
      <c r="B53" s="869" t="s">
        <v>1475</v>
      </c>
      <c r="C53" s="889">
        <f>'Expenditures 15-22'!B102</f>
        <v>4000</v>
      </c>
      <c r="D53" s="888" t="str">
        <f>'Expenditures 15-22'!A102</f>
        <v>Total Payments to Other Govt Units</v>
      </c>
      <c r="E53" s="868"/>
      <c r="F53" s="1913">
        <f>'Expenditures 15-22'!K102</f>
        <v>259796.27</v>
      </c>
      <c r="G53" s="865"/>
    </row>
    <row r="54" spans="1:7" x14ac:dyDescent="0.2">
      <c r="A54" s="869" t="s">
        <v>459</v>
      </c>
      <c r="B54" s="869" t="s">
        <v>1476</v>
      </c>
      <c r="C54" s="889" t="s">
        <v>982</v>
      </c>
      <c r="D54" s="885" t="s">
        <v>1095</v>
      </c>
      <c r="E54" s="868"/>
      <c r="F54" s="1913">
        <f>'Expenditures 15-22'!G114</f>
        <v>115868.92</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500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160397</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15916.029999999999</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28365.600000000002</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1276944.6000000001</v>
      </c>
      <c r="G76" s="865"/>
    </row>
    <row r="77" spans="1:8" s="893" customFormat="1" ht="12" customHeight="1" thickTop="1" thickBot="1" x14ac:dyDescent="0.25">
      <c r="A77" s="1779"/>
      <c r="B77" s="1776"/>
      <c r="C77" s="1772"/>
      <c r="D77" s="1777" t="s">
        <v>1900</v>
      </c>
      <c r="E77" s="1774"/>
      <c r="F77" s="1780">
        <f>(F14-F76)</f>
        <v>5787748.0999999996</v>
      </c>
      <c r="G77" s="869"/>
    </row>
    <row r="78" spans="1:8" s="893" customFormat="1" ht="12" customHeight="1" thickTop="1" x14ac:dyDescent="0.2">
      <c r="A78" s="1781"/>
      <c r="B78" s="1776"/>
      <c r="C78" s="1772"/>
      <c r="D78" s="1777" t="s">
        <v>2062</v>
      </c>
      <c r="E78" s="1774"/>
      <c r="F78" s="898">
        <v>543.15</v>
      </c>
      <c r="G78" s="899"/>
      <c r="H78" s="869"/>
    </row>
    <row r="79" spans="1:8" s="893" customFormat="1" ht="12" customHeight="1" thickBot="1" x14ac:dyDescent="0.25">
      <c r="A79" s="1782"/>
      <c r="B79" s="1776"/>
      <c r="C79" s="1772"/>
      <c r="D79" s="1777" t="s">
        <v>1901</v>
      </c>
      <c r="E79" s="1774" t="s">
        <v>958</v>
      </c>
      <c r="F79" s="1783">
        <f>IF(F78&gt;0,F77/F78," Complete Line 78")</f>
        <v>10655.892663168554</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10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61436</v>
      </c>
      <c r="G94" s="912"/>
    </row>
    <row r="95" spans="1:7" x14ac:dyDescent="0.2">
      <c r="A95" s="908" t="s">
        <v>140</v>
      </c>
      <c r="B95" s="908" t="s">
        <v>175</v>
      </c>
      <c r="C95" s="910">
        <v>1700</v>
      </c>
      <c r="D95" s="918" t="str">
        <f>'Revenues 9-14'!A82</f>
        <v>Total District/School Activity Income</v>
      </c>
      <c r="E95" s="906"/>
      <c r="F95" s="1789">
        <f>SUM('Revenues 9-14'!C82,'Revenues 9-14'!D82)</f>
        <v>15848.58</v>
      </c>
      <c r="G95" s="912"/>
    </row>
    <row r="96" spans="1:7" x14ac:dyDescent="0.2">
      <c r="A96" s="908" t="s">
        <v>459</v>
      </c>
      <c r="B96" s="908" t="s">
        <v>176</v>
      </c>
      <c r="C96" s="910">
        <f>'Revenues 9-14'!B84</f>
        <v>1811</v>
      </c>
      <c r="D96" s="911" t="str">
        <f>'Revenues 9-14'!A84</f>
        <v>Rentals - Regular Textbooks</v>
      </c>
      <c r="E96" s="906"/>
      <c r="F96" s="1789">
        <f>'Revenues 9-14'!C84</f>
        <v>12570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20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42200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20704</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4474.54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197561.99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17394</v>
      </c>
      <c r="G124" s="930"/>
    </row>
    <row r="125" spans="1:7" x14ac:dyDescent="0.2">
      <c r="A125" s="927" t="s">
        <v>664</v>
      </c>
      <c r="B125" s="927" t="s">
        <v>2023</v>
      </c>
      <c r="C125" s="932">
        <v>4200</v>
      </c>
      <c r="D125" s="929" t="str">
        <f>'Revenues 9-14'!A198</f>
        <v>Total Food Service</v>
      </c>
      <c r="E125" s="906"/>
      <c r="F125" s="1789">
        <f>SUM('Revenues 9-14'!C198,'Revenues 9-14'!G198)</f>
        <v>252311.22</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315316</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25409</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4236.33</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29509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12390.5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72242</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1083633.1599999999</v>
      </c>
    </row>
    <row r="175" spans="1:7" ht="12" customHeight="1" x14ac:dyDescent="0.2">
      <c r="A175" s="1770"/>
      <c r="B175" s="1784"/>
      <c r="C175" s="1785"/>
      <c r="D175" s="1786" t="s">
        <v>2057</v>
      </c>
      <c r="E175" s="1787"/>
      <c r="F175" s="1789">
        <f>'PCTC-OEPP 27-28'!F77-F174</f>
        <v>4704114.9399999995</v>
      </c>
    </row>
    <row r="176" spans="1:7" ht="12" customHeight="1" x14ac:dyDescent="0.2">
      <c r="A176" s="1770"/>
      <c r="B176" s="1784"/>
      <c r="C176" s="1785"/>
      <c r="D176" s="1786" t="s">
        <v>1817</v>
      </c>
      <c r="E176" s="1787"/>
      <c r="F176" s="1789">
        <f>'Cap Outlay Deprec 26'!I18</f>
        <v>413060</v>
      </c>
    </row>
    <row r="177" spans="1:7" ht="12" customHeight="1" x14ac:dyDescent="0.2">
      <c r="A177" s="1770"/>
      <c r="B177" s="1784"/>
      <c r="C177" s="1785"/>
      <c r="D177" s="1786" t="s">
        <v>2058</v>
      </c>
      <c r="E177" s="1787"/>
      <c r="F177" s="1789">
        <f>F175+F176</f>
        <v>5117174.9399999995</v>
      </c>
    </row>
    <row r="178" spans="1:7" ht="12" customHeight="1" x14ac:dyDescent="0.2">
      <c r="A178" s="1770"/>
      <c r="B178" s="1790"/>
      <c r="C178" s="1785"/>
      <c r="D178" s="1786" t="str">
        <f>D78</f>
        <v>9 Month ADA from District Average Daily Attendance/Prior General State Aid Inquiry 2018-2019</v>
      </c>
      <c r="E178" s="1787"/>
      <c r="F178" s="1791">
        <f>'PCTC-OEPP 27-28'!F78</f>
        <v>543.15</v>
      </c>
      <c r="G178" s="930"/>
    </row>
    <row r="179" spans="1:7" ht="12" customHeight="1" thickBot="1" x14ac:dyDescent="0.25">
      <c r="A179" s="1770"/>
      <c r="B179" s="1790"/>
      <c r="C179" s="1785"/>
      <c r="D179" s="1786" t="s">
        <v>2059</v>
      </c>
      <c r="E179" s="1787" t="s">
        <v>1545</v>
      </c>
      <c r="F179" s="1792">
        <f>F177/F178</f>
        <v>9421.2923501795085</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ageMargins left="0.54" right="0.2" top="0.7" bottom="0.45" header="0.19" footer="0.17"/>
  <pageSetup scale="73" firstPageNumber="27" fitToHeight="0" orientation="portrait" useFirstPageNumber="1" r:id="rId2"/>
  <headerFooter alignWithMargins="0">
    <oddHeader>&amp;L&amp;8Page &amp;P&amp;C &amp;R&amp;8Page &amp;P</oddHeader>
    <oddFooter>&amp;L&amp;8"The notes are an integral part of these statements"&amp;CPages 27-28</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13" zoomScaleNormal="100" workbookViewId="0">
      <selection activeCell="C21" sqref="C21"/>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4" t="s">
        <v>1819</v>
      </c>
      <c r="B6" s="1535"/>
      <c r="C6" s="1535"/>
      <c r="D6" s="1535"/>
      <c r="E6" s="1535"/>
      <c r="F6" s="1535"/>
      <c r="G6" s="1536"/>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7" t="s">
        <v>1820</v>
      </c>
      <c r="B10" s="1538"/>
      <c r="C10" s="1538"/>
      <c r="D10" s="1538"/>
      <c r="E10" s="1538"/>
      <c r="F10" s="1538"/>
      <c r="G10" s="1539"/>
    </row>
    <row r="11" spans="1:7" ht="17.25" customHeight="1" x14ac:dyDescent="0.25">
      <c r="A11" s="2274" t="s">
        <v>1934</v>
      </c>
      <c r="B11" s="2275"/>
      <c r="C11" s="2275"/>
      <c r="D11" s="2275"/>
      <c r="E11" s="2275"/>
      <c r="F11" s="2275"/>
      <c r="G11" s="2276"/>
    </row>
    <row r="12" spans="1:7" ht="15" customHeight="1" x14ac:dyDescent="0.25">
      <c r="A12" s="1537" t="s">
        <v>1825</v>
      </c>
      <c r="B12" s="1538"/>
      <c r="C12" s="1538"/>
      <c r="D12" s="1538"/>
      <c r="E12" s="1538"/>
      <c r="F12" s="1538"/>
      <c r="G12" s="1539"/>
    </row>
    <row r="13" spans="1:7" ht="32.25" customHeight="1" x14ac:dyDescent="0.25">
      <c r="A13" s="2265" t="s">
        <v>1976</v>
      </c>
      <c r="B13" s="2266"/>
      <c r="C13" s="2266"/>
      <c r="D13" s="2266"/>
      <c r="E13" s="2266"/>
      <c r="F13" s="2266"/>
      <c r="G13" s="2267"/>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2088</v>
      </c>
      <c r="B17" s="2485" t="s">
        <v>2091</v>
      </c>
      <c r="C17" s="1937" t="s">
        <v>2086</v>
      </c>
      <c r="D17" s="1844">
        <v>1202.25</v>
      </c>
      <c r="E17" s="1540">
        <f t="shared" ref="E17:E141" si="0">IF(D17&lt;=25000,D17,IF(D17&gt;25000,25000,0))</f>
        <v>1202.25</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1202.25</v>
      </c>
      <c r="G17" s="1793">
        <f>IF(F17=0,0,D17-F17)</f>
        <v>0</v>
      </c>
      <c r="H17" s="1647"/>
    </row>
    <row r="18" spans="1:8" x14ac:dyDescent="0.25">
      <c r="A18" s="1938" t="s">
        <v>2088</v>
      </c>
      <c r="B18" s="2485" t="s">
        <v>2091</v>
      </c>
      <c r="C18" s="1937" t="s">
        <v>2087</v>
      </c>
      <c r="D18" s="1844">
        <v>2392</v>
      </c>
      <c r="E18" s="1540">
        <f t="shared" ref="E18:E140" si="2">IF(D18&lt;=25000,D18,IF(D18&gt;25000,25000,0))</f>
        <v>2392</v>
      </c>
      <c r="F18" s="1932">
        <f t="shared" si="1"/>
        <v>2392</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3594.25</v>
      </c>
      <c r="E141" s="1541">
        <f t="shared" si="0"/>
        <v>3594.25</v>
      </c>
      <c r="F141" s="1933">
        <f>SUM(F17:F140)</f>
        <v>3594.25</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13" sqref="E1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64032</v>
      </c>
      <c r="F8" s="974"/>
      <c r="G8" s="975"/>
      <c r="H8" s="162"/>
      <c r="I8" s="162"/>
    </row>
    <row r="9" spans="1:9" s="668" customFormat="1" ht="12" customHeight="1" x14ac:dyDescent="0.2">
      <c r="A9" s="970" t="s">
        <v>130</v>
      </c>
      <c r="B9" s="971"/>
      <c r="C9" s="971"/>
      <c r="D9" s="972"/>
      <c r="E9" s="973">
        <v>288352</v>
      </c>
      <c r="F9" s="974"/>
      <c r="G9" s="975"/>
      <c r="H9" s="162"/>
      <c r="I9" s="162"/>
    </row>
    <row r="10" spans="1:9" s="668" customFormat="1" ht="12" customHeight="1" x14ac:dyDescent="0.2">
      <c r="A10" s="970" t="s">
        <v>1933</v>
      </c>
      <c r="B10" s="971"/>
      <c r="C10" s="976"/>
      <c r="D10" s="972"/>
      <c r="E10" s="973">
        <v>177037</v>
      </c>
      <c r="F10" s="974"/>
      <c r="G10" s="975"/>
      <c r="H10" s="162"/>
      <c r="I10" s="162"/>
    </row>
    <row r="11" spans="1:9" s="668" customFormat="1" ht="22.5" customHeight="1" x14ac:dyDescent="0.2">
      <c r="A11" s="2285" t="s">
        <v>1977</v>
      </c>
      <c r="B11" s="2286"/>
      <c r="C11" s="2286"/>
      <c r="D11" s="228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3964860.6299999994</v>
      </c>
      <c r="F19" s="1799"/>
      <c r="G19" s="1801">
        <f>'Expenditures 15-22'!K33-SUM('Expenditures 15-22'!G33,'Expenditures 15-22'!I33)+'Expenditures 15-22'!D229</f>
        <v>3964860.6299999994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68387.040000000008</v>
      </c>
      <c r="F21" s="1802"/>
      <c r="G21" s="1805">
        <f>'Expenditures 15-22'!K42-SUM('Expenditures 15-22'!G42,'Expenditures 15-22'!I42)+'Expenditures 15-22'!K120-SUM('Expenditures 15-22'!G120,'Expenditures 15-22'!I120)+'Expenditures 15-22'!K180-SUM('Expenditures 15-22'!G180,'Expenditures 15-22'!I180)+'Expenditures 15-22'!D238</f>
        <v>68387.040000000008</v>
      </c>
      <c r="H21" s="987"/>
      <c r="I21" s="162"/>
    </row>
    <row r="22" spans="1:9" s="668" customFormat="1" ht="12" customHeight="1" x14ac:dyDescent="0.2">
      <c r="A22" s="994" t="s">
        <v>564</v>
      </c>
      <c r="B22" s="995"/>
      <c r="C22" s="993">
        <v>2200</v>
      </c>
      <c r="D22" s="1802"/>
      <c r="E22" s="1804">
        <f>'Expenditures 15-22'!K47-SUM('Expenditures 15-22'!G47,'Expenditures 15-22'!I47)+'Expenditures 15-22'!D243</f>
        <v>214420.51</v>
      </c>
      <c r="F22" s="1802"/>
      <c r="G22" s="1805">
        <f>'Expenditures 15-22'!K47-SUM('Expenditures 15-22'!G47,'Expenditures 15-22'!I47)+'Expenditures 15-22'!D243</f>
        <v>214420.51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518975.58</v>
      </c>
      <c r="F23" s="1802"/>
      <c r="G23" s="1804">
        <f>'Expenditures 15-22'!K53-SUM('Expenditures 15-22'!G53,'Expenditures 15-22'!I53)+'Expenditures 15-22'!D257+'Expenditures 15-22'!K330-SUM('Expenditures 15-22'!G330,'Expenditures 15-22'!I330)</f>
        <v>518975.58</v>
      </c>
      <c r="H23" s="987"/>
      <c r="I23" s="162"/>
    </row>
    <row r="24" spans="1:9" s="668" customFormat="1" ht="12" customHeight="1" x14ac:dyDescent="0.2">
      <c r="A24" s="994" t="s">
        <v>566</v>
      </c>
      <c r="B24" s="995"/>
      <c r="C24" s="993">
        <v>2400</v>
      </c>
      <c r="D24" s="1802"/>
      <c r="E24" s="1804">
        <f>'Expenditures 15-22'!K57-SUM('Expenditures 15-22'!G57,'Expenditures 15-22'!I57)+'Expenditures 15-22'!D261</f>
        <v>71030.560000000012</v>
      </c>
      <c r="F24" s="1802"/>
      <c r="G24" s="1805">
        <f>'Expenditures 15-22'!K57-SUM('Expenditures 15-22'!G57,'Expenditures 15-22'!I57)+'Expenditures 15-22'!D261</f>
        <v>71030.560000000012</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298.97000000000003</v>
      </c>
      <c r="E26" s="1804">
        <f>'Expenditures 15-22'!K122-SUM('Expenditures 15-22'!G122,'Expenditures 15-22'!I122)+E7</f>
        <v>0</v>
      </c>
      <c r="F26" s="1804">
        <f>'Expenditures 15-22'!K59-SUM('Expenditures 15-22'!G59,'Expenditures 15-22'!I59)+'Expenditures 15-22'!D263-E7</f>
        <v>298.97000000000003</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17937.14</v>
      </c>
      <c r="E27" s="1804">
        <f>E8</f>
        <v>64032</v>
      </c>
      <c r="F27" s="1804">
        <f>'Expenditures 15-22'!K60-SUM('Expenditures 15-22'!G60,'Expenditures 15-22'!I60)+'Expenditures 15-22'!D264-E8</f>
        <v>17937.14</v>
      </c>
      <c r="G27" s="1805">
        <f>E8</f>
        <v>64032</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513151.50999999995</v>
      </c>
      <c r="F28" s="1806">
        <f>'Expenditures 15-22'!K61-SUM('Expenditures 15-22'!G61,'Expenditures 15-22'!I61)+'Expenditures 15-22'!K124-SUM('Expenditures 15-22'!G124,'Expenditures 15-22'!I124)+'Expenditures 15-22'!D266-E9</f>
        <v>224799.50999999995</v>
      </c>
      <c r="G28" s="1805">
        <f>E9</f>
        <v>288352</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346205.85</v>
      </c>
      <c r="F29" s="1802"/>
      <c r="G29" s="1805">
        <f>'Expenditures 15-22'!K62-SUM('Expenditures 15-22'!G62,'Expenditures 15-22'!I62)+'Expenditures 15-22'!K125-SUM('Expenditures 15-22'!G125,'Expenditures 15-22'!I125)+'Expenditures 15-22'!K182-SUM('Expenditures 15-22'!G182,'Expenditures 15-22'!I182)+'Expenditures 15-22'!D267</f>
        <v>346205.85</v>
      </c>
      <c r="H29" s="985"/>
    </row>
    <row r="30" spans="1:9" ht="12" customHeight="1" x14ac:dyDescent="0.2">
      <c r="A30" s="994" t="s">
        <v>100</v>
      </c>
      <c r="B30" s="997"/>
      <c r="C30" s="993">
        <v>2560</v>
      </c>
      <c r="D30" s="1802"/>
      <c r="E30" s="1804">
        <f>'Expenditures 15-22'!K63-SUM('Expenditures 15-22'!G63,'Expenditures 15-22'!I63)+'Expenditures 15-22'!D268-E10</f>
        <v>175449.38000000006</v>
      </c>
      <c r="F30" s="1802"/>
      <c r="G30" s="1804">
        <f>'Expenditures 15-22'!K63-SUM('Expenditures 15-22'!G63,'Expenditures 15-22'!I63)+'Expenditures 15-22'!D268-E10</f>
        <v>175449.38000000006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57870</v>
      </c>
      <c r="F38" s="1802"/>
      <c r="G38" s="1804">
        <f>'Expenditures 15-22'!K73-SUM('Expenditures 15-22'!G73,'Expenditures 15-22'!I73)+'Expenditures 15-22'!K128-SUM('Expenditures 15-22'!G128,'Expenditures 15-22'!I128)+'Expenditures 15-22'!K183-SUM('Expenditures 15-22'!G183,'Expenditures 15-22'!I183)+'Expenditures 15-22'!D278</f>
        <v>57870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309493.33999999991</v>
      </c>
      <c r="F39" s="1802"/>
      <c r="G39" s="1804">
        <f>'Expenditures 15-22'!K75-SUM('Expenditures 15-22'!G75,'Expenditures 15-22'!I75)+'Expenditures 15-22'!K130-SUM('Expenditures 15-22'!G130,'Expenditures 15-22'!I130)+'Expenditures 15-22'!K185-SUM('Expenditures 15-22'!G185,'Expenditures 15-22'!I185)+'Expenditures 15-22'!D280</f>
        <v>309493.33999999991</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18236.11</v>
      </c>
      <c r="E41" s="1806">
        <f>SUM(E19:E40)</f>
        <v>6303876.3999999985</v>
      </c>
      <c r="F41" s="1806">
        <f>SUM(F19:F39)</f>
        <v>243035.61999999994</v>
      </c>
      <c r="G41" s="1806">
        <f>SUM(G19:G40)</f>
        <v>6079076.8899999987</v>
      </c>
    </row>
    <row r="42" spans="1:7" x14ac:dyDescent="0.2">
      <c r="A42" s="987"/>
      <c r="B42" s="162"/>
      <c r="C42" s="1001"/>
      <c r="D42" s="2283" t="s">
        <v>522</v>
      </c>
      <c r="E42" s="2284"/>
      <c r="F42" s="1002" t="s">
        <v>523</v>
      </c>
      <c r="G42" s="1003"/>
    </row>
    <row r="43" spans="1:7" ht="12" customHeight="1" x14ac:dyDescent="0.2">
      <c r="A43" s="987"/>
      <c r="B43" s="162"/>
      <c r="C43" s="1001"/>
      <c r="D43" s="1807" t="s">
        <v>473</v>
      </c>
      <c r="E43" s="1808">
        <f>D41</f>
        <v>18236.11</v>
      </c>
      <c r="F43" s="1807" t="s">
        <v>473</v>
      </c>
      <c r="G43" s="1808">
        <f>F41</f>
        <v>243035.61999999994</v>
      </c>
    </row>
    <row r="44" spans="1:7" ht="12" customHeight="1" x14ac:dyDescent="0.2">
      <c r="A44" s="987"/>
      <c r="B44" s="162"/>
      <c r="C44" s="1001"/>
      <c r="D44" s="1807" t="s">
        <v>474</v>
      </c>
      <c r="E44" s="1808">
        <f>E41</f>
        <v>6303876.3999999985</v>
      </c>
      <c r="F44" s="1807" t="s">
        <v>474</v>
      </c>
      <c r="G44" s="1808">
        <f>G41</f>
        <v>6079076.8899999987</v>
      </c>
    </row>
    <row r="45" spans="1:7" ht="12" customHeight="1" x14ac:dyDescent="0.2">
      <c r="A45" s="987"/>
      <c r="B45" s="162"/>
      <c r="C45" s="162"/>
      <c r="D45" s="1809" t="s">
        <v>1006</v>
      </c>
      <c r="E45" s="1810">
        <f>(E43/E44)</f>
        <v>2.8928406654673629E-3</v>
      </c>
      <c r="F45" s="1809" t="s">
        <v>1006</v>
      </c>
      <c r="G45" s="1810">
        <f>(G43/G44)</f>
        <v>3.9979033724641698E-2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integral part of these statements"&amp;CPage 30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selection activeCell="F30" sqref="F30"/>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2" t="s">
        <v>1379</v>
      </c>
      <c r="B1" s="2302"/>
      <c r="C1" s="2302"/>
      <c r="D1" s="2302"/>
      <c r="E1" s="2302"/>
      <c r="F1" s="2302"/>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3" t="s">
        <v>1546</v>
      </c>
      <c r="B5" s="2304"/>
      <c r="C5" s="2305"/>
      <c r="D5" s="2305"/>
      <c r="E5" s="2305"/>
      <c r="F5" s="2305"/>
    </row>
    <row r="6" spans="1:10" ht="12" customHeight="1" x14ac:dyDescent="0.25">
      <c r="A6" s="1850"/>
      <c r="B6" s="1851"/>
      <c r="C6" s="2306" t="str">
        <f>COVER!A17</f>
        <v>Unity Point CCSD 140</v>
      </c>
      <c r="D6" s="2306"/>
      <c r="E6" s="2306"/>
      <c r="F6" s="1852"/>
    </row>
    <row r="7" spans="1:10" ht="11.25" customHeight="1" thickBot="1" x14ac:dyDescent="0.3">
      <c r="A7" s="1850"/>
      <c r="B7" s="1851"/>
      <c r="C7" s="2307">
        <f>COVER!A13</f>
        <v>30039140004</v>
      </c>
      <c r="D7" s="2307"/>
      <c r="E7" s="2307"/>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2080</v>
      </c>
      <c r="D26" s="1865" t="s">
        <v>2080</v>
      </c>
      <c r="E26" s="1868" t="s">
        <v>2080</v>
      </c>
      <c r="F26" s="1867" t="s">
        <v>2089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2080</v>
      </c>
      <c r="D30" s="1865" t="s">
        <v>2080</v>
      </c>
      <c r="E30" s="1868" t="s">
        <v>2080</v>
      </c>
      <c r="F30" s="1867" t="s">
        <v>2090</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10</v>
      </c>
      <c r="K34" s="1878">
        <f>SUM(H34:J34)</f>
        <v>30</v>
      </c>
    </row>
    <row r="35" spans="1:11" ht="12" customHeight="1" x14ac:dyDescent="0.2">
      <c r="A35" s="1871" t="s">
        <v>1392</v>
      </c>
      <c r="B35" s="1872"/>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3"/>
      <c r="B39" s="1873"/>
      <c r="C39" s="1873"/>
      <c r="D39" s="1873"/>
      <c r="E39" s="1873"/>
      <c r="F39" s="1873"/>
    </row>
    <row r="40" spans="1:11" s="1870" customFormat="1" ht="12" customHeight="1" x14ac:dyDescent="0.25">
      <c r="A40" s="1874" t="s">
        <v>1391</v>
      </c>
      <c r="B40" s="1875"/>
      <c r="C40" s="2297"/>
      <c r="D40" s="2297"/>
      <c r="E40" s="2297"/>
      <c r="F40" s="2298"/>
      <c r="H40" s="1879"/>
      <c r="I40" s="1879"/>
      <c r="J40" s="1879"/>
      <c r="K40" s="1879"/>
    </row>
    <row r="41" spans="1:11" s="1870" customFormat="1" ht="12" customHeight="1" x14ac:dyDescent="0.25">
      <c r="A41" s="2299"/>
      <c r="B41" s="2300"/>
      <c r="C41" s="2300"/>
      <c r="D41" s="2300"/>
      <c r="E41" s="2300"/>
      <c r="F41" s="2301"/>
      <c r="H41" s="1879"/>
      <c r="I41" s="1879"/>
      <c r="J41" s="1879"/>
      <c r="K41" s="1879"/>
    </row>
    <row r="42" spans="1:11" s="1870" customFormat="1" ht="12" customHeight="1" x14ac:dyDescent="0.25">
      <c r="A42" s="2299"/>
      <c r="B42" s="2300"/>
      <c r="C42" s="2300"/>
      <c r="D42" s="2300"/>
      <c r="E42" s="2300"/>
      <c r="F42" s="2301"/>
      <c r="H42" s="1879"/>
      <c r="I42" s="1879"/>
      <c r="J42" s="1879"/>
      <c r="K42" s="1879"/>
    </row>
    <row r="43" spans="1:11" s="1870" customFormat="1" ht="15" x14ac:dyDescent="0.25">
      <c r="A43" s="2288"/>
      <c r="B43" s="2289"/>
      <c r="C43" s="2289"/>
      <c r="D43" s="2289"/>
      <c r="E43" s="2289"/>
      <c r="F43" s="2290"/>
      <c r="H43" s="1879"/>
      <c r="I43" s="1879"/>
      <c r="J43" s="1879"/>
      <c r="K43" s="1879"/>
    </row>
    <row r="44" spans="1:11" s="1870" customFormat="1" ht="12" hidden="1" customHeight="1" x14ac:dyDescent="0.25">
      <c r="A44" s="2288"/>
      <c r="B44" s="2289"/>
      <c r="C44" s="2289"/>
      <c r="D44" s="2289"/>
      <c r="E44" s="2289"/>
      <c r="F44" s="229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73" orientation="landscape" r:id="rId1"/>
  <headerFooter>
    <oddFooter>&amp;L"The notes are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5" t="str">
        <f>COVER!A17</f>
        <v>Unity Point CCSD 140</v>
      </c>
      <c r="J6" s="2316"/>
      <c r="Q6" s="1664"/>
    </row>
    <row r="7" spans="1:17" x14ac:dyDescent="0.2">
      <c r="A7" s="2317" t="s">
        <v>869</v>
      </c>
      <c r="B7" s="2318"/>
      <c r="C7" s="2318"/>
      <c r="D7" s="2318"/>
      <c r="E7" s="2319"/>
      <c r="F7" s="1017"/>
      <c r="G7" s="1009"/>
      <c r="H7" s="1016" t="s">
        <v>372</v>
      </c>
      <c r="I7" s="2320">
        <f>COVER!A13</f>
        <v>30039140004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486261.51</v>
      </c>
      <c r="F12" s="1039"/>
      <c r="G12" s="1811">
        <f t="shared" ref="G12:G18" si="0">SUM(E12:F12)</f>
        <v>486261.51</v>
      </c>
      <c r="H12" s="1040">
        <v>444049</v>
      </c>
      <c r="I12" s="1039"/>
      <c r="J12" s="1811">
        <f t="shared" ref="J12:J18" si="1">SUM(H12:I12)</f>
        <v>444049</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298.97000000000003</v>
      </c>
      <c r="F15" s="1811">
        <f>'Expenditures 15-22'!K122</f>
        <v>0</v>
      </c>
      <c r="G15" s="1811">
        <f t="shared" si="0"/>
        <v>298.97000000000003</v>
      </c>
      <c r="H15" s="1040">
        <v>36146</v>
      </c>
      <c r="I15" s="1040"/>
      <c r="J15" s="1811">
        <f t="shared" si="1"/>
        <v>36146</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4" t="s">
        <v>7</v>
      </c>
      <c r="C18" s="2325"/>
      <c r="D18" s="2326"/>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486560.48</v>
      </c>
      <c r="F19" s="1813">
        <f t="shared" si="2"/>
        <v>0</v>
      </c>
      <c r="G19" s="1813">
        <f t="shared" si="2"/>
        <v>486560.48</v>
      </c>
      <c r="H19" s="1813">
        <f t="shared" si="2"/>
        <v>480195</v>
      </c>
      <c r="I19" s="1813">
        <f t="shared" si="2"/>
        <v>0</v>
      </c>
      <c r="J19" s="1813">
        <f t="shared" si="2"/>
        <v>480195</v>
      </c>
    </row>
    <row r="20" spans="1:10" ht="13.5" thickTop="1" x14ac:dyDescent="0.2">
      <c r="A20" s="1035">
        <v>9</v>
      </c>
      <c r="B20" s="2327" t="s">
        <v>1981</v>
      </c>
      <c r="C20" s="2327"/>
      <c r="D20" s="2328"/>
      <c r="E20" s="1046"/>
      <c r="F20" s="1046"/>
      <c r="G20" s="1046"/>
      <c r="H20" s="1046"/>
      <c r="I20" s="1046"/>
      <c r="J20" s="1814">
        <f>IF(AND(G19&gt;0,J19&gt;0),(((J19-G19)/G19)),"Enter Budget Data")</f>
        <v>-1.3082607942182196E-2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1983</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statemetns"&amp;CPage 32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4" zoomScale="110" zoomScaleNormal="110" workbookViewId="0">
      <selection activeCell="D61" sqref="D6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Unity Point CCSD 140</v>
      </c>
    </row>
    <row r="65" spans="2:2" x14ac:dyDescent="0.2">
      <c r="B65" s="1070">
        <f>COVER!A13</f>
        <v>30039140004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statements"&amp;CPage 33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B82" sqref="B8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orientation="portrait" r:id="rId4"/>
  <headerFooter>
    <oddFooter>&amp;L"The notes are an integral part of these statements"&amp;CPage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46" sqref="C4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statements"&amp;CPage 34</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statements"&amp;CPage 35</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238125</xdr:colOff>
                <xdr:row>1</xdr:row>
                <xdr:rowOff>123825</xdr:rowOff>
              </from>
              <to>
                <xdr:col>1</xdr:col>
                <xdr:colOff>1152525</xdr:colOff>
                <xdr:row>6</xdr:row>
                <xdr:rowOff>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4" sqref="D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1988</v>
      </c>
      <c r="B4" s="2355"/>
      <c r="C4" s="2355"/>
      <c r="D4" s="2355"/>
      <c r="E4" s="2355"/>
      <c r="F4" s="2356"/>
      <c r="G4" s="1074"/>
      <c r="H4" s="1074"/>
    </row>
    <row r="5" spans="1:8" ht="14.25" customHeight="1" x14ac:dyDescent="0.2">
      <c r="A5" s="2357" t="s">
        <v>1984</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6115901.8799999999</v>
      </c>
      <c r="C8" s="1815">
        <f>'Acct Summary 7-8'!D8</f>
        <v>456069.56</v>
      </c>
      <c r="D8" s="1815">
        <f>'Acct Summary 7-8'!F8</f>
        <v>350645.93</v>
      </c>
      <c r="E8" s="1815">
        <f>'Acct Summary 7-8'!I8</f>
        <v>43499.479999999996</v>
      </c>
      <c r="F8" s="1815">
        <f>SUM(B8:E8)</f>
        <v>6966116.8499999996</v>
      </c>
    </row>
    <row r="9" spans="1:8" s="1079" customFormat="1" ht="14.25" customHeight="1" thickBot="1" x14ac:dyDescent="0.25">
      <c r="A9" s="1078" t="s">
        <v>1369</v>
      </c>
      <c r="B9" s="1816">
        <f>'Acct Summary 7-8'!C17</f>
        <v>5853501.6499999994</v>
      </c>
      <c r="C9" s="1816">
        <f>'Acct Summary 7-8'!D17</f>
        <v>425189.04</v>
      </c>
      <c r="D9" s="1816">
        <f>'Acct Summary 7-8'!F17</f>
        <v>314069.90999999997</v>
      </c>
      <c r="E9" s="1815"/>
      <c r="F9" s="1815">
        <f>SUM(B9:E9)</f>
        <v>6592760.5999999996</v>
      </c>
    </row>
    <row r="10" spans="1:8" s="1079" customFormat="1" ht="14.25" thickTop="1" thickBot="1" x14ac:dyDescent="0.25">
      <c r="A10" s="1080" t="s">
        <v>1370</v>
      </c>
      <c r="B10" s="1817">
        <f>(B8-B9)</f>
        <v>262400.23000000045</v>
      </c>
      <c r="C10" s="1817">
        <f>(C8-C9)</f>
        <v>30880.520000000019</v>
      </c>
      <c r="D10" s="1817">
        <f>(D8-D9)</f>
        <v>36576.020000000019</v>
      </c>
      <c r="E10" s="1816">
        <f>(E8-E9)</f>
        <v>43499.479999999996</v>
      </c>
      <c r="F10" s="1818">
        <f>SUM(F8-F9)</f>
        <v>373356.25</v>
      </c>
    </row>
    <row r="11" spans="1:8" s="1079" customFormat="1" ht="14.25" thickTop="1" thickBot="1" x14ac:dyDescent="0.25">
      <c r="A11" s="1081" t="s">
        <v>1985</v>
      </c>
      <c r="B11" s="1819">
        <f>'Acct Summary 7-8'!C81</f>
        <v>429041.23000000045</v>
      </c>
      <c r="C11" s="1819">
        <f>'Acct Summary 7-8'!D81</f>
        <v>201828.52000000002</v>
      </c>
      <c r="D11" s="1819">
        <f>'Acct Summary 7-8'!F81</f>
        <v>69372.020000000019</v>
      </c>
      <c r="E11" s="1819">
        <f>'Acct Summary 7-8'!I81</f>
        <v>633939.48</v>
      </c>
      <c r="F11" s="1820">
        <f>SUM(B11:E11)</f>
        <v>1334181.2500000005</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statements"&amp;CPage 36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0" colorId="8" zoomScale="110" zoomScaleNormal="110" workbookViewId="0">
      <selection activeCell="D58" sqref="D5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ERROR!</v>
      </c>
    </row>
    <row r="58" spans="1:4" x14ac:dyDescent="0.2">
      <c r="A58" s="1100"/>
      <c r="B58" s="1110"/>
      <c r="C58" s="1118" t="s">
        <v>1348</v>
      </c>
      <c r="D58" s="1124" t="e">
        <f>IF((('Assets-Liab 5-6'!D38+'Assets-Liab 5-6'!D39) ='Acct Summary 7-8'!D81), "OK", "ERROR!" )</f>
        <v>#VALUE!</v>
      </c>
    </row>
    <row r="59" spans="1:4" s="1116" customFormat="1" x14ac:dyDescent="0.2">
      <c r="A59" s="1100"/>
      <c r="B59" s="1110"/>
      <c r="C59" s="1118" t="s">
        <v>1349</v>
      </c>
      <c r="D59" s="1124" t="str">
        <f>IF((('Assets-Liab 5-6'!E38 + 'Assets-Liab 5-6'!E39) ='Acct Summary 7-8'!E81), "OK", "ERROR!" )</f>
        <v>ERROR!</v>
      </c>
    </row>
    <row r="60" spans="1:4" x14ac:dyDescent="0.2">
      <c r="A60" s="1100"/>
      <c r="B60" s="1110"/>
      <c r="C60" s="1118" t="s">
        <v>1350</v>
      </c>
      <c r="D60" s="1124" t="str">
        <f>IF((('Assets-Liab 5-6'!F38 + 'Assets-Liab 5-6'!F39) ='Acct Summary 7-8'!F81), "OK", "ERROR!" )</f>
        <v>ERROR!</v>
      </c>
    </row>
    <row r="61" spans="1:4" ht="12.75" customHeight="1" x14ac:dyDescent="0.2">
      <c r="A61" s="1100"/>
      <c r="B61" s="1110"/>
      <c r="C61" s="1118" t="s">
        <v>1363</v>
      </c>
      <c r="D61" s="1124" t="str">
        <f>IF((('Assets-Liab 5-6'!G38 + 'Assets-Liab 5-6'!G39) ='Acct Summary 7-8'!G81), "OK", "ERROR!" )</f>
        <v>ERROR!</v>
      </c>
    </row>
    <row r="62" spans="1:4" x14ac:dyDescent="0.2">
      <c r="A62" s="1100"/>
      <c r="B62" s="1110"/>
      <c r="C62" s="1118" t="s">
        <v>1351</v>
      </c>
      <c r="D62" s="1124" t="str">
        <f>IF((('Assets-Liab 5-6'!H38 + 'Assets-Liab 5-6'!H39) ='Acct Summary 7-8'!H81), "OK", "ERROR!" )</f>
        <v>ERROR!</v>
      </c>
    </row>
    <row r="63" spans="1:4" ht="12.75" customHeight="1" x14ac:dyDescent="0.2">
      <c r="A63" s="1100"/>
      <c r="B63" s="1110"/>
      <c r="C63" s="1118" t="s">
        <v>1352</v>
      </c>
      <c r="D63" s="1124" t="str">
        <f>IF((('Assets-Liab 5-6'!I38 + 'Assets-Liab 5-6'!I39) ='Acct Summary 7-8'!I81), "OK", "ERROR!" )</f>
        <v>ERROR!</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30039140004</v>
      </c>
    </row>
    <row r="3" spans="1:2" x14ac:dyDescent="0.2">
      <c r="A3" t="s">
        <v>956</v>
      </c>
      <c r="B3" s="138" t="str">
        <f>COVER!A15</f>
        <v>Jackson</v>
      </c>
    </row>
    <row r="4" spans="1:2" x14ac:dyDescent="0.2">
      <c r="A4" t="s">
        <v>1007</v>
      </c>
      <c r="B4" s="138" t="str">
        <f>COVER!A17</f>
        <v>Unity Point CCSD 140</v>
      </c>
    </row>
    <row r="5" spans="1:2" x14ac:dyDescent="0.2">
      <c r="A5" t="s">
        <v>704</v>
      </c>
      <c r="B5" s="138" t="str">
        <f>COVER!A38</f>
        <v>Dr. Lori James-Gross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65.028419999999997</v>
      </c>
    </row>
    <row r="16" spans="1:2" x14ac:dyDescent="0.2">
      <c r="A16" t="s">
        <v>422</v>
      </c>
      <c r="B16" s="138" t="str">
        <f>COVER!T13</f>
        <v>Kujawa &amp; Batteau, P.C.</v>
      </c>
    </row>
    <row r="17" spans="1:2" x14ac:dyDescent="0.2">
      <c r="A17" t="s">
        <v>884</v>
      </c>
      <c r="B17" s="138" t="str">
        <f>COVER!T15</f>
        <v>Kevin Batteau</v>
      </c>
    </row>
    <row r="18" spans="1:2" x14ac:dyDescent="0.2">
      <c r="A18" t="s">
        <v>1150</v>
      </c>
      <c r="B18" s="138" t="str">
        <f>COVER!T17</f>
        <v>309 S. Walnut Street</v>
      </c>
    </row>
    <row r="19" spans="1:2" x14ac:dyDescent="0.2">
      <c r="A19" t="s">
        <v>886</v>
      </c>
      <c r="B19" s="138" t="str">
        <f>COVER!T25</f>
        <v>kbatteau@kandb-cpa.com</v>
      </c>
    </row>
    <row r="20" spans="1:2" x14ac:dyDescent="0.2">
      <c r="A20" t="s">
        <v>887</v>
      </c>
      <c r="B20" s="138" t="str">
        <f>COVER!T19</f>
        <v>Pinckneyville</v>
      </c>
    </row>
    <row r="21" spans="1:2" x14ac:dyDescent="0.2">
      <c r="A21" t="s">
        <v>479</v>
      </c>
      <c r="B21" s="138" t="str">
        <f>COVER!X19</f>
        <v>IL</v>
      </c>
    </row>
    <row r="22" spans="1:2" x14ac:dyDescent="0.2">
      <c r="A22" t="s">
        <v>888</v>
      </c>
      <c r="B22" s="138">
        <f>COVER!Z19</f>
        <v>62274</v>
      </c>
    </row>
    <row r="23" spans="1:2" x14ac:dyDescent="0.2">
      <c r="A23" t="s">
        <v>1152</v>
      </c>
      <c r="B23" s="138" t="str">
        <f>COVER!T21</f>
        <v>(618) 357-3000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35796</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576390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147349</v>
      </c>
      <c r="C91" s="2" t="s">
        <v>573</v>
      </c>
      <c r="D91" s="2" t="str">
        <f t="shared" si="0"/>
        <v>Error?</v>
      </c>
    </row>
    <row r="92" spans="1:4" x14ac:dyDescent="0.2">
      <c r="A92" s="5">
        <v>31</v>
      </c>
      <c r="B92" s="138">
        <f>'Assets-Liab 5-6'!C39</f>
        <v>429041</v>
      </c>
      <c r="D92" s="2" t="str">
        <f t="shared" si="0"/>
        <v>Error?</v>
      </c>
    </row>
    <row r="93" spans="1:4" x14ac:dyDescent="0.2">
      <c r="A93" s="5">
        <v>32</v>
      </c>
      <c r="B93" s="138">
        <f>'Assets-Liab 5-6'!C41</f>
        <v>576390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201877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48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48</v>
      </c>
      <c r="C122" s="2" t="s">
        <v>573</v>
      </c>
      <c r="D122" s="2" t="str">
        <f t="shared" si="0"/>
        <v>Error?</v>
      </c>
    </row>
    <row r="123" spans="1:4" x14ac:dyDescent="0.2">
      <c r="A123" s="5">
        <v>62</v>
      </c>
      <c r="B123" s="138">
        <f>'Assets-Liab 5-6'!D39</f>
        <v>201829</v>
      </c>
      <c r="D123" s="2" t="str">
        <f t="shared" si="0"/>
        <v>Error?</v>
      </c>
    </row>
    <row r="124" spans="1:4" x14ac:dyDescent="0.2">
      <c r="A124" s="5">
        <v>63</v>
      </c>
      <c r="B124" s="138">
        <f>'Assets-Liab 5-6'!D41</f>
        <v>201877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240578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240578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69420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48</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48</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69420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121701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121701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1618833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1618833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30100</v>
      </c>
      <c r="D273" s="2" t="str">
        <f t="shared" si="3"/>
        <v>Error?</v>
      </c>
    </row>
    <row r="274" spans="1:4" x14ac:dyDescent="0.2">
      <c r="A274" s="5">
        <v>213</v>
      </c>
      <c r="B274" s="138">
        <f>'Assets-Liab 5-6'!M17</f>
        <v>12301739</v>
      </c>
      <c r="D274" s="2" t="str">
        <f t="shared" si="3"/>
        <v>Error?</v>
      </c>
    </row>
    <row r="275" spans="1:4" x14ac:dyDescent="0.2">
      <c r="A275" s="5">
        <v>214</v>
      </c>
      <c r="B275" s="138">
        <f>'Assets-Liab 5-6'!M18</f>
        <v>1015859</v>
      </c>
      <c r="D275" s="2" t="str">
        <f t="shared" si="3"/>
        <v>Error?</v>
      </c>
    </row>
    <row r="276" spans="1:4" x14ac:dyDescent="0.2">
      <c r="A276" s="5">
        <v>215</v>
      </c>
      <c r="B276" s="138">
        <f>'Assets-Liab 5-6'!M19</f>
        <v>3427079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16774777</v>
      </c>
      <c r="C279" s="2" t="s">
        <v>573</v>
      </c>
      <c r="D279" s="2" t="str">
        <f t="shared" si="3"/>
        <v>Error?</v>
      </c>
    </row>
    <row r="280" spans="1:4" x14ac:dyDescent="0.2">
      <c r="A280" s="5">
        <v>219</v>
      </c>
      <c r="B280" s="138">
        <f>'Assets-Liab 5-6'!M40</f>
        <v>16774777</v>
      </c>
      <c r="D280" s="2" t="str">
        <f t="shared" si="3"/>
        <v>Error?</v>
      </c>
    </row>
    <row r="281" spans="1:4" x14ac:dyDescent="0.2">
      <c r="A281" s="5">
        <v>220</v>
      </c>
      <c r="B281" s="138">
        <f>'Assets-Liab 5-6'!M41</f>
        <v>16774777</v>
      </c>
      <c r="C281" s="2" t="s">
        <v>573</v>
      </c>
      <c r="D281" s="2" t="str">
        <f t="shared" si="3"/>
        <v>Error?</v>
      </c>
    </row>
    <row r="282" spans="1:4" x14ac:dyDescent="0.2">
      <c r="A282" s="5">
        <v>221</v>
      </c>
      <c r="B282" s="138">
        <f>'Assets-Liab 5-6'!N21</f>
        <v>240578</v>
      </c>
      <c r="D282" s="2" t="str">
        <f t="shared" si="3"/>
        <v>Error?</v>
      </c>
    </row>
    <row r="283" spans="1:4" x14ac:dyDescent="0.2">
      <c r="A283" s="5">
        <v>222</v>
      </c>
      <c r="B283" s="138">
        <f>'Assets-Liab 5-6'!N22</f>
        <v>3392010</v>
      </c>
      <c r="D283" s="2" t="str">
        <f t="shared" si="3"/>
        <v>Error?</v>
      </c>
    </row>
    <row r="284" spans="1:4" x14ac:dyDescent="0.2">
      <c r="A284" s="5">
        <v>223</v>
      </c>
      <c r="B284" s="138">
        <f>'Assets-Liab 5-6'!N23</f>
        <v>3632588</v>
      </c>
      <c r="C284" s="2" t="s">
        <v>573</v>
      </c>
      <c r="D284" s="2" t="str">
        <f t="shared" si="3"/>
        <v>Error?</v>
      </c>
    </row>
    <row r="285" spans="1:4" x14ac:dyDescent="0.2">
      <c r="A285" s="5">
        <v>224</v>
      </c>
      <c r="B285" s="138">
        <f>'Assets-Liab 5-6'!N36</f>
        <v>3632588</v>
      </c>
      <c r="D285" s="2" t="str">
        <f t="shared" si="3"/>
        <v>Error?</v>
      </c>
    </row>
    <row r="286" spans="1:4" x14ac:dyDescent="0.2">
      <c r="A286" s="10">
        <v>225</v>
      </c>
      <c r="D286" s="2" t="str">
        <f t="shared" si="3"/>
        <v>OK</v>
      </c>
    </row>
    <row r="287" spans="1:4" x14ac:dyDescent="0.2">
      <c r="A287" s="5">
        <v>226</v>
      </c>
      <c r="B287" s="138">
        <f>'Assets-Liab 5-6'!N37</f>
        <v>3632588</v>
      </c>
      <c r="C287" s="2" t="s">
        <v>573</v>
      </c>
      <c r="D287" s="2" t="str">
        <f t="shared" si="3"/>
        <v>Error?</v>
      </c>
    </row>
    <row r="288" spans="1:4" x14ac:dyDescent="0.2">
      <c r="A288" s="5">
        <v>227</v>
      </c>
      <c r="B288" s="138">
        <f>'Assets-Liab 5-6'!N41</f>
        <v>3632588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2273960.73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126393.05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32785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3166719.45</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3825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3825</v>
      </c>
      <c r="C727" s="2" t="s">
        <v>573</v>
      </c>
      <c r="D727" s="2" t="str">
        <f t="shared" si="10"/>
        <v>Error?</v>
      </c>
    </row>
    <row r="728" spans="1:4" x14ac:dyDescent="0.2">
      <c r="A728" s="5">
        <v>667</v>
      </c>
      <c r="B728" s="138">
        <f>'Expenditures 15-22'!C44</f>
        <v>3560</v>
      </c>
      <c r="D728" s="2" t="str">
        <f t="shared" si="10"/>
        <v>Error?</v>
      </c>
    </row>
    <row r="729" spans="1:4" x14ac:dyDescent="0.2">
      <c r="A729" s="5">
        <v>668</v>
      </c>
      <c r="B729" s="138">
        <f>'Expenditures 15-22'!C45</f>
        <v>103395.12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106955.12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335298.98000000004</v>
      </c>
      <c r="D733" s="2" t="str">
        <f t="shared" si="10"/>
        <v>Error?</v>
      </c>
    </row>
    <row r="734" spans="1:4" x14ac:dyDescent="0.2">
      <c r="A734" s="5">
        <v>673</v>
      </c>
      <c r="B734" s="138">
        <f>'Expenditures 15-22'!C53</f>
        <v>335298.98000000004</v>
      </c>
      <c r="C734" s="2" t="s">
        <v>573</v>
      </c>
      <c r="D734" s="2" t="str">
        <f t="shared" si="10"/>
        <v>Error?</v>
      </c>
    </row>
    <row r="735" spans="1:4" x14ac:dyDescent="0.2">
      <c r="A735" s="5">
        <v>674</v>
      </c>
      <c r="B735" s="138">
        <f>'Expenditures 15-22'!C55</f>
        <v>60137.58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60137.58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55203.44</v>
      </c>
      <c r="D739" s="2" t="str">
        <f t="shared" si="10"/>
        <v>Error?</v>
      </c>
    </row>
    <row r="740" spans="1:4" x14ac:dyDescent="0.2">
      <c r="A740" s="5">
        <v>679</v>
      </c>
      <c r="B740" s="138">
        <f>'Expenditures 15-22'!C61</f>
        <v>31133.9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177037.09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263374.43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769591.1100000001</v>
      </c>
      <c r="C755" s="2" t="s">
        <v>573</v>
      </c>
      <c r="D755" s="2" t="str">
        <f t="shared" si="10"/>
        <v>Error?</v>
      </c>
    </row>
    <row r="756" spans="1:4" x14ac:dyDescent="0.2">
      <c r="A756" s="5">
        <v>695</v>
      </c>
      <c r="B756" s="138">
        <f>'Expenditures 15-22'!C75</f>
        <v>236301.52999999997</v>
      </c>
      <c r="D756" s="2" t="str">
        <f t="shared" si="10"/>
        <v>Error?</v>
      </c>
    </row>
    <row r="757" spans="1:4" x14ac:dyDescent="0.2">
      <c r="A757" s="5">
        <v>696</v>
      </c>
      <c r="B757" s="138">
        <f>'Expenditures 15-22'!C114</f>
        <v>4172612.0900000003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420399.07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18394.25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2275.1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588582.91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2198.17</v>
      </c>
      <c r="D786" s="2" t="str">
        <f t="shared" si="11"/>
        <v>Error?</v>
      </c>
    </row>
    <row r="787" spans="1:4" x14ac:dyDescent="0.2">
      <c r="A787" s="5">
        <v>726</v>
      </c>
      <c r="B787" s="138">
        <f>'Expenditures 15-22'!D45</f>
        <v>9219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11417.17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50844.93</v>
      </c>
      <c r="D791" s="2" t="str">
        <f t="shared" si="11"/>
        <v>Error?</v>
      </c>
    </row>
    <row r="792" spans="1:4" x14ac:dyDescent="0.2">
      <c r="A792" s="5">
        <v>731</v>
      </c>
      <c r="B792" s="138">
        <f>'Expenditures 15-22'!D53</f>
        <v>50844.93</v>
      </c>
      <c r="C792" s="2" t="s">
        <v>573</v>
      </c>
      <c r="D792" s="2" t="str">
        <f t="shared" si="11"/>
        <v>Error?</v>
      </c>
    </row>
    <row r="793" spans="1:4" x14ac:dyDescent="0.2">
      <c r="A793" s="5">
        <v>732</v>
      </c>
      <c r="B793" s="138">
        <f>'Expenditures 15-22'!D55</f>
        <v>7511.2099999999991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7511.2099999999991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1314</v>
      </c>
      <c r="D797" s="2" t="str">
        <f t="shared" si="11"/>
        <v>Error?</v>
      </c>
    </row>
    <row r="798" spans="1:4" x14ac:dyDescent="0.2">
      <c r="A798" s="5">
        <v>737</v>
      </c>
      <c r="B798" s="138">
        <f>'Expenditures 15-22'!D61</f>
        <v>3512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10131.26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14957.26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84730.569999999992</v>
      </c>
      <c r="C813" s="2" t="s">
        <v>573</v>
      </c>
      <c r="D813" s="2" t="str">
        <f t="shared" si="11"/>
        <v>Error?</v>
      </c>
    </row>
    <row r="814" spans="1:4" x14ac:dyDescent="0.2">
      <c r="A814" s="5">
        <v>753</v>
      </c>
      <c r="B814" s="138">
        <f>'Expenditures 15-22'!D75</f>
        <v>17791.21</v>
      </c>
      <c r="D814" s="2" t="str">
        <f t="shared" si="11"/>
        <v>Error?</v>
      </c>
    </row>
    <row r="815" spans="1:4" x14ac:dyDescent="0.2">
      <c r="A815" s="5">
        <v>754</v>
      </c>
      <c r="B815" s="138">
        <f>'Expenditures 15-22'!D114</f>
        <v>691104.69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27585.340000000004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1683.41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7643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47958.760000000009</v>
      </c>
      <c r="C836" s="2" t="s">
        <v>573</v>
      </c>
      <c r="D836" s="2" t="str">
        <f t="shared" si="12"/>
        <v>Error?</v>
      </c>
    </row>
    <row r="837" spans="1:4" x14ac:dyDescent="0.2">
      <c r="A837" s="5">
        <v>776</v>
      </c>
      <c r="B837" s="138">
        <f>'Expenditures 15-22'!E36</f>
        <v>113.63</v>
      </c>
      <c r="D837" s="2" t="str">
        <f t="shared" si="12"/>
        <v>Error?</v>
      </c>
    </row>
    <row r="838" spans="1:4" x14ac:dyDescent="0.2">
      <c r="A838" s="5">
        <v>777</v>
      </c>
      <c r="B838" s="138">
        <f>'Expenditures 15-22'!E37</f>
        <v>40042</v>
      </c>
      <c r="D838" s="2" t="str">
        <f t="shared" si="12"/>
        <v>Error?</v>
      </c>
    </row>
    <row r="839" spans="1:4" x14ac:dyDescent="0.2">
      <c r="A839" s="5">
        <v>778</v>
      </c>
      <c r="B839" s="138">
        <f>'Expenditures 15-22'!E38</f>
        <v>1560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9201.65</v>
      </c>
      <c r="D842" s="2" t="str">
        <f t="shared" si="12"/>
        <v>Error?</v>
      </c>
    </row>
    <row r="843" spans="1:4" x14ac:dyDescent="0.2">
      <c r="A843" s="5">
        <v>782</v>
      </c>
      <c r="B843" s="138">
        <f>'Expenditures 15-22'!E42</f>
        <v>50917.279999999999</v>
      </c>
      <c r="C843" s="2" t="s">
        <v>573</v>
      </c>
      <c r="D843" s="2" t="str">
        <f t="shared" si="12"/>
        <v>Error?</v>
      </c>
    </row>
    <row r="844" spans="1:4" x14ac:dyDescent="0.2">
      <c r="A844" s="5">
        <v>783</v>
      </c>
      <c r="B844" s="138">
        <f>'Expenditures 15-22'!E44</f>
        <v>50099.1</v>
      </c>
      <c r="D844" s="2" t="str">
        <f t="shared" si="12"/>
        <v>Error?</v>
      </c>
    </row>
    <row r="845" spans="1:4" x14ac:dyDescent="0.2">
      <c r="A845" s="5">
        <v>784</v>
      </c>
      <c r="B845" s="138">
        <f>'Expenditures 15-22'!E45</f>
        <v>3101.92</v>
      </c>
      <c r="D845" s="2" t="str">
        <f t="shared" si="12"/>
        <v>Error?</v>
      </c>
    </row>
    <row r="846" spans="1:4" x14ac:dyDescent="0.2">
      <c r="A846" s="5">
        <v>785</v>
      </c>
      <c r="B846" s="138">
        <f>'Expenditures 15-22'!E46</f>
        <v>960</v>
      </c>
      <c r="D846" s="2" t="str">
        <f t="shared" si="12"/>
        <v>Error?</v>
      </c>
    </row>
    <row r="847" spans="1:4" x14ac:dyDescent="0.2">
      <c r="A847" s="5">
        <v>786</v>
      </c>
      <c r="B847" s="138">
        <f>'Expenditures 15-22'!E47</f>
        <v>54161.02</v>
      </c>
      <c r="C847" s="2" t="s">
        <v>573</v>
      </c>
      <c r="D847" s="2" t="str">
        <f t="shared" si="12"/>
        <v>Error?</v>
      </c>
    </row>
    <row r="848" spans="1:4" x14ac:dyDescent="0.2">
      <c r="A848" s="5">
        <v>787</v>
      </c>
      <c r="B848" s="138">
        <f>'Expenditures 15-22'!E49</f>
        <v>7717.63</v>
      </c>
      <c r="D848" s="2" t="str">
        <f t="shared" si="12"/>
        <v>Error?</v>
      </c>
    </row>
    <row r="849" spans="1:4" x14ac:dyDescent="0.2">
      <c r="A849" s="5">
        <v>788</v>
      </c>
      <c r="B849" s="138">
        <f>'Expenditures 15-22'!E50</f>
        <v>55847.409999999996</v>
      </c>
      <c r="D849" s="2" t="str">
        <f t="shared" si="12"/>
        <v>Error?</v>
      </c>
    </row>
    <row r="850" spans="1:4" x14ac:dyDescent="0.2">
      <c r="A850" s="5">
        <v>789</v>
      </c>
      <c r="B850" s="138">
        <f>'Expenditures 15-22'!E53</f>
        <v>69420.14</v>
      </c>
      <c r="C850" s="2" t="s">
        <v>573</v>
      </c>
      <c r="D850" s="2" t="str">
        <f t="shared" si="12"/>
        <v>Error?</v>
      </c>
    </row>
    <row r="851" spans="1:4" x14ac:dyDescent="0.2">
      <c r="A851" s="5">
        <v>790</v>
      </c>
      <c r="B851" s="138">
        <f>'Expenditures 15-22'!E55</f>
        <v>1085.24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1085.24</v>
      </c>
      <c r="C853" s="2" t="s">
        <v>573</v>
      </c>
      <c r="D853" s="2" t="str">
        <f t="shared" si="12"/>
        <v>Error?</v>
      </c>
    </row>
    <row r="854" spans="1:4" x14ac:dyDescent="0.2">
      <c r="A854" s="5">
        <v>793</v>
      </c>
      <c r="B854" s="138">
        <f>'Expenditures 15-22'!E59</f>
        <v>298.97000000000003</v>
      </c>
      <c r="D854" s="2" t="str">
        <f t="shared" si="12"/>
        <v>Error?</v>
      </c>
    </row>
    <row r="855" spans="1:4" x14ac:dyDescent="0.2">
      <c r="A855" s="5">
        <v>794</v>
      </c>
      <c r="B855" s="138">
        <f>'Expenditures 15-22'!E60</f>
        <v>16113.74</v>
      </c>
      <c r="D855" s="2" t="str">
        <f t="shared" si="12"/>
        <v>Error?</v>
      </c>
    </row>
    <row r="856" spans="1:4" x14ac:dyDescent="0.2">
      <c r="A856" s="5">
        <v>795</v>
      </c>
      <c r="B856" s="138">
        <f>'Expenditures 15-22'!E61</f>
        <v>4622.51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4542.9399999999996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25578.16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57870</v>
      </c>
      <c r="D870" s="2" t="str">
        <f t="shared" si="12"/>
        <v>Error?</v>
      </c>
    </row>
    <row r="871" spans="1:4" x14ac:dyDescent="0.2">
      <c r="A871" s="5">
        <v>810</v>
      </c>
      <c r="B871" s="138">
        <f>'Expenditures 15-22'!E74</f>
        <v>259031.84</v>
      </c>
      <c r="C871" s="2" t="s">
        <v>573</v>
      </c>
      <c r="D871" s="2" t="str">
        <f t="shared" si="12"/>
        <v>Error?</v>
      </c>
    </row>
    <row r="872" spans="1:4" x14ac:dyDescent="0.2">
      <c r="A872" s="5">
        <v>811</v>
      </c>
      <c r="B872" s="138">
        <f>'Expenditures 15-22'!E75</f>
        <v>4034.9300000000003</v>
      </c>
      <c r="D872" s="2" t="str">
        <f t="shared" si="12"/>
        <v>Error?</v>
      </c>
    </row>
    <row r="873" spans="1:4" x14ac:dyDescent="0.2">
      <c r="A873" s="5">
        <v>812</v>
      </c>
      <c r="B873" s="138">
        <f>'Expenditures 15-22'!E114</f>
        <v>481725.79999999993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13137.039999999999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866.79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3512.53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35672.43</v>
      </c>
      <c r="C894" s="2" t="s">
        <v>573</v>
      </c>
      <c r="D894" s="2" t="str">
        <f t="shared" si="12"/>
        <v>Error?</v>
      </c>
    </row>
    <row r="895" spans="1:4" x14ac:dyDescent="0.2">
      <c r="A895" s="5">
        <v>834</v>
      </c>
      <c r="B895" s="138">
        <f>'Expenditures 15-22'!F36</f>
        <v>84.13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1045.1199999999999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11829.51</v>
      </c>
      <c r="D900" s="2" t="str">
        <f t="shared" si="13"/>
        <v>Error?</v>
      </c>
    </row>
    <row r="901" spans="1:4" x14ac:dyDescent="0.2">
      <c r="A901" s="5">
        <v>840</v>
      </c>
      <c r="B901" s="138">
        <f>'Expenditures 15-22'!F42</f>
        <v>12958.76</v>
      </c>
      <c r="C901" s="2" t="s">
        <v>573</v>
      </c>
      <c r="D901" s="2" t="str">
        <f t="shared" si="13"/>
        <v>Error?</v>
      </c>
    </row>
    <row r="902" spans="1:4" x14ac:dyDescent="0.2">
      <c r="A902" s="5">
        <v>841</v>
      </c>
      <c r="B902" s="138">
        <f>'Expenditures 15-22'!F44</f>
        <v>8428.39</v>
      </c>
      <c r="D902" s="2" t="str">
        <f t="shared" si="13"/>
        <v>Error?</v>
      </c>
    </row>
    <row r="903" spans="1:4" x14ac:dyDescent="0.2">
      <c r="A903" s="5">
        <v>842</v>
      </c>
      <c r="B903" s="138">
        <f>'Expenditures 15-22'!F45</f>
        <v>18458.120000000003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26886.510000000002</v>
      </c>
      <c r="C905" s="2" t="s">
        <v>573</v>
      </c>
      <c r="D905" s="2" t="str">
        <f t="shared" si="13"/>
        <v>Error?</v>
      </c>
    </row>
    <row r="906" spans="1:4" x14ac:dyDescent="0.2">
      <c r="A906" s="5">
        <v>845</v>
      </c>
      <c r="B906" s="138">
        <f>'Expenditures 15-22'!F49</f>
        <v>219.39</v>
      </c>
      <c r="D906" s="2" t="str">
        <f t="shared" si="13"/>
        <v>Error?</v>
      </c>
    </row>
    <row r="907" spans="1:4" x14ac:dyDescent="0.2">
      <c r="A907" s="5">
        <v>846</v>
      </c>
      <c r="B907" s="138">
        <f>'Expenditures 15-22'!F50</f>
        <v>37120.050000000003</v>
      </c>
      <c r="D907" s="2" t="str">
        <f t="shared" si="13"/>
        <v>Error?</v>
      </c>
    </row>
    <row r="908" spans="1:4" x14ac:dyDescent="0.2">
      <c r="A908" s="5">
        <v>847</v>
      </c>
      <c r="B908" s="138">
        <f>'Expenditures 15-22'!F53</f>
        <v>37339.440000000002</v>
      </c>
      <c r="C908" s="2" t="s">
        <v>573</v>
      </c>
      <c r="D908" s="2" t="str">
        <f t="shared" si="13"/>
        <v>Error?</v>
      </c>
    </row>
    <row r="909" spans="1:4" x14ac:dyDescent="0.2">
      <c r="A909" s="5">
        <v>848</v>
      </c>
      <c r="B909" s="138">
        <f>'Expenditures 15-22'!F55</f>
        <v>1439.8400000000001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1439.8400000000001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365</v>
      </c>
      <c r="D913" s="2" t="str">
        <f t="shared" si="13"/>
        <v>Error?</v>
      </c>
    </row>
    <row r="914" spans="1:4" x14ac:dyDescent="0.2">
      <c r="A914" s="5">
        <v>853</v>
      </c>
      <c r="B914" s="138">
        <f>'Expenditures 15-22'!F61</f>
        <v>10308.029999999999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133662.92000000001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144335.95000000001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222960.5</v>
      </c>
      <c r="C929" s="2" t="s">
        <v>573</v>
      </c>
      <c r="D929" s="2" t="str">
        <f t="shared" si="13"/>
        <v>Error?</v>
      </c>
    </row>
    <row r="930" spans="1:4" x14ac:dyDescent="0.2">
      <c r="A930" s="5">
        <v>869</v>
      </c>
      <c r="B930" s="138">
        <f>'Expenditures 15-22'!F75</f>
        <v>23000.07</v>
      </c>
      <c r="D930" s="2" t="str">
        <f t="shared" si="13"/>
        <v>Error?</v>
      </c>
    </row>
    <row r="931" spans="1:4" x14ac:dyDescent="0.2">
      <c r="A931" s="5">
        <v>870</v>
      </c>
      <c r="B931" s="138">
        <f>'Expenditures 15-22'!F114</f>
        <v>281633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5689.05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3701.5</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27297.19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6095</v>
      </c>
      <c r="D965" s="2" t="str">
        <f t="shared" si="14"/>
        <v>Error?</v>
      </c>
    </row>
    <row r="966" spans="1:4" x14ac:dyDescent="0.2">
      <c r="A966" s="5">
        <v>905</v>
      </c>
      <c r="B966" s="138">
        <f>'Expenditures 15-22'!G53</f>
        <v>6095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42168.020000000004</v>
      </c>
      <c r="D972" s="2" t="str">
        <f t="shared" si="14"/>
        <v>Error?</v>
      </c>
    </row>
    <row r="973" spans="1:4" x14ac:dyDescent="0.2">
      <c r="A973" s="5">
        <v>912</v>
      </c>
      <c r="B973" s="138">
        <f>'Expenditures 15-22'!G62</f>
        <v>28054.3</v>
      </c>
      <c r="D973" s="2" t="str">
        <f t="shared" si="14"/>
        <v>Error?</v>
      </c>
    </row>
    <row r="974" spans="1:4" x14ac:dyDescent="0.2">
      <c r="A974" s="5">
        <v>913</v>
      </c>
      <c r="B974" s="138">
        <f>'Expenditures 15-22'!G63</f>
        <v>5279.04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75501.36</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81596.36</v>
      </c>
      <c r="C987" s="2" t="s">
        <v>573</v>
      </c>
      <c r="D987" s="2" t="str">
        <f t="shared" si="14"/>
        <v>Error?</v>
      </c>
    </row>
    <row r="988" spans="1:4" x14ac:dyDescent="0.2">
      <c r="A988" s="5">
        <v>927</v>
      </c>
      <c r="B988" s="138">
        <f>'Expenditures 15-22'!G75</f>
        <v>6975.37</v>
      </c>
      <c r="D988" s="2" t="str">
        <f t="shared" si="14"/>
        <v>Error?</v>
      </c>
    </row>
    <row r="989" spans="1:4" x14ac:dyDescent="0.2">
      <c r="A989" s="5">
        <v>928</v>
      </c>
      <c r="B989" s="138">
        <f>'Expenditures 15-22'!G114</f>
        <v>115868.92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6970.95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423.29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1053.33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9360.16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686</v>
      </c>
      <c r="D1016" s="2" t="str">
        <f t="shared" si="14"/>
        <v>Error?</v>
      </c>
    </row>
    <row r="1017" spans="1:4" x14ac:dyDescent="0.2">
      <c r="A1017" s="5">
        <v>956</v>
      </c>
      <c r="B1017" s="138">
        <f>'Expenditures 15-22'!H42</f>
        <v>686</v>
      </c>
      <c r="C1017" s="2" t="s">
        <v>573</v>
      </c>
      <c r="D1017" s="2" t="str">
        <f t="shared" si="14"/>
        <v>Error?</v>
      </c>
    </row>
    <row r="1018" spans="1:4" x14ac:dyDescent="0.2">
      <c r="A1018" s="5">
        <v>957</v>
      </c>
      <c r="B1018" s="138">
        <f>'Expenditures 15-22'!H44</f>
        <v>13.25</v>
      </c>
      <c r="D1018" s="2" t="str">
        <f t="shared" si="14"/>
        <v>Error?</v>
      </c>
    </row>
    <row r="1019" spans="1:4" x14ac:dyDescent="0.2">
      <c r="A1019" s="5">
        <v>958</v>
      </c>
      <c r="B1019" s="138">
        <f>'Expenditures 15-22'!H45</f>
        <v>10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23.25</v>
      </c>
      <c r="C1021" s="2" t="s">
        <v>573</v>
      </c>
      <c r="D1021" s="2" t="str">
        <f t="shared" si="14"/>
        <v>Error?</v>
      </c>
    </row>
    <row r="1022" spans="1:4" x14ac:dyDescent="0.2">
      <c r="A1022" s="5">
        <v>961</v>
      </c>
      <c r="B1022" s="138">
        <f>'Expenditures 15-22'!H49</f>
        <v>3305</v>
      </c>
      <c r="D1022" s="2" t="str">
        <f t="shared" si="14"/>
        <v>Error?</v>
      </c>
    </row>
    <row r="1023" spans="1:4" x14ac:dyDescent="0.2">
      <c r="A1023" s="5">
        <v>962</v>
      </c>
      <c r="B1023" s="138">
        <f>'Expenditures 15-22'!H50</f>
        <v>1055.1400000000001</v>
      </c>
      <c r="D1023" s="2" t="str">
        <f t="shared" ref="D1023:D1086" si="15">IF(ISBLANK(B1023),"OK",IF(A1023-B1023=0,"OK","Error?"))</f>
        <v>Error?</v>
      </c>
    </row>
    <row r="1024" spans="1:4" x14ac:dyDescent="0.2">
      <c r="A1024" s="5">
        <v>963</v>
      </c>
      <c r="B1024" s="138">
        <f>'Expenditures 15-22'!H53</f>
        <v>4360.1400000000003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144.01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674.59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818.6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5887.9900000000007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89096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110557.15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2747742.1799999997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151462.29</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47268.959999999999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3875590.8999999994</v>
      </c>
      <c r="C1108" s="2" t="s">
        <v>573</v>
      </c>
      <c r="D1108" s="2" t="str">
        <f t="shared" si="16"/>
        <v>Error?</v>
      </c>
    </row>
    <row r="1109" spans="1:4" x14ac:dyDescent="0.2">
      <c r="A1109" s="5">
        <v>1048</v>
      </c>
      <c r="B1109" s="138">
        <f>'Expenditures 15-22'!K36</f>
        <v>197.76</v>
      </c>
      <c r="C1109" s="2" t="s">
        <v>573</v>
      </c>
      <c r="D1109" s="2" t="str">
        <f t="shared" si="16"/>
        <v>Error?</v>
      </c>
    </row>
    <row r="1110" spans="1:4" x14ac:dyDescent="0.2">
      <c r="A1110" s="5">
        <v>1049</v>
      </c>
      <c r="B1110" s="138">
        <f>'Expenditures 15-22'!K37</f>
        <v>40042</v>
      </c>
      <c r="C1110" s="2" t="s">
        <v>573</v>
      </c>
      <c r="D1110" s="2" t="str">
        <f t="shared" si="16"/>
        <v>Error?</v>
      </c>
    </row>
    <row r="1111" spans="1:4" x14ac:dyDescent="0.2">
      <c r="A1111" s="5">
        <v>1050</v>
      </c>
      <c r="B1111" s="138">
        <f>'Expenditures 15-22'!K38</f>
        <v>6430.12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21717.16</v>
      </c>
      <c r="C1114" s="2" t="s">
        <v>573</v>
      </c>
      <c r="D1114" s="2" t="str">
        <f t="shared" si="16"/>
        <v>Error?</v>
      </c>
    </row>
    <row r="1115" spans="1:4" x14ac:dyDescent="0.2">
      <c r="A1115" s="5">
        <v>1054</v>
      </c>
      <c r="B1115" s="138">
        <f>'Expenditures 15-22'!K42</f>
        <v>68387.040000000008</v>
      </c>
      <c r="C1115" s="2" t="s">
        <v>573</v>
      </c>
      <c r="D1115" s="2" t="str">
        <f t="shared" si="16"/>
        <v>Error?</v>
      </c>
    </row>
    <row r="1116" spans="1:4" x14ac:dyDescent="0.2">
      <c r="A1116" s="5">
        <v>1055</v>
      </c>
      <c r="B1116" s="138">
        <f>'Expenditures 15-22'!K44</f>
        <v>64298.909999999996</v>
      </c>
      <c r="C1116" s="2" t="s">
        <v>573</v>
      </c>
      <c r="D1116" s="2" t="str">
        <f t="shared" si="16"/>
        <v>Error?</v>
      </c>
    </row>
    <row r="1117" spans="1:4" x14ac:dyDescent="0.2">
      <c r="A1117" s="5">
        <v>1056</v>
      </c>
      <c r="B1117" s="138">
        <f>'Expenditures 15-22'!K45</f>
        <v>134184.16</v>
      </c>
      <c r="C1117" s="2" t="s">
        <v>573</v>
      </c>
      <c r="D1117" s="2" t="str">
        <f t="shared" si="16"/>
        <v>Error?</v>
      </c>
    </row>
    <row r="1118" spans="1:4" x14ac:dyDescent="0.2">
      <c r="A1118" s="5">
        <v>1057</v>
      </c>
      <c r="B1118" s="138">
        <f>'Expenditures 15-22'!K46</f>
        <v>960</v>
      </c>
      <c r="C1118" s="2" t="s">
        <v>573</v>
      </c>
      <c r="D1118" s="2" t="str">
        <f t="shared" si="16"/>
        <v>Error?</v>
      </c>
    </row>
    <row r="1119" spans="1:4" x14ac:dyDescent="0.2">
      <c r="A1119" s="5">
        <v>1058</v>
      </c>
      <c r="B1119" s="138">
        <f>'Expenditures 15-22'!K47</f>
        <v>199443.07</v>
      </c>
      <c r="C1119" s="2" t="s">
        <v>573</v>
      </c>
      <c r="D1119" s="2" t="str">
        <f t="shared" si="16"/>
        <v>Error?</v>
      </c>
    </row>
    <row r="1120" spans="1:4" x14ac:dyDescent="0.2">
      <c r="A1120" s="5">
        <v>1059</v>
      </c>
      <c r="B1120" s="138">
        <f>'Expenditures 15-22'!K49</f>
        <v>11242.02</v>
      </c>
      <c r="C1120" s="2" t="s">
        <v>573</v>
      </c>
      <c r="D1120" s="2" t="str">
        <f t="shared" si="16"/>
        <v>Error?</v>
      </c>
    </row>
    <row r="1121" spans="1:4" x14ac:dyDescent="0.2">
      <c r="A1121" s="5">
        <v>1060</v>
      </c>
      <c r="B1121" s="138">
        <f>'Expenditures 15-22'!K50</f>
        <v>486261.51</v>
      </c>
      <c r="C1121" s="2" t="s">
        <v>573</v>
      </c>
      <c r="D1121" s="2" t="str">
        <f t="shared" si="16"/>
        <v>Error?</v>
      </c>
    </row>
    <row r="1122" spans="1:4" x14ac:dyDescent="0.2">
      <c r="A1122" s="5">
        <v>1061</v>
      </c>
      <c r="B1122" s="138">
        <f>'Expenditures 15-22'!K53</f>
        <v>503358.63</v>
      </c>
      <c r="C1122" s="2" t="s">
        <v>573</v>
      </c>
      <c r="D1122" s="2" t="str">
        <f t="shared" si="16"/>
        <v>Error?</v>
      </c>
    </row>
    <row r="1123" spans="1:4" x14ac:dyDescent="0.2">
      <c r="A1123" s="5">
        <v>1062</v>
      </c>
      <c r="B1123" s="138">
        <f>'Expenditures 15-22'!K55</f>
        <v>70173.87000000001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70173.87000000001</v>
      </c>
      <c r="C1125" s="2" t="s">
        <v>573</v>
      </c>
      <c r="D1125" s="2" t="str">
        <f t="shared" si="16"/>
        <v>Error?</v>
      </c>
    </row>
    <row r="1126" spans="1:4" x14ac:dyDescent="0.2">
      <c r="A1126" s="5">
        <v>1065</v>
      </c>
      <c r="B1126" s="138">
        <f>'Expenditures 15-22'!K59</f>
        <v>298.97000000000003</v>
      </c>
      <c r="C1126" s="2" t="s">
        <v>573</v>
      </c>
      <c r="D1126" s="2" t="str">
        <f t="shared" si="16"/>
        <v>Error?</v>
      </c>
    </row>
    <row r="1127" spans="1:4" x14ac:dyDescent="0.2">
      <c r="A1127" s="5">
        <v>1066</v>
      </c>
      <c r="B1127" s="138">
        <f>'Expenditures 15-22'!K60</f>
        <v>73140.19</v>
      </c>
      <c r="C1127" s="2" t="s">
        <v>573</v>
      </c>
      <c r="D1127" s="2" t="str">
        <f t="shared" si="16"/>
        <v>Error?</v>
      </c>
    </row>
    <row r="1128" spans="1:4" x14ac:dyDescent="0.2">
      <c r="A1128" s="5">
        <v>1067</v>
      </c>
      <c r="B1128" s="138">
        <f>'Expenditures 15-22'!K61</f>
        <v>91744.46</v>
      </c>
      <c r="C1128" s="2" t="s">
        <v>573</v>
      </c>
      <c r="D1128" s="2" t="str">
        <f t="shared" si="16"/>
        <v>Error?</v>
      </c>
    </row>
    <row r="1129" spans="1:4" x14ac:dyDescent="0.2">
      <c r="A1129" s="5">
        <v>1068</v>
      </c>
      <c r="B1129" s="138">
        <f>'Expenditures 15-22'!K62</f>
        <v>28054.3</v>
      </c>
      <c r="C1129" s="2" t="s">
        <v>573</v>
      </c>
      <c r="D1129" s="2" t="str">
        <f t="shared" si="16"/>
        <v>Error?</v>
      </c>
    </row>
    <row r="1130" spans="1:4" x14ac:dyDescent="0.2">
      <c r="A1130" s="5">
        <v>1069</v>
      </c>
      <c r="B1130" s="138">
        <f>'Expenditures 15-22'!K63</f>
        <v>331327.84000000003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524565.76000000001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57870</v>
      </c>
      <c r="C1142" s="2" t="s">
        <v>573</v>
      </c>
      <c r="D1142" s="2" t="str">
        <f t="shared" si="16"/>
        <v>Error?</v>
      </c>
    </row>
    <row r="1143" spans="1:4" x14ac:dyDescent="0.2">
      <c r="A1143" s="5">
        <v>1082</v>
      </c>
      <c r="B1143" s="138">
        <f>'Expenditures 15-22'!K74</f>
        <v>1423798.37</v>
      </c>
      <c r="C1143" s="2" t="s">
        <v>573</v>
      </c>
      <c r="D1143" s="2" t="str">
        <f t="shared" si="16"/>
        <v>Error?</v>
      </c>
    </row>
    <row r="1144" spans="1:4" x14ac:dyDescent="0.2">
      <c r="A1144" s="5">
        <v>1083</v>
      </c>
      <c r="B1144" s="138">
        <f>'Expenditures 15-22'!K75</f>
        <v>288103.10999999993</v>
      </c>
      <c r="C1144" s="2" t="s">
        <v>573</v>
      </c>
      <c r="D1144" s="2" t="str">
        <f t="shared" si="16"/>
        <v>Error?</v>
      </c>
    </row>
    <row r="1145" spans="1:4" x14ac:dyDescent="0.2">
      <c r="A1145" s="5">
        <v>1084</v>
      </c>
      <c r="B1145" s="138">
        <f>'Expenditures 15-22'!K102</f>
        <v>259796.27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5853501.6499999994</v>
      </c>
      <c r="C1152" s="2" t="s">
        <v>573</v>
      </c>
      <c r="D1152" s="2" t="str">
        <f t="shared" si="17"/>
        <v>Error?</v>
      </c>
    </row>
    <row r="1153" spans="1:4" x14ac:dyDescent="0.2">
      <c r="A1153" s="5">
        <v>1092</v>
      </c>
      <c r="B1153" s="138">
        <f>'Expenditures 15-22'!K115</f>
        <v>262400.23000000045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218331.76</v>
      </c>
      <c r="D1221" s="2" t="str">
        <f t="shared" si="18"/>
        <v>Error?</v>
      </c>
    </row>
    <row r="1222" spans="1:4" x14ac:dyDescent="0.2">
      <c r="A1222" s="10">
        <v>1161</v>
      </c>
      <c r="D1222" s="2" t="str">
        <f t="shared" si="18"/>
        <v>OK</v>
      </c>
    </row>
    <row r="1223" spans="1:4" x14ac:dyDescent="0.2">
      <c r="A1223" s="5">
        <v>1162</v>
      </c>
      <c r="B1223" s="138">
        <f>'Expenditures 15-22'!C127</f>
        <v>218331.76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218331.76</v>
      </c>
      <c r="C1225" s="2" t="s">
        <v>573</v>
      </c>
      <c r="D1225" s="2" t="str">
        <f t="shared" si="18"/>
        <v>Error?</v>
      </c>
    </row>
    <row r="1226" spans="1:4" x14ac:dyDescent="0.2">
      <c r="A1226" s="5">
        <v>1165</v>
      </c>
      <c r="B1226" s="138">
        <f>'Expenditures 15-22'!C151</f>
        <v>218331.76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22298.31</v>
      </c>
      <c r="D1229" s="2" t="str">
        <f t="shared" si="18"/>
        <v>Error?</v>
      </c>
    </row>
    <row r="1230" spans="1:4" x14ac:dyDescent="0.2">
      <c r="A1230" s="10">
        <v>1169</v>
      </c>
      <c r="D1230" s="2" t="str">
        <f t="shared" si="18"/>
        <v>OK</v>
      </c>
    </row>
    <row r="1231" spans="1:4" x14ac:dyDescent="0.2">
      <c r="A1231" s="5">
        <v>1170</v>
      </c>
      <c r="B1231" s="138">
        <f>'Expenditures 15-22'!D127</f>
        <v>22298.31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22298.31</v>
      </c>
      <c r="C1233" s="2" t="s">
        <v>573</v>
      </c>
      <c r="D1233" s="2" t="str">
        <f t="shared" si="18"/>
        <v>Error?</v>
      </c>
    </row>
    <row r="1234" spans="1:4" x14ac:dyDescent="0.2">
      <c r="A1234" s="5">
        <v>1173</v>
      </c>
      <c r="B1234" s="138">
        <f>'Expenditures 15-22'!D151</f>
        <v>22298.31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135466.43</v>
      </c>
      <c r="D1237" s="2" t="str">
        <f t="shared" si="18"/>
        <v>Error?</v>
      </c>
    </row>
    <row r="1238" spans="1:4" x14ac:dyDescent="0.2">
      <c r="A1238" s="10">
        <v>1177</v>
      </c>
      <c r="D1238" s="2" t="str">
        <f t="shared" si="18"/>
        <v>OK</v>
      </c>
    </row>
    <row r="1239" spans="1:4" x14ac:dyDescent="0.2">
      <c r="A1239" s="5">
        <v>1178</v>
      </c>
      <c r="B1239" s="138">
        <f>'Expenditures 15-22'!E127</f>
        <v>135466.43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135466.43</v>
      </c>
      <c r="C1241" s="2" t="s">
        <v>573</v>
      </c>
      <c r="D1241" s="2" t="str">
        <f t="shared" si="18"/>
        <v>Error?</v>
      </c>
    </row>
    <row r="1242" spans="1:4" x14ac:dyDescent="0.2">
      <c r="A1242" s="5">
        <v>1181</v>
      </c>
      <c r="B1242" s="138">
        <f>'Expenditures 15-22'!E151</f>
        <v>135466.43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37803.479999999996</v>
      </c>
      <c r="D1245" s="2" t="str">
        <f t="shared" si="18"/>
        <v>Error?</v>
      </c>
    </row>
    <row r="1246" spans="1:4" x14ac:dyDescent="0.2">
      <c r="A1246" s="10">
        <v>1185</v>
      </c>
      <c r="D1246" s="2" t="str">
        <f t="shared" si="18"/>
        <v>OK</v>
      </c>
    </row>
    <row r="1247" spans="1:4" x14ac:dyDescent="0.2">
      <c r="A1247" s="5">
        <v>1186</v>
      </c>
      <c r="B1247" s="138">
        <f>'Expenditures 15-22'!F127</f>
        <v>37803.479999999996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37803.479999999996</v>
      </c>
      <c r="C1249" s="2" t="s">
        <v>573</v>
      </c>
      <c r="D1249" s="2" t="str">
        <f t="shared" si="18"/>
        <v>Error?</v>
      </c>
    </row>
    <row r="1250" spans="1:4" x14ac:dyDescent="0.2">
      <c r="A1250" s="5">
        <v>1189</v>
      </c>
      <c r="B1250" s="138">
        <f>'Expenditures 15-22'!F151</f>
        <v>37803.479999999996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500</v>
      </c>
      <c r="C1258" s="2" t="s">
        <v>573</v>
      </c>
      <c r="D1258" s="2" t="str">
        <f t="shared" si="18"/>
        <v>Error?</v>
      </c>
    </row>
    <row r="1259" spans="1:4" x14ac:dyDescent="0.2">
      <c r="A1259" s="5">
        <v>1198</v>
      </c>
      <c r="B1259" s="138">
        <f>'Expenditures 15-22'!G151</f>
        <v>500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10789.06</v>
      </c>
      <c r="D1262" s="2" t="str">
        <f t="shared" si="18"/>
        <v>Error?</v>
      </c>
    </row>
    <row r="1263" spans="1:4" x14ac:dyDescent="0.2">
      <c r="A1263" s="10">
        <v>1202</v>
      </c>
      <c r="D1263" s="2" t="str">
        <f t="shared" si="18"/>
        <v>OK</v>
      </c>
    </row>
    <row r="1264" spans="1:4" x14ac:dyDescent="0.2">
      <c r="A1264" s="5">
        <v>1203</v>
      </c>
      <c r="B1264" s="138">
        <f>'Expenditures 15-22'!H127</f>
        <v>10789.06</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10789.06</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10789.06</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425189.04</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425189.04</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425189.04</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425189.04</v>
      </c>
      <c r="C1288" s="2" t="s">
        <v>573</v>
      </c>
      <c r="D1288" s="2" t="str">
        <f t="shared" si="19"/>
        <v>Error?</v>
      </c>
    </row>
    <row r="1289" spans="1:4" x14ac:dyDescent="0.2">
      <c r="A1289" s="5">
        <v>1228</v>
      </c>
      <c r="B1289" s="138">
        <f>'Expenditures 15-22'!K152</f>
        <v>30880.520000000019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22768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160397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183165</v>
      </c>
      <c r="C1317" s="2" t="s">
        <v>573</v>
      </c>
      <c r="D1317" s="2" t="str">
        <f t="shared" si="19"/>
        <v>Error?</v>
      </c>
    </row>
    <row r="1318" spans="1:4" x14ac:dyDescent="0.2">
      <c r="A1318" s="5">
        <v>1257</v>
      </c>
      <c r="B1318" s="138">
        <f>'Expenditures 15-22'!H174</f>
        <v>183165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22768</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160397</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183165</v>
      </c>
      <c r="C1331" s="2" t="s">
        <v>573</v>
      </c>
      <c r="D1331" s="2" t="str">
        <f t="shared" si="19"/>
        <v>Error?</v>
      </c>
    </row>
    <row r="1332" spans="1:4" x14ac:dyDescent="0.2">
      <c r="A1332" s="5">
        <v>1271</v>
      </c>
      <c r="B1332" s="138">
        <f>'Expenditures 15-22'!K174</f>
        <v>183165</v>
      </c>
      <c r="C1332" s="2" t="s">
        <v>573</v>
      </c>
      <c r="D1332" s="2" t="str">
        <f t="shared" si="19"/>
        <v>Error?</v>
      </c>
    </row>
    <row r="1333" spans="1:4" x14ac:dyDescent="0.2">
      <c r="A1333" s="5">
        <v>1272</v>
      </c>
      <c r="B1333" s="138">
        <f>'Expenditures 15-22'!K175</f>
        <v>-65127.45</v>
      </c>
      <c r="C1333" s="2" t="s">
        <v>573</v>
      </c>
      <c r="D1333" s="2" t="str">
        <f t="shared" si="19"/>
        <v>Error?</v>
      </c>
    </row>
    <row r="1334" spans="1:4" x14ac:dyDescent="0.2">
      <c r="A1334" s="10">
        <v>1273</v>
      </c>
      <c r="D1334" s="2" t="str">
        <f t="shared" si="19"/>
        <v>OK</v>
      </c>
    </row>
    <row r="1335" spans="1:4" x14ac:dyDescent="0.2">
      <c r="A1335" s="5">
        <v>1274</v>
      </c>
      <c r="B1335" s="138">
        <f>'Expenditures 15-22'!C182</f>
        <v>238652.82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238652.82</v>
      </c>
      <c r="C1339" s="2" t="s">
        <v>573</v>
      </c>
      <c r="D1339" s="2" t="str">
        <f t="shared" si="19"/>
        <v>Error?</v>
      </c>
    </row>
    <row r="1340" spans="1:4" x14ac:dyDescent="0.2">
      <c r="A1340" s="5">
        <v>1279</v>
      </c>
      <c r="B1340" s="138">
        <f>'Expenditures 15-22'!C210</f>
        <v>238652.82</v>
      </c>
      <c r="C1340" s="2" t="s">
        <v>573</v>
      </c>
      <c r="D1340" s="2" t="str">
        <f t="shared" si="19"/>
        <v>Error?</v>
      </c>
    </row>
    <row r="1341" spans="1:4" x14ac:dyDescent="0.2">
      <c r="A1341" s="5">
        <v>1280</v>
      </c>
      <c r="B1341" s="138">
        <f>'Expenditures 15-22'!D182</f>
        <v>17763.960000000003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17763.960000000003</v>
      </c>
      <c r="C1345" s="2" t="s">
        <v>573</v>
      </c>
      <c r="D1345" s="2" t="str">
        <f t="shared" si="20"/>
        <v>Error?</v>
      </c>
    </row>
    <row r="1346" spans="1:4" x14ac:dyDescent="0.2">
      <c r="A1346" s="5">
        <v>1285</v>
      </c>
      <c r="B1346" s="138">
        <f>'Expenditures 15-22'!D210</f>
        <v>17763.960000000003</v>
      </c>
      <c r="C1346" s="2" t="s">
        <v>573</v>
      </c>
      <c r="D1346" s="2" t="str">
        <f t="shared" si="20"/>
        <v>Error?</v>
      </c>
    </row>
    <row r="1347" spans="1:4" x14ac:dyDescent="0.2">
      <c r="A1347" s="5">
        <v>1286</v>
      </c>
      <c r="B1347" s="138">
        <f>'Expenditures 15-22'!E182</f>
        <v>5566.72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5566.72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5566.72</v>
      </c>
      <c r="C1353" s="2" t="s">
        <v>573</v>
      </c>
      <c r="D1353" s="2" t="str">
        <f t="shared" si="20"/>
        <v>Error?</v>
      </c>
    </row>
    <row r="1354" spans="1:4" x14ac:dyDescent="0.2">
      <c r="A1354" s="5">
        <v>1293</v>
      </c>
      <c r="B1354" s="138">
        <f>'Expenditures 15-22'!F182</f>
        <v>47148.369999999995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47148.369999999995</v>
      </c>
      <c r="C1358" s="2" t="s">
        <v>573</v>
      </c>
      <c r="D1358" s="2" t="str">
        <f t="shared" si="20"/>
        <v>Error?</v>
      </c>
    </row>
    <row r="1359" spans="1:4" x14ac:dyDescent="0.2">
      <c r="A1359" s="5">
        <v>1298</v>
      </c>
      <c r="B1359" s="138">
        <f>'Expenditures 15-22'!F210</f>
        <v>47148.369999999995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4938.04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4938.04</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4938.04</v>
      </c>
      <c r="C1376" s="2" t="s">
        <v>573</v>
      </c>
      <c r="D1376" s="2" t="str">
        <f t="shared" si="20"/>
        <v>Error?</v>
      </c>
    </row>
    <row r="1377" spans="1:4" x14ac:dyDescent="0.2">
      <c r="A1377" s="5">
        <v>1316</v>
      </c>
      <c r="B1377" s="138">
        <f>'Expenditures 15-22'!K182</f>
        <v>314069.90999999997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314069.90999999997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314069.90999999997</v>
      </c>
      <c r="C1388" s="2" t="s">
        <v>573</v>
      </c>
      <c r="D1388" s="2" t="str">
        <f t="shared" si="20"/>
        <v>Error?</v>
      </c>
    </row>
    <row r="1389" spans="1:4" x14ac:dyDescent="0.2">
      <c r="A1389" s="5">
        <v>1328</v>
      </c>
      <c r="B1389" s="138">
        <f>'Expenditures 15-22'!K211</f>
        <v>36576.020000000019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7539.24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1666.3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116566.92000000001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173.26</v>
      </c>
      <c r="D1418" s="2" t="str">
        <f t="shared" si="21"/>
        <v>Error?</v>
      </c>
    </row>
    <row r="1419" spans="1:4" x14ac:dyDescent="0.2">
      <c r="A1419" s="5">
        <v>1358</v>
      </c>
      <c r="B1419" s="138">
        <f>'Expenditures 15-22'!D241</f>
        <v>14804.179999999998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14977.439999999999</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21711.949999999997</v>
      </c>
      <c r="D1423" s="2" t="str">
        <f t="shared" si="21"/>
        <v>Error?</v>
      </c>
    </row>
    <row r="1424" spans="1:4" x14ac:dyDescent="0.2">
      <c r="A1424" s="5">
        <v>1363</v>
      </c>
      <c r="B1424" s="138">
        <f>'Expenditures 15-22'!D257</f>
        <v>21711.949999999997</v>
      </c>
      <c r="C1424" s="2" t="s">
        <v>573</v>
      </c>
      <c r="D1424" s="2" t="str">
        <f t="shared" si="21"/>
        <v>Error?</v>
      </c>
    </row>
    <row r="1425" spans="1:4" x14ac:dyDescent="0.2">
      <c r="A1425" s="5">
        <v>1364</v>
      </c>
      <c r="B1425" s="138">
        <f>'Expenditures 15-22'!D259</f>
        <v>856.69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856.69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8828.9500000000007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38886.029999999992</v>
      </c>
      <c r="D1431" s="2" t="str">
        <f t="shared" si="21"/>
        <v>Error?</v>
      </c>
    </row>
    <row r="1432" spans="1:4" x14ac:dyDescent="0.2">
      <c r="A1432" s="5">
        <v>1371</v>
      </c>
      <c r="B1432" s="138">
        <f>'Expenditures 15-22'!D267</f>
        <v>32135.940000000002</v>
      </c>
      <c r="D1432" s="2" t="str">
        <f t="shared" si="21"/>
        <v>Error?</v>
      </c>
    </row>
    <row r="1433" spans="1:4" x14ac:dyDescent="0.2">
      <c r="A1433" s="5">
        <v>1372</v>
      </c>
      <c r="B1433" s="138">
        <f>'Expenditures 15-22'!D268</f>
        <v>26437.579999999994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106288.5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143834.58000000002</v>
      </c>
      <c r="C1446" s="2" t="s">
        <v>573</v>
      </c>
      <c r="D1446" s="2" t="str">
        <f t="shared" si="21"/>
        <v>Error?</v>
      </c>
    </row>
    <row r="1447" spans="1:4" x14ac:dyDescent="0.2">
      <c r="A1447" s="5">
        <v>1386</v>
      </c>
      <c r="B1447" s="138">
        <f>'Expenditures 15-22'!D280</f>
        <v>28365.600000000002</v>
      </c>
      <c r="D1447" s="2" t="str">
        <f t="shared" si="21"/>
        <v>Error?</v>
      </c>
    </row>
    <row r="1448" spans="1:4" x14ac:dyDescent="0.2">
      <c r="A1448" s="5">
        <v>1387</v>
      </c>
      <c r="B1448" s="138">
        <f>'Expenditures 15-22'!D295</f>
        <v>288767.10000000003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7539.24</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1666.3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116566.92000000001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173.26</v>
      </c>
      <c r="C1482" s="2" t="s">
        <v>573</v>
      </c>
      <c r="D1482" s="2" t="str">
        <f t="shared" si="22"/>
        <v>Error?</v>
      </c>
    </row>
    <row r="1483" spans="1:4" x14ac:dyDescent="0.2">
      <c r="A1483" s="5">
        <v>1422</v>
      </c>
      <c r="B1483" s="138">
        <f>'Expenditures 15-22'!K241</f>
        <v>14804.179999999998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14977.439999999999</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21711.949999999997</v>
      </c>
      <c r="C1487" s="2" t="s">
        <v>573</v>
      </c>
      <c r="D1487" s="2" t="str">
        <f t="shared" si="22"/>
        <v>Error?</v>
      </c>
    </row>
    <row r="1488" spans="1:4" x14ac:dyDescent="0.2">
      <c r="A1488" s="5">
        <v>1427</v>
      </c>
      <c r="B1488" s="138">
        <f>'Expenditures 15-22'!K257</f>
        <v>21711.949999999997</v>
      </c>
      <c r="C1488" s="2" t="s">
        <v>573</v>
      </c>
      <c r="D1488" s="2" t="str">
        <f t="shared" si="22"/>
        <v>Error?</v>
      </c>
    </row>
    <row r="1489" spans="1:4" x14ac:dyDescent="0.2">
      <c r="A1489" s="5">
        <v>1428</v>
      </c>
      <c r="B1489" s="138">
        <f>'Expenditures 15-22'!K259</f>
        <v>856.69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856.69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8828.9500000000007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38886.029999999992</v>
      </c>
      <c r="C1495" s="2" t="s">
        <v>573</v>
      </c>
      <c r="D1495" s="2" t="str">
        <f t="shared" si="22"/>
        <v>Error?</v>
      </c>
    </row>
    <row r="1496" spans="1:4" x14ac:dyDescent="0.2">
      <c r="A1496" s="5">
        <v>1435</v>
      </c>
      <c r="B1496" s="138">
        <f>'Expenditures 15-22'!K267</f>
        <v>32135.940000000002</v>
      </c>
      <c r="C1496" s="2" t="s">
        <v>573</v>
      </c>
      <c r="D1496" s="2" t="str">
        <f t="shared" si="22"/>
        <v>Error?</v>
      </c>
    </row>
    <row r="1497" spans="1:4" x14ac:dyDescent="0.2">
      <c r="A1497" s="5">
        <v>1436</v>
      </c>
      <c r="B1497" s="138">
        <f>'Expenditures 15-22'!K268</f>
        <v>26437.579999999994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106288.5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143834.58000000002</v>
      </c>
      <c r="C1510" s="2" t="s">
        <v>573</v>
      </c>
      <c r="D1510" s="2" t="str">
        <f t="shared" si="22"/>
        <v>Error?</v>
      </c>
    </row>
    <row r="1511" spans="1:4" x14ac:dyDescent="0.2">
      <c r="A1511" s="5">
        <v>1450</v>
      </c>
      <c r="B1511" s="138">
        <f>'Expenditures 15-22'!K280</f>
        <v>28365.600000000002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288767.10000000003</v>
      </c>
      <c r="C1517" s="2" t="s">
        <v>573</v>
      </c>
      <c r="D1517" s="2" t="str">
        <f t="shared" si="22"/>
        <v>Error?</v>
      </c>
    </row>
    <row r="1518" spans="1:4" x14ac:dyDescent="0.2">
      <c r="A1518" s="5">
        <v>1457</v>
      </c>
      <c r="B1518" s="138">
        <f>'Expenditures 15-22'!K296</f>
        <v>21602.169999999984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42499.23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42499.23</v>
      </c>
      <c r="C1535" s="2" t="s">
        <v>573</v>
      </c>
      <c r="D1535" s="2" t="str">
        <f t="shared" ref="D1535:D1598" si="23">IF(ISBLANK(B1535),"OK",IF(A1535-B1535=0,"OK","Error?"))</f>
        <v>Error?</v>
      </c>
    </row>
    <row r="1536" spans="1:4" x14ac:dyDescent="0.2">
      <c r="A1536" s="5">
        <v>1475</v>
      </c>
      <c r="B1536" s="138">
        <f>'Expenditures 15-22'!E312</f>
        <v>42499.23</v>
      </c>
      <c r="C1536" s="2" t="s">
        <v>573</v>
      </c>
      <c r="D1536" s="2" t="str">
        <f t="shared" si="23"/>
        <v>Error?</v>
      </c>
    </row>
    <row r="1537" spans="1:4" x14ac:dyDescent="0.2">
      <c r="A1537" s="5">
        <v>1476</v>
      </c>
      <c r="B1537" s="138">
        <f>'Expenditures 15-22'!F301</f>
        <v>8567.75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8567.75</v>
      </c>
      <c r="C1541" s="2" t="s">
        <v>573</v>
      </c>
      <c r="D1541" s="2" t="str">
        <f t="shared" si="23"/>
        <v>Error?</v>
      </c>
    </row>
    <row r="1542" spans="1:4" x14ac:dyDescent="0.2">
      <c r="A1542" s="5">
        <v>1481</v>
      </c>
      <c r="B1542" s="138">
        <f>'Expenditures 15-22'!F312</f>
        <v>8567.75</v>
      </c>
      <c r="C1542" s="2" t="s">
        <v>573</v>
      </c>
      <c r="D1542" s="2" t="str">
        <f t="shared" si="23"/>
        <v>Error?</v>
      </c>
    </row>
    <row r="1543" spans="1:4" x14ac:dyDescent="0.2">
      <c r="A1543" s="5">
        <v>1482</v>
      </c>
      <c r="B1543" s="138">
        <f>'Expenditures 15-22'!G301</f>
        <v>808610.82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808610.82</v>
      </c>
      <c r="C1547" s="2" t="s">
        <v>573</v>
      </c>
      <c r="D1547" s="2" t="str">
        <f t="shared" si="23"/>
        <v>Error?</v>
      </c>
    </row>
    <row r="1548" spans="1:4" x14ac:dyDescent="0.2">
      <c r="A1548" s="5">
        <v>1487</v>
      </c>
      <c r="B1548" s="138">
        <f>'Expenditures 15-22'!G312</f>
        <v>808610.82</v>
      </c>
      <c r="C1548" s="2" t="s">
        <v>573</v>
      </c>
      <c r="D1548" s="2" t="str">
        <f t="shared" si="23"/>
        <v>Error?</v>
      </c>
    </row>
    <row r="1549" spans="1:4" x14ac:dyDescent="0.2">
      <c r="A1549" s="5">
        <v>1488</v>
      </c>
      <c r="B1549" s="138">
        <f>'Expenditures 15-22'!H301</f>
        <v>62780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62780</v>
      </c>
      <c r="C1553" s="2" t="s">
        <v>573</v>
      </c>
      <c r="D1553" s="2" t="str">
        <f t="shared" si="23"/>
        <v>Error?</v>
      </c>
    </row>
    <row r="1554" spans="1:4" x14ac:dyDescent="0.2">
      <c r="A1554" s="5">
        <v>1493</v>
      </c>
      <c r="B1554" s="138">
        <f>'Expenditures 15-22'!H312</f>
        <v>62780</v>
      </c>
      <c r="C1554" s="2" t="s">
        <v>573</v>
      </c>
      <c r="D1554" s="2" t="str">
        <f t="shared" si="23"/>
        <v>Error?</v>
      </c>
    </row>
    <row r="1555" spans="1:4" x14ac:dyDescent="0.2">
      <c r="A1555" s="5">
        <v>1494</v>
      </c>
      <c r="B1555" s="138">
        <f>'Expenditures 15-22'!K301</f>
        <v>922457.79999999993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922457.79999999993</v>
      </c>
      <c r="C1559" s="2" t="s">
        <v>573</v>
      </c>
      <c r="D1559" s="2" t="str">
        <f t="shared" si="23"/>
        <v>Error?</v>
      </c>
    </row>
    <row r="1560" spans="1:4" x14ac:dyDescent="0.2">
      <c r="A1560" s="5">
        <v>1499</v>
      </c>
      <c r="B1560" s="138">
        <f>'Expenditures 15-22'!K312</f>
        <v>922457.79999999993</v>
      </c>
      <c r="C1560" s="2" t="s">
        <v>573</v>
      </c>
      <c r="D1560" s="2" t="str">
        <f t="shared" si="23"/>
        <v>Error?</v>
      </c>
    </row>
    <row r="1561" spans="1:4" x14ac:dyDescent="0.2">
      <c r="A1561" s="5">
        <v>1500</v>
      </c>
      <c r="B1561" s="138">
        <f>'Expenditures 15-22'!K313</f>
        <v>-377004.61999999988</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166641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429041.23000000045</v>
      </c>
      <c r="C1630" s="2" t="s">
        <v>573</v>
      </c>
      <c r="D1630" s="2" t="str">
        <f t="shared" si="24"/>
        <v>Error?</v>
      </c>
    </row>
    <row r="1631" spans="1:4" x14ac:dyDescent="0.2">
      <c r="A1631" s="5">
        <v>1570</v>
      </c>
      <c r="B1631" s="138">
        <f>'Acct Summary 7-8'!D79</f>
        <v>169705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201828.52000000002</v>
      </c>
      <c r="C1644" s="2" t="s">
        <v>573</v>
      </c>
      <c r="D1644" s="2" t="str">
        <f t="shared" si="24"/>
        <v>Error?</v>
      </c>
    </row>
    <row r="1645" spans="1:4" x14ac:dyDescent="0.2">
      <c r="A1645" s="5">
        <v>1584</v>
      </c>
      <c r="B1645" s="138">
        <f>'Acct Summary 7-8'!E79</f>
        <v>239551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240577.55</v>
      </c>
      <c r="C1658" s="2" t="s">
        <v>573</v>
      </c>
      <c r="D1658" s="2" t="str">
        <f t="shared" si="24"/>
        <v>Error?</v>
      </c>
    </row>
    <row r="1659" spans="1:4" x14ac:dyDescent="0.2">
      <c r="A1659" s="5">
        <v>1598</v>
      </c>
      <c r="B1659" s="138">
        <f>'Acct Summary 7-8'!F79</f>
        <v>32796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69372.020000000019</v>
      </c>
      <c r="C1672" s="2" t="s">
        <v>573</v>
      </c>
      <c r="D1672" s="2" t="str">
        <f t="shared" si="25"/>
        <v>Error?</v>
      </c>
    </row>
    <row r="1673" spans="1:4" x14ac:dyDescent="0.2">
      <c r="A1673" s="5">
        <v>1612</v>
      </c>
      <c r="B1673" s="138">
        <f>'Acct Summary 7-8'!G79</f>
        <v>100099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121701.16999999998</v>
      </c>
      <c r="C1686" s="2" t="s">
        <v>573</v>
      </c>
      <c r="D1686" s="2" t="str">
        <f t="shared" si="25"/>
        <v>Error?</v>
      </c>
    </row>
    <row r="1687" spans="1:4" x14ac:dyDescent="0.2">
      <c r="A1687" s="5">
        <v>1626</v>
      </c>
      <c r="B1687" s="138">
        <f>'Acct Summary 7-8'!H79</f>
        <v>2063235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1618833.3800000001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1223681.72</v>
      </c>
      <c r="C1744" s="2" t="s">
        <v>573</v>
      </c>
      <c r="D1744" s="2" t="str">
        <f t="shared" si="26"/>
        <v>Error?</v>
      </c>
    </row>
    <row r="1745" spans="1:5" x14ac:dyDescent="0.2">
      <c r="A1745" s="5">
        <v>1684</v>
      </c>
      <c r="B1745" s="138">
        <f>'Tax Sched 23'!B5</f>
        <v>284231.92</v>
      </c>
      <c r="C1745" s="2" t="s">
        <v>573</v>
      </c>
      <c r="D1745" s="2" t="str">
        <f t="shared" si="26"/>
        <v>Error?</v>
      </c>
    </row>
    <row r="1746" spans="1:5" x14ac:dyDescent="0.2">
      <c r="A1746" s="5">
        <v>1685</v>
      </c>
      <c r="B1746" s="138">
        <f>'Tax Sched 23'!B6</f>
        <v>115456.05</v>
      </c>
      <c r="C1746" s="2" t="s">
        <v>573</v>
      </c>
      <c r="D1746" s="2" t="str">
        <f t="shared" si="26"/>
        <v>Error?</v>
      </c>
    </row>
    <row r="1747" spans="1:5" x14ac:dyDescent="0.2">
      <c r="A1747" s="5">
        <v>1686</v>
      </c>
      <c r="B1747" s="138">
        <f>'Tax Sched 23'!B7</f>
        <v>89759.42</v>
      </c>
      <c r="C1747" s="2" t="s">
        <v>573</v>
      </c>
      <c r="D1747" s="2" t="str">
        <f t="shared" si="26"/>
        <v>Error?</v>
      </c>
    </row>
    <row r="1748" spans="1:5" x14ac:dyDescent="0.2">
      <c r="A1748" s="5">
        <v>1687</v>
      </c>
      <c r="B1748" s="138">
        <f>'Tax Sched 23'!B8</f>
        <v>96241.2</v>
      </c>
      <c r="C1748" s="2" t="s">
        <v>573</v>
      </c>
      <c r="D1748" s="2" t="str">
        <f t="shared" si="26"/>
        <v>Error?</v>
      </c>
    </row>
    <row r="1749" spans="1:5" x14ac:dyDescent="0.2">
      <c r="A1749" s="5">
        <v>1688</v>
      </c>
      <c r="B1749" s="138">
        <f>'Tax Sched 23'!B10</f>
        <v>37382.14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24433.22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1975904.6699999997</v>
      </c>
      <c r="C1759" s="2" t="s">
        <v>573</v>
      </c>
      <c r="D1759" s="2" t="str">
        <f t="shared" si="26"/>
        <v>Error?</v>
      </c>
    </row>
    <row r="1760" spans="1:5" x14ac:dyDescent="0.2">
      <c r="A1760" s="5">
        <v>1699</v>
      </c>
      <c r="B1760" s="138">
        <f>'Tax Sched 23'!D4</f>
        <v>1223681.72</v>
      </c>
      <c r="C1760" s="2" t="s">
        <v>573</v>
      </c>
      <c r="D1760" s="2" t="str">
        <f t="shared" si="26"/>
        <v>Error?</v>
      </c>
    </row>
    <row r="1761" spans="1:5" x14ac:dyDescent="0.2">
      <c r="A1761" s="5">
        <v>1700</v>
      </c>
      <c r="B1761" s="138">
        <f>'Tax Sched 23'!D5</f>
        <v>284231.92</v>
      </c>
      <c r="C1761" s="2" t="s">
        <v>573</v>
      </c>
      <c r="D1761" s="2" t="str">
        <f t="shared" si="26"/>
        <v>Error?</v>
      </c>
    </row>
    <row r="1762" spans="1:5" s="8" customFormat="1" x14ac:dyDescent="0.2">
      <c r="A1762" s="5">
        <v>1701</v>
      </c>
      <c r="B1762" s="138">
        <f>'Tax Sched 23'!D6</f>
        <v>115456.05</v>
      </c>
      <c r="C1762" s="2" t="s">
        <v>573</v>
      </c>
      <c r="D1762" s="2" t="str">
        <f t="shared" si="26"/>
        <v>Error?</v>
      </c>
      <c r="E1762" s="9"/>
    </row>
    <row r="1763" spans="1:5" x14ac:dyDescent="0.2">
      <c r="A1763" s="5">
        <v>1702</v>
      </c>
      <c r="B1763" s="138">
        <f>'Tax Sched 23'!D7</f>
        <v>89759.42</v>
      </c>
      <c r="C1763" s="2" t="s">
        <v>573</v>
      </c>
      <c r="D1763" s="2" t="str">
        <f t="shared" si="26"/>
        <v>Error?</v>
      </c>
    </row>
    <row r="1764" spans="1:5" x14ac:dyDescent="0.2">
      <c r="A1764" s="5">
        <v>1703</v>
      </c>
      <c r="B1764" s="138">
        <f>'Tax Sched 23'!D8</f>
        <v>96241.2</v>
      </c>
      <c r="C1764" s="2" t="s">
        <v>573</v>
      </c>
      <c r="D1764" s="2" t="str">
        <f t="shared" si="26"/>
        <v>Error?</v>
      </c>
    </row>
    <row r="1765" spans="1:5" x14ac:dyDescent="0.2">
      <c r="A1765" s="5">
        <v>1704</v>
      </c>
      <c r="B1765" s="138">
        <f>'Tax Sched 23'!D10</f>
        <v>37382.14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24433.22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1975904.6699999997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1266179</v>
      </c>
      <c r="C1792" s="2" t="s">
        <v>573</v>
      </c>
      <c r="D1792" s="2" t="str">
        <f t="shared" si="27"/>
        <v>Error?</v>
      </c>
    </row>
    <row r="1793" spans="1:4" x14ac:dyDescent="0.2">
      <c r="A1793" s="5">
        <v>1732</v>
      </c>
      <c r="B1793" s="138">
        <f>'Tax Sched 23'!F5</f>
        <v>279532</v>
      </c>
      <c r="C1793" s="2" t="s">
        <v>573</v>
      </c>
      <c r="D1793" s="2" t="str">
        <f t="shared" si="27"/>
        <v>Error?</v>
      </c>
    </row>
    <row r="1794" spans="1:4" x14ac:dyDescent="0.2">
      <c r="A1794" s="5">
        <v>1733</v>
      </c>
      <c r="B1794" s="138">
        <f>'Tax Sched 23'!F6</f>
        <v>115747</v>
      </c>
      <c r="C1794" s="2" t="s">
        <v>573</v>
      </c>
      <c r="D1794" s="2" t="str">
        <f t="shared" si="27"/>
        <v>Error?</v>
      </c>
    </row>
    <row r="1795" spans="1:4" x14ac:dyDescent="0.2">
      <c r="A1795" s="5">
        <v>1734</v>
      </c>
      <c r="B1795" s="138">
        <f>'Tax Sched 23'!F7</f>
        <v>93185</v>
      </c>
      <c r="C1795" s="2" t="s">
        <v>573</v>
      </c>
      <c r="D1795" s="2" t="str">
        <f t="shared" si="27"/>
        <v>Error?</v>
      </c>
    </row>
    <row r="1796" spans="1:4" x14ac:dyDescent="0.2">
      <c r="A1796" s="5">
        <v>1735</v>
      </c>
      <c r="B1796" s="138">
        <f>'Tax Sched 23'!F8</f>
        <v>102987</v>
      </c>
      <c r="C1796" s="2" t="s">
        <v>573</v>
      </c>
      <c r="D1796" s="2" t="str">
        <f t="shared" si="27"/>
        <v>Error?</v>
      </c>
    </row>
    <row r="1797" spans="1:4" x14ac:dyDescent="0.2">
      <c r="A1797" s="5">
        <v>1736</v>
      </c>
      <c r="B1797" s="138">
        <f>'Tax Sched 23'!F10</f>
        <v>36170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26486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2033083</v>
      </c>
      <c r="C1807" s="2" t="s">
        <v>573</v>
      </c>
      <c r="D1807" s="2" t="str">
        <f t="shared" si="27"/>
        <v>Error?</v>
      </c>
    </row>
    <row r="1808" spans="1:4" x14ac:dyDescent="0.2">
      <c r="A1808" s="5">
        <v>1747</v>
      </c>
      <c r="B1808" s="138">
        <f>'Tax Sched 23'!E4</f>
        <v>1266179</v>
      </c>
      <c r="D1808" s="2" t="str">
        <f t="shared" si="27"/>
        <v>Error?</v>
      </c>
    </row>
    <row r="1809" spans="1:4" x14ac:dyDescent="0.2">
      <c r="A1809" s="5">
        <v>1748</v>
      </c>
      <c r="B1809" s="138">
        <f>'Tax Sched 23'!E5</f>
        <v>279532</v>
      </c>
      <c r="D1809" s="2" t="str">
        <f t="shared" si="27"/>
        <v>Error?</v>
      </c>
    </row>
    <row r="1810" spans="1:4" x14ac:dyDescent="0.2">
      <c r="A1810" s="5">
        <v>1749</v>
      </c>
      <c r="B1810" s="138">
        <f>'Tax Sched 23'!E6</f>
        <v>115747</v>
      </c>
      <c r="D1810" s="2" t="str">
        <f t="shared" si="27"/>
        <v>Error?</v>
      </c>
    </row>
    <row r="1811" spans="1:4" x14ac:dyDescent="0.2">
      <c r="A1811" s="5">
        <v>1750</v>
      </c>
      <c r="B1811" s="138">
        <f>'Tax Sched 23'!E7</f>
        <v>93185</v>
      </c>
      <c r="D1811" s="2" t="str">
        <f t="shared" si="27"/>
        <v>Error?</v>
      </c>
    </row>
    <row r="1812" spans="1:4" x14ac:dyDescent="0.2">
      <c r="A1812" s="5">
        <v>1751</v>
      </c>
      <c r="B1812" s="138">
        <f>'Tax Sched 23'!E8</f>
        <v>102987</v>
      </c>
      <c r="D1812" s="2" t="str">
        <f t="shared" si="27"/>
        <v>Error?</v>
      </c>
    </row>
    <row r="1813" spans="1:4" x14ac:dyDescent="0.2">
      <c r="A1813" s="5">
        <v>1752</v>
      </c>
      <c r="B1813" s="138">
        <f>'Tax Sched 23'!E10</f>
        <v>36170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26486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2033083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3792985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24433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24433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24433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30100</v>
      </c>
      <c r="D2008" s="2" t="str">
        <f t="shared" si="30"/>
        <v>Error?</v>
      </c>
    </row>
    <row r="2009" spans="1:4" x14ac:dyDescent="0.2">
      <c r="A2009" s="5">
        <v>1948</v>
      </c>
      <c r="B2009" s="138">
        <f>'Cap Outlay Deprec 26'!C8</f>
        <v>11579717</v>
      </c>
      <c r="D2009" s="2" t="str">
        <f t="shared" si="30"/>
        <v>Error?</v>
      </c>
    </row>
    <row r="2010" spans="1:4" x14ac:dyDescent="0.2">
      <c r="A2010" s="5">
        <v>1949</v>
      </c>
      <c r="B2010" s="138">
        <f>'Cap Outlay Deprec 26'!C10</f>
        <v>989072</v>
      </c>
      <c r="D2010" s="2" t="str">
        <f t="shared" si="30"/>
        <v>Error?</v>
      </c>
    </row>
    <row r="2011" spans="1:4" x14ac:dyDescent="0.2">
      <c r="A2011" s="5">
        <v>1950</v>
      </c>
      <c r="B2011" s="138">
        <f>'Cap Outlay Deprec 26'!C12</f>
        <v>1309271</v>
      </c>
      <c r="D2011" s="2" t="str">
        <f t="shared" si="30"/>
        <v>Error?</v>
      </c>
    </row>
    <row r="2012" spans="1:4" x14ac:dyDescent="0.2">
      <c r="A2012" s="5">
        <v>1951</v>
      </c>
      <c r="B2012" s="138">
        <f>'Cap Outlay Deprec 26'!C13</f>
        <v>2028226</v>
      </c>
      <c r="D2012" s="2" t="str">
        <f t="shared" si="30"/>
        <v>Error?</v>
      </c>
    </row>
    <row r="2013" spans="1:4" x14ac:dyDescent="0.2">
      <c r="A2013" s="5">
        <v>1952</v>
      </c>
      <c r="B2013" s="138">
        <f>'Cap Outlay Deprec 26'!C16</f>
        <v>15936386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722021.53</v>
      </c>
      <c r="D2015" s="2" t="str">
        <f t="shared" si="30"/>
        <v>Error?</v>
      </c>
    </row>
    <row r="2016" spans="1:4" x14ac:dyDescent="0.2">
      <c r="A2016" s="5">
        <v>1955</v>
      </c>
      <c r="B2016" s="138">
        <f>'Cap Outlay Deprec 26'!D10</f>
        <v>26787</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89582.25</v>
      </c>
      <c r="D2018" s="2" t="str">
        <f t="shared" si="30"/>
        <v>Error?</v>
      </c>
    </row>
    <row r="2019" spans="1:4" x14ac:dyDescent="0.2">
      <c r="A2019" s="5">
        <v>1958</v>
      </c>
      <c r="B2019" s="138">
        <f>'Cap Outlay Deprec 26'!D16</f>
        <v>838390.78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30100</v>
      </c>
      <c r="C2026" s="2" t="s">
        <v>573</v>
      </c>
      <c r="D2026" s="2" t="str">
        <f t="shared" si="30"/>
        <v>Error?</v>
      </c>
    </row>
    <row r="2027" spans="1:4" x14ac:dyDescent="0.2">
      <c r="A2027" s="5">
        <v>1966</v>
      </c>
      <c r="B2027" s="138">
        <f>'Cap Outlay Deprec 26'!F8</f>
        <v>12301738.529999999</v>
      </c>
      <c r="C2027" s="2" t="s">
        <v>573</v>
      </c>
      <c r="D2027" s="2" t="str">
        <f t="shared" si="30"/>
        <v>Error?</v>
      </c>
    </row>
    <row r="2028" spans="1:4" x14ac:dyDescent="0.2">
      <c r="A2028" s="5">
        <v>1967</v>
      </c>
      <c r="B2028" s="138">
        <f>'Cap Outlay Deprec 26'!F10</f>
        <v>1015859</v>
      </c>
      <c r="C2028" s="2" t="s">
        <v>573</v>
      </c>
      <c r="D2028" s="2" t="str">
        <f t="shared" si="30"/>
        <v>Error?</v>
      </c>
    </row>
    <row r="2029" spans="1:4" x14ac:dyDescent="0.2">
      <c r="A2029" s="5">
        <v>1968</v>
      </c>
      <c r="B2029" s="138">
        <f>'Cap Outlay Deprec 26'!F12</f>
        <v>1309271</v>
      </c>
      <c r="C2029" s="2" t="s">
        <v>573</v>
      </c>
      <c r="D2029" s="2" t="str">
        <f t="shared" si="30"/>
        <v>Error?</v>
      </c>
    </row>
    <row r="2030" spans="1:4" x14ac:dyDescent="0.2">
      <c r="A2030" s="5">
        <v>1969</v>
      </c>
      <c r="B2030" s="138">
        <f>'Cap Outlay Deprec 26'!F13</f>
        <v>2117808.25</v>
      </c>
      <c r="C2030" s="2" t="s">
        <v>573</v>
      </c>
      <c r="D2030" s="2" t="str">
        <f t="shared" si="30"/>
        <v>Error?</v>
      </c>
    </row>
    <row r="2031" spans="1:4" x14ac:dyDescent="0.2">
      <c r="A2031" s="5">
        <v>1970</v>
      </c>
      <c r="B2031" s="138">
        <f>'Cap Outlay Deprec 26'!F16</f>
        <v>16774776.779999999</v>
      </c>
      <c r="C2031" s="2" t="s">
        <v>573</v>
      </c>
      <c r="D2031" s="2" t="str">
        <f t="shared" si="30"/>
        <v>Error?</v>
      </c>
    </row>
    <row r="2032" spans="1:4" x14ac:dyDescent="0.2">
      <c r="A2032" s="10">
        <v>1971</v>
      </c>
      <c r="D2032" s="2" t="str">
        <f t="shared" si="30"/>
        <v>OK</v>
      </c>
    </row>
    <row r="2033" spans="1:4" x14ac:dyDescent="0.2">
      <c r="A2033" s="5">
        <v>1972</v>
      </c>
      <c r="B2033" s="138">
        <f>'Cap Outlay Deprec 26'!H8</f>
        <v>4966769</v>
      </c>
      <c r="D2033" s="2" t="str">
        <f t="shared" si="30"/>
        <v>Error?</v>
      </c>
    </row>
    <row r="2034" spans="1:4" x14ac:dyDescent="0.2">
      <c r="A2034" s="5">
        <v>1973</v>
      </c>
      <c r="B2034" s="138">
        <f>'Cap Outlay Deprec 26'!H10</f>
        <v>508916</v>
      </c>
      <c r="D2034" s="2" t="str">
        <f t="shared" si="30"/>
        <v>Error?</v>
      </c>
    </row>
    <row r="2035" spans="1:4" x14ac:dyDescent="0.2">
      <c r="A2035" s="5">
        <v>1974</v>
      </c>
      <c r="B2035" s="138">
        <f>'Cap Outlay Deprec 26'!H12</f>
        <v>1309271</v>
      </c>
      <c r="D2035" s="2" t="str">
        <f t="shared" si="30"/>
        <v>Error?</v>
      </c>
    </row>
    <row r="2036" spans="1:4" x14ac:dyDescent="0.2">
      <c r="A2036" s="5">
        <v>1975</v>
      </c>
      <c r="B2036" s="138">
        <f>'Cap Outlay Deprec 26'!H13</f>
        <v>1733522</v>
      </c>
      <c r="D2036" s="2" t="str">
        <f t="shared" si="30"/>
        <v>Error?</v>
      </c>
    </row>
    <row r="2037" spans="1:4" x14ac:dyDescent="0.2">
      <c r="A2037" s="5">
        <v>1976</v>
      </c>
      <c r="B2037" s="138">
        <f>'Cap Outlay Deprec 26'!H16</f>
        <v>8518478</v>
      </c>
      <c r="C2037" s="2" t="s">
        <v>573</v>
      </c>
      <c r="D2037" s="2" t="str">
        <f t="shared" si="30"/>
        <v>Error?</v>
      </c>
    </row>
    <row r="2038" spans="1:4" x14ac:dyDescent="0.2">
      <c r="A2038" s="10">
        <v>1977</v>
      </c>
      <c r="D2038" s="2" t="str">
        <f t="shared" si="30"/>
        <v>OK</v>
      </c>
    </row>
    <row r="2039" spans="1:4" x14ac:dyDescent="0.2">
      <c r="A2039" s="5">
        <v>1978</v>
      </c>
      <c r="B2039" s="138">
        <f>'Cap Outlay Deprec 26'!I8</f>
        <v>266273</v>
      </c>
      <c r="D2039" s="2" t="str">
        <f t="shared" si="30"/>
        <v>Error?</v>
      </c>
    </row>
    <row r="2040" spans="1:4" x14ac:dyDescent="0.2">
      <c r="A2040" s="5">
        <v>1979</v>
      </c>
      <c r="B2040" s="138">
        <f>'Cap Outlay Deprec 26'!I10</f>
        <v>50793</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95994</v>
      </c>
      <c r="D2042" s="2" t="str">
        <f t="shared" si="30"/>
        <v>Error?</v>
      </c>
    </row>
    <row r="2043" spans="1:4" x14ac:dyDescent="0.2">
      <c r="A2043" s="5">
        <v>1982</v>
      </c>
      <c r="B2043" s="138">
        <f>'Cap Outlay Deprec 26'!I16</f>
        <v>413060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5233042</v>
      </c>
      <c r="C2051" s="2" t="s">
        <v>573</v>
      </c>
      <c r="D2051" s="2" t="str">
        <f t="shared" si="31"/>
        <v>Error?</v>
      </c>
    </row>
    <row r="2052" spans="1:4" x14ac:dyDescent="0.2">
      <c r="A2052" s="5">
        <v>1991</v>
      </c>
      <c r="B2052" s="138">
        <f>'Cap Outlay Deprec 26'!K10</f>
        <v>559709</v>
      </c>
      <c r="C2052" s="2" t="s">
        <v>573</v>
      </c>
      <c r="D2052" s="2" t="str">
        <f t="shared" si="31"/>
        <v>Error?</v>
      </c>
    </row>
    <row r="2053" spans="1:4" x14ac:dyDescent="0.2">
      <c r="A2053" s="5">
        <v>1992</v>
      </c>
      <c r="B2053" s="138">
        <f>'Cap Outlay Deprec 26'!K12</f>
        <v>1309271</v>
      </c>
      <c r="C2053" s="2" t="s">
        <v>573</v>
      </c>
      <c r="D2053" s="2" t="str">
        <f t="shared" si="31"/>
        <v>Error?</v>
      </c>
    </row>
    <row r="2054" spans="1:4" x14ac:dyDescent="0.2">
      <c r="A2054" s="5">
        <v>1993</v>
      </c>
      <c r="B2054" s="138">
        <f>'Cap Outlay Deprec 26'!K13</f>
        <v>1829516</v>
      </c>
      <c r="C2054" s="2" t="s">
        <v>573</v>
      </c>
      <c r="D2054" s="2" t="str">
        <f t="shared" si="31"/>
        <v>Error?</v>
      </c>
    </row>
    <row r="2055" spans="1:4" x14ac:dyDescent="0.2">
      <c r="A2055" s="5">
        <v>1994</v>
      </c>
      <c r="B2055" s="138">
        <f>'Cap Outlay Deprec 26'!K16</f>
        <v>8931538</v>
      </c>
      <c r="C2055" s="2" t="s">
        <v>573</v>
      </c>
      <c r="D2055" s="2" t="str">
        <f t="shared" si="31"/>
        <v>Error?</v>
      </c>
    </row>
    <row r="2056" spans="1:4" x14ac:dyDescent="0.2">
      <c r="A2056" s="5">
        <v>1995</v>
      </c>
      <c r="B2056" s="138">
        <f>'Cap Outlay Deprec 26'!L5</f>
        <v>30100</v>
      </c>
      <c r="C2056" s="2" t="s">
        <v>573</v>
      </c>
      <c r="D2056" s="2" t="str">
        <f t="shared" si="31"/>
        <v>Error?</v>
      </c>
    </row>
    <row r="2057" spans="1:4" x14ac:dyDescent="0.2">
      <c r="A2057" s="5">
        <v>1996</v>
      </c>
      <c r="B2057" s="138">
        <f>'Cap Outlay Deprec 26'!L8</f>
        <v>7068696.5299999993</v>
      </c>
      <c r="C2057" s="2" t="s">
        <v>573</v>
      </c>
      <c r="D2057" s="2" t="str">
        <f t="shared" si="31"/>
        <v>Error?</v>
      </c>
    </row>
    <row r="2058" spans="1:4" x14ac:dyDescent="0.2">
      <c r="A2058" s="5">
        <v>1997</v>
      </c>
      <c r="B2058" s="138">
        <f>'Cap Outlay Deprec 26'!L10</f>
        <v>456150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288292.25</v>
      </c>
      <c r="C2060" s="2" t="s">
        <v>573</v>
      </c>
      <c r="D2060" s="2" t="str">
        <f t="shared" si="31"/>
        <v>Error?</v>
      </c>
    </row>
    <row r="2061" spans="1:4" x14ac:dyDescent="0.2">
      <c r="A2061" s="5">
        <v>2000</v>
      </c>
      <c r="B2061" s="138">
        <f>'Cap Outlay Deprec 26'!L16</f>
        <v>7843238.7799999993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89096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259796.27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t="str">
        <f>'Assets-Liab 5-6'!D38</f>
        <v xml:space="preserve"> </v>
      </c>
      <c r="D2437" s="2" t="e">
        <f t="shared" si="37"/>
        <v>#VALUE!</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69372</v>
      </c>
      <c r="D2475" s="2" t="str">
        <f t="shared" si="37"/>
        <v>Error?</v>
      </c>
    </row>
    <row r="2476" spans="1:4" x14ac:dyDescent="0.2">
      <c r="A2476" s="10">
        <v>2415</v>
      </c>
      <c r="D2476" s="2" t="str">
        <f t="shared" si="37"/>
        <v>OK</v>
      </c>
    </row>
    <row r="2477" spans="1:4" x14ac:dyDescent="0.2">
      <c r="A2477" s="5">
        <v>2416</v>
      </c>
      <c r="B2477" s="138">
        <f>'Assets-Liab 5-6'!G38</f>
        <v>121701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240578</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1618833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1467025.79</v>
      </c>
      <c r="C2551" s="2" t="s">
        <v>573</v>
      </c>
      <c r="D2551" s="2" t="str">
        <f t="shared" si="38"/>
        <v>Error?</v>
      </c>
    </row>
    <row r="2552" spans="1:4" x14ac:dyDescent="0.2">
      <c r="A2552" s="10">
        <v>2491</v>
      </c>
      <c r="D2552" s="2" t="str">
        <f t="shared" si="38"/>
        <v>OK</v>
      </c>
    </row>
    <row r="2553" spans="1:4" x14ac:dyDescent="0.2">
      <c r="A2553" s="5">
        <v>2492</v>
      </c>
      <c r="B2553" s="138">
        <f>'Acct Summary 7-8'!C6</f>
        <v>3920068.04</v>
      </c>
      <c r="C2553" s="2" t="s">
        <v>573</v>
      </c>
      <c r="D2553" s="2" t="str">
        <f t="shared" si="38"/>
        <v>Error?</v>
      </c>
    </row>
    <row r="2554" spans="1:4" x14ac:dyDescent="0.2">
      <c r="A2554" s="5">
        <v>2493</v>
      </c>
      <c r="B2554" s="138">
        <f>'Acct Summary 7-8'!C7</f>
        <v>728808.04999999993</v>
      </c>
      <c r="C2554" s="2" t="s">
        <v>573</v>
      </c>
      <c r="D2554" s="2" t="str">
        <f t="shared" si="38"/>
        <v>Error?</v>
      </c>
    </row>
    <row r="2555" spans="1:4" x14ac:dyDescent="0.2">
      <c r="A2555" s="5">
        <v>2494</v>
      </c>
      <c r="B2555" s="138">
        <f>'Acct Summary 7-8'!C8</f>
        <v>6115901.8799999999</v>
      </c>
      <c r="C2555" s="2" t="s">
        <v>573</v>
      </c>
      <c r="D2555" s="2" t="str">
        <f t="shared" si="38"/>
        <v>Error?</v>
      </c>
    </row>
    <row r="2556" spans="1:4" x14ac:dyDescent="0.2">
      <c r="A2556" s="5">
        <v>2495</v>
      </c>
      <c r="B2556" s="138">
        <f>'Acct Summary 7-8'!C12</f>
        <v>3875590.8999999994</v>
      </c>
      <c r="C2556" s="2" t="s">
        <v>573</v>
      </c>
      <c r="D2556" s="2" t="str">
        <f t="shared" si="38"/>
        <v>Error?</v>
      </c>
    </row>
    <row r="2557" spans="1:4" x14ac:dyDescent="0.2">
      <c r="A2557" s="5">
        <v>2496</v>
      </c>
      <c r="B2557" s="138">
        <f>'Acct Summary 7-8'!C13</f>
        <v>1423798.37</v>
      </c>
      <c r="C2557" s="2" t="s">
        <v>573</v>
      </c>
      <c r="D2557" s="2" t="str">
        <f t="shared" si="38"/>
        <v>Error?</v>
      </c>
    </row>
    <row r="2558" spans="1:4" x14ac:dyDescent="0.2">
      <c r="A2558" s="5">
        <v>2497</v>
      </c>
      <c r="B2558" s="138">
        <f>'Acct Summary 7-8'!C14</f>
        <v>288103.10999999993</v>
      </c>
      <c r="C2558" s="2" t="s">
        <v>573</v>
      </c>
      <c r="D2558" s="2" t="str">
        <f t="shared" si="38"/>
        <v>Error?</v>
      </c>
    </row>
    <row r="2559" spans="1:4" x14ac:dyDescent="0.2">
      <c r="A2559" s="5">
        <v>2498</v>
      </c>
      <c r="B2559" s="138">
        <f>'Acct Summary 7-8'!C15</f>
        <v>259796.27</v>
      </c>
      <c r="C2559" s="2" t="s">
        <v>573</v>
      </c>
      <c r="D2559" s="2" t="str">
        <f t="shared" ref="D2559:D2622" si="39">IF(ISBLANK(B2559),"OK",IF(A2559-B2559=0,"OK","Error?"))</f>
        <v>Error?</v>
      </c>
    </row>
    <row r="2560" spans="1:4" x14ac:dyDescent="0.2">
      <c r="A2560" s="5">
        <v>2499</v>
      </c>
      <c r="B2560" s="138">
        <f>'Acct Summary 7-8'!C16</f>
        <v>6213</v>
      </c>
      <c r="C2560" s="2" t="s">
        <v>573</v>
      </c>
      <c r="D2560" s="2" t="str">
        <f t="shared" si="39"/>
        <v>Error?</v>
      </c>
    </row>
    <row r="2561" spans="1:4" x14ac:dyDescent="0.2">
      <c r="A2561" s="5">
        <v>2500</v>
      </c>
      <c r="B2561" s="138">
        <f>'Acct Summary 7-8'!C17</f>
        <v>5853501.6499999994</v>
      </c>
      <c r="C2561" s="2" t="s">
        <v>573</v>
      </c>
      <c r="D2561" s="2" t="str">
        <f t="shared" si="39"/>
        <v>Error?</v>
      </c>
    </row>
    <row r="2562" spans="1:4" x14ac:dyDescent="0.2">
      <c r="A2562" s="5">
        <v>2501</v>
      </c>
      <c r="B2562" s="138">
        <f>'Acct Summary 7-8'!C20</f>
        <v>262400.23000000045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329069.56</v>
      </c>
      <c r="C2564" s="2" t="s">
        <v>573</v>
      </c>
      <c r="D2564" s="2" t="str">
        <f t="shared" si="39"/>
        <v>Error?</v>
      </c>
    </row>
    <row r="2565" spans="1:4" x14ac:dyDescent="0.2">
      <c r="A2565" s="10">
        <v>2504</v>
      </c>
      <c r="D2565" s="2" t="str">
        <f t="shared" si="39"/>
        <v>OK</v>
      </c>
    </row>
    <row r="2566" spans="1:4" x14ac:dyDescent="0.2">
      <c r="A2566" s="5">
        <v>2505</v>
      </c>
      <c r="B2566" s="138">
        <f>'Acct Summary 7-8'!D6</f>
        <v>127000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456069.56</v>
      </c>
      <c r="C2568" s="2" t="s">
        <v>573</v>
      </c>
      <c r="D2568" s="2" t="str">
        <f t="shared" si="39"/>
        <v>Error?</v>
      </c>
    </row>
    <row r="2569" spans="1:4" x14ac:dyDescent="0.2">
      <c r="A2569" s="5">
        <v>2508</v>
      </c>
      <c r="B2569" s="138">
        <f>'Acct Summary 7-8'!D13</f>
        <v>425189.04</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425189.04</v>
      </c>
      <c r="C2573" s="2" t="s">
        <v>573</v>
      </c>
      <c r="D2573" s="2" t="str">
        <f t="shared" si="39"/>
        <v>Error?</v>
      </c>
    </row>
    <row r="2574" spans="1:4" x14ac:dyDescent="0.2">
      <c r="A2574" s="5">
        <v>2513</v>
      </c>
      <c r="B2574" s="138">
        <f>'Acct Summary 7-8'!D20</f>
        <v>30880.520000000019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103083.94</v>
      </c>
      <c r="C2591" s="2" t="s">
        <v>573</v>
      </c>
      <c r="D2591" s="2" t="str">
        <f t="shared" si="39"/>
        <v>Error?</v>
      </c>
    </row>
    <row r="2592" spans="1:4" x14ac:dyDescent="0.2">
      <c r="A2592" s="10">
        <v>2531</v>
      </c>
      <c r="D2592" s="2" t="str">
        <f t="shared" si="39"/>
        <v>OK</v>
      </c>
    </row>
    <row r="2593" spans="1:4" x14ac:dyDescent="0.2">
      <c r="A2593" s="5">
        <v>2532</v>
      </c>
      <c r="B2593" s="138">
        <f>'Acct Summary 7-8'!F6</f>
        <v>247561.99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350645.93</v>
      </c>
      <c r="C2595" s="2" t="s">
        <v>573</v>
      </c>
      <c r="D2595" s="2" t="str">
        <f t="shared" si="39"/>
        <v>Error?</v>
      </c>
    </row>
    <row r="2596" spans="1:4" x14ac:dyDescent="0.2">
      <c r="A2596" s="5">
        <v>2535</v>
      </c>
      <c r="B2596" s="138">
        <f>'Acct Summary 7-8'!F13</f>
        <v>314069.90999999997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314069.90999999997</v>
      </c>
      <c r="C2600" s="2" t="s">
        <v>573</v>
      </c>
      <c r="D2600" s="2" t="str">
        <f t="shared" si="39"/>
        <v>Error?</v>
      </c>
    </row>
    <row r="2601" spans="1:4" x14ac:dyDescent="0.2">
      <c r="A2601" s="5">
        <v>2540</v>
      </c>
      <c r="B2601" s="138">
        <f>'Acct Summary 7-8'!F20</f>
        <v>36576.020000000019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233369.27</v>
      </c>
      <c r="C2603" s="2" t="s">
        <v>573</v>
      </c>
      <c r="D2603" s="2" t="str">
        <f t="shared" si="39"/>
        <v>Error?</v>
      </c>
    </row>
    <row r="2604" spans="1:4" x14ac:dyDescent="0.2">
      <c r="A2604" s="5">
        <v>2543</v>
      </c>
      <c r="B2604" s="138">
        <f>'Acct Summary 7-8'!G6</f>
        <v>77000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310369.27</v>
      </c>
      <c r="C2606" s="2" t="s">
        <v>573</v>
      </c>
      <c r="D2606" s="2" t="str">
        <f t="shared" si="39"/>
        <v>Error?</v>
      </c>
    </row>
    <row r="2607" spans="1:4" x14ac:dyDescent="0.2">
      <c r="A2607" s="5">
        <v>2546</v>
      </c>
      <c r="B2607" s="138">
        <f>'Acct Summary 7-8'!G12</f>
        <v>116566.92000000001</v>
      </c>
      <c r="C2607" s="2" t="s">
        <v>573</v>
      </c>
      <c r="D2607" s="2" t="str">
        <f t="shared" si="39"/>
        <v>Error?</v>
      </c>
    </row>
    <row r="2608" spans="1:4" x14ac:dyDescent="0.2">
      <c r="A2608" s="5">
        <v>2547</v>
      </c>
      <c r="B2608" s="138">
        <f>'Acct Summary 7-8'!G13</f>
        <v>143834.58000000002</v>
      </c>
      <c r="C2608" s="2" t="s">
        <v>573</v>
      </c>
      <c r="D2608" s="2" t="str">
        <f t="shared" si="39"/>
        <v>Error?</v>
      </c>
    </row>
    <row r="2609" spans="1:4" x14ac:dyDescent="0.2">
      <c r="A2609" s="5">
        <v>2548</v>
      </c>
      <c r="B2609" s="138">
        <f>'Acct Summary 7-8'!G14</f>
        <v>28365.600000000002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288767.10000000003</v>
      </c>
      <c r="C2612" s="2" t="s">
        <v>573</v>
      </c>
      <c r="D2612" s="2" t="str">
        <f t="shared" si="39"/>
        <v>Error?</v>
      </c>
    </row>
    <row r="2613" spans="1:4" x14ac:dyDescent="0.2">
      <c r="A2613" s="5">
        <v>2552</v>
      </c>
      <c r="B2613" s="138">
        <f>'Acct Summary 7-8'!G20</f>
        <v>21602.169999999984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118037.55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118037.55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183165</v>
      </c>
      <c r="C2634" s="2" t="s">
        <v>573</v>
      </c>
      <c r="D2634" s="2" t="str">
        <f t="shared" si="40"/>
        <v>Error?</v>
      </c>
    </row>
    <row r="2635" spans="1:4" x14ac:dyDescent="0.2">
      <c r="A2635" s="5">
        <v>2574</v>
      </c>
      <c r="B2635" s="138">
        <f>'Acct Summary 7-8'!E17</f>
        <v>183165</v>
      </c>
      <c r="C2635" s="2" t="s">
        <v>573</v>
      </c>
      <c r="D2635" s="2" t="str">
        <f t="shared" si="40"/>
        <v>Error?</v>
      </c>
    </row>
    <row r="2636" spans="1:4" x14ac:dyDescent="0.2">
      <c r="A2636" s="5">
        <v>2575</v>
      </c>
      <c r="B2636" s="138">
        <f>'Acct Summary 7-8'!E20</f>
        <v>-65127.45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545453.18000000005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545453.18000000005</v>
      </c>
      <c r="C2658" s="2" t="s">
        <v>573</v>
      </c>
      <c r="D2658" s="2" t="str">
        <f t="shared" si="40"/>
        <v>Error?</v>
      </c>
    </row>
    <row r="2659" spans="1:4" x14ac:dyDescent="0.2">
      <c r="A2659" s="5">
        <v>2598</v>
      </c>
      <c r="B2659" s="138">
        <f>'Acct Summary 7-8'!H13</f>
        <v>922457.79999999993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922457.79999999993</v>
      </c>
      <c r="C2661" s="2" t="s">
        <v>573</v>
      </c>
      <c r="D2661" s="2" t="str">
        <f t="shared" si="40"/>
        <v>Error?</v>
      </c>
    </row>
    <row r="2662" spans="1:4" x14ac:dyDescent="0.2">
      <c r="A2662" s="5">
        <v>2601</v>
      </c>
      <c r="B2662" s="138">
        <f>'Acct Summary 7-8'!H20</f>
        <v>-377004.61999999988</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1243</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170700.27</v>
      </c>
      <c r="C2789" s="2" t="s">
        <v>573</v>
      </c>
      <c r="D2789" s="2" t="str">
        <f t="shared" si="42"/>
        <v>Error?</v>
      </c>
    </row>
    <row r="2790" spans="1:4" x14ac:dyDescent="0.2">
      <c r="A2790" s="5">
        <v>2729</v>
      </c>
      <c r="B2790" s="138">
        <f>'Expenditures 15-22'!E102</f>
        <v>170700.27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1243</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64032</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288352</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633939</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8707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633939</v>
      </c>
      <c r="D2912" s="2" t="str">
        <f t="shared" si="44"/>
        <v>Error?</v>
      </c>
    </row>
    <row r="2913" spans="1:4" x14ac:dyDescent="0.2">
      <c r="A2913" s="5">
        <v>2852</v>
      </c>
      <c r="B2913" s="138">
        <f>'Assets-Liab 5-6'!I41</f>
        <v>633939</v>
      </c>
      <c r="C2913" s="2" t="s">
        <v>573</v>
      </c>
      <c r="D2913" s="2" t="str">
        <f t="shared" si="44"/>
        <v>Error?</v>
      </c>
    </row>
    <row r="2914" spans="1:4" x14ac:dyDescent="0.2">
      <c r="A2914" s="5">
        <v>2853</v>
      </c>
      <c r="B2914" s="138">
        <f>'Assets-Liab 5-6'!L33</f>
        <v>8707</v>
      </c>
      <c r="D2914" s="2" t="str">
        <f t="shared" si="44"/>
        <v>Error?</v>
      </c>
    </row>
    <row r="2915" spans="1:4" x14ac:dyDescent="0.2">
      <c r="A2915" s="10">
        <v>2854</v>
      </c>
      <c r="D2915" s="2" t="str">
        <f t="shared" si="44"/>
        <v>OK</v>
      </c>
    </row>
    <row r="2916" spans="1:4" x14ac:dyDescent="0.2">
      <c r="A2916" s="5">
        <v>2855</v>
      </c>
      <c r="B2916" s="138">
        <f>'Assets-Liab 5-6'!L34</f>
        <v>8707</v>
      </c>
      <c r="C2916" s="2" t="s">
        <v>573</v>
      </c>
      <c r="D2916" s="2" t="str">
        <f t="shared" si="44"/>
        <v>Error?</v>
      </c>
    </row>
    <row r="2917" spans="1:4" x14ac:dyDescent="0.2">
      <c r="A2917" s="5">
        <v>2856</v>
      </c>
      <c r="B2917" s="138">
        <f>'Assets-Liab 5-6'!L41</f>
        <v>8707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170700.27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89096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170700.27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89096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96808.87000000001</v>
      </c>
      <c r="D3055" s="2" t="str">
        <f t="shared" si="46"/>
        <v>Error?</v>
      </c>
    </row>
    <row r="3056" spans="1:4" x14ac:dyDescent="0.2">
      <c r="A3056" s="5">
        <v>2995</v>
      </c>
      <c r="B3056" s="138">
        <f>'Expenditures 15-22'!D10</f>
        <v>26300.489999999998</v>
      </c>
      <c r="D3056" s="2" t="str">
        <f t="shared" si="46"/>
        <v>Error?</v>
      </c>
    </row>
    <row r="3057" spans="1:4" x14ac:dyDescent="0.2">
      <c r="A3057" s="5">
        <v>2996</v>
      </c>
      <c r="B3057" s="138">
        <f>'Expenditures 15-22'!E10</f>
        <v>7537.7800000000007</v>
      </c>
      <c r="D3057" s="2" t="str">
        <f t="shared" si="46"/>
        <v>Error?</v>
      </c>
    </row>
    <row r="3058" spans="1:4" x14ac:dyDescent="0.2">
      <c r="A3058" s="5">
        <v>2997</v>
      </c>
      <c r="B3058" s="138">
        <f>'Expenditures 15-22'!F10</f>
        <v>449.26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44.04</v>
      </c>
      <c r="D3060" s="2" t="str">
        <f t="shared" si="46"/>
        <v>Error?</v>
      </c>
    </row>
    <row r="3061" spans="1:4" x14ac:dyDescent="0.2">
      <c r="A3061" s="10">
        <v>3000</v>
      </c>
      <c r="D3061" s="2" t="str">
        <f t="shared" si="46"/>
        <v>OK</v>
      </c>
    </row>
    <row r="3062" spans="1:4" x14ac:dyDescent="0.2">
      <c r="A3062" s="5">
        <v>3001</v>
      </c>
      <c r="B3062" s="138">
        <f>'Expenditures 15-22'!K10</f>
        <v>131140.44000000003</v>
      </c>
      <c r="C3062" s="2" t="s">
        <v>573</v>
      </c>
      <c r="D3062" s="2" t="str">
        <f t="shared" si="46"/>
        <v>Error?</v>
      </c>
    </row>
    <row r="3063" spans="1:4" x14ac:dyDescent="0.2">
      <c r="A3063" s="10">
        <v>3002</v>
      </c>
      <c r="D3063" s="2" t="str">
        <f t="shared" si="46"/>
        <v>OK</v>
      </c>
    </row>
    <row r="3064" spans="1:4" x14ac:dyDescent="0.2">
      <c r="A3064" s="5">
        <v>3003</v>
      </c>
      <c r="B3064" s="138">
        <f>'Expenditures 15-22'!D219</f>
        <v>3160.2</v>
      </c>
      <c r="D3064" s="2" t="str">
        <f t="shared" si="46"/>
        <v>Error?</v>
      </c>
    </row>
    <row r="3065" spans="1:4" x14ac:dyDescent="0.2">
      <c r="A3065" s="5">
        <v>3004</v>
      </c>
      <c r="B3065" s="138">
        <f>'Expenditures 15-22'!K219</f>
        <v>3160.2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43499.479999999996</v>
      </c>
      <c r="C3225" s="2" t="s">
        <v>573</v>
      </c>
      <c r="D3225" s="2" t="str">
        <f t="shared" si="49"/>
        <v>Error?</v>
      </c>
    </row>
    <row r="3226" spans="1:4" x14ac:dyDescent="0.2">
      <c r="A3226" s="5">
        <v>3165</v>
      </c>
      <c r="B3226" s="138">
        <f>'Acct Summary 7-8'!I8</f>
        <v>43499.479999999996</v>
      </c>
      <c r="C3226" s="2" t="s">
        <v>573</v>
      </c>
      <c r="D3226" s="2" t="str">
        <f t="shared" si="49"/>
        <v>Error?</v>
      </c>
    </row>
    <row r="3227" spans="1:4" x14ac:dyDescent="0.2">
      <c r="A3227" s="5">
        <v>3166</v>
      </c>
      <c r="B3227" s="138">
        <f>'Acct Summary 7-8'!I20</f>
        <v>43499.479999999996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262400.23000000045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1243</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1243</v>
      </c>
      <c r="C3238" s="2" t="s">
        <v>573</v>
      </c>
      <c r="D3238" s="2" t="str">
        <f t="shared" si="49"/>
        <v>Error?</v>
      </c>
    </row>
    <row r="3239" spans="1:4" x14ac:dyDescent="0.2">
      <c r="A3239" s="5">
        <v>3178</v>
      </c>
      <c r="B3239" s="138">
        <f>'Acct Summary 7-8'!D78</f>
        <v>32123.520000000019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36576.020000000019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21602.169999999984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67397</v>
      </c>
      <c r="D3273" s="2" t="str">
        <f t="shared" si="50"/>
        <v>Error?</v>
      </c>
    </row>
    <row r="3274" spans="1:4" x14ac:dyDescent="0.2">
      <c r="A3274" s="5">
        <v>3213</v>
      </c>
      <c r="B3274" s="138">
        <f>'Acct Summary 7-8'!E44</f>
        <v>67397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1243</v>
      </c>
      <c r="C3276" s="2" t="s">
        <v>573</v>
      </c>
      <c r="D3276" s="2" t="str">
        <f t="shared" si="50"/>
        <v>Error?</v>
      </c>
    </row>
    <row r="3277" spans="1:4" x14ac:dyDescent="0.2">
      <c r="A3277" s="5">
        <v>3216</v>
      </c>
      <c r="B3277" s="138">
        <f>'Acct Summary 7-8'!E77</f>
        <v>66154</v>
      </c>
      <c r="C3277" s="2" t="s">
        <v>573</v>
      </c>
      <c r="D3277" s="2" t="str">
        <f t="shared" si="50"/>
        <v>Error?</v>
      </c>
    </row>
    <row r="3278" spans="1:4" x14ac:dyDescent="0.2">
      <c r="A3278" s="5">
        <v>3217</v>
      </c>
      <c r="B3278" s="138">
        <f>'Acct Summary 7-8'!E78</f>
        <v>1026.5500000000029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67397</v>
      </c>
      <c r="D3297" s="2" t="str">
        <f t="shared" si="50"/>
        <v>Error?</v>
      </c>
    </row>
    <row r="3298" spans="1:4" x14ac:dyDescent="0.2">
      <c r="A3298" s="5">
        <v>3237</v>
      </c>
      <c r="B3298" s="138">
        <f>'Acct Summary 7-8'!H76</f>
        <v>67397</v>
      </c>
      <c r="C3298" s="2" t="s">
        <v>573</v>
      </c>
      <c r="D3298" s="2" t="str">
        <f t="shared" si="50"/>
        <v>Error?</v>
      </c>
    </row>
    <row r="3299" spans="1:4" x14ac:dyDescent="0.2">
      <c r="A3299" s="5">
        <v>3238</v>
      </c>
      <c r="B3299" s="138">
        <f>'Acct Summary 7-8'!H77</f>
        <v>-67397</v>
      </c>
      <c r="C3299" s="2" t="s">
        <v>573</v>
      </c>
      <c r="D3299" s="2" t="str">
        <f t="shared" si="50"/>
        <v>Error?</v>
      </c>
    </row>
    <row r="3300" spans="1:4" x14ac:dyDescent="0.2">
      <c r="A3300" s="5">
        <v>3239</v>
      </c>
      <c r="B3300" s="138">
        <f>'Acct Summary 7-8'!H78</f>
        <v>-444401.61999999988</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43499.479999999996</v>
      </c>
      <c r="C3320" s="2" t="s">
        <v>573</v>
      </c>
      <c r="D3320" s="2" t="str">
        <f t="shared" si="50"/>
        <v>Error?</v>
      </c>
    </row>
    <row r="3321" spans="1:4" x14ac:dyDescent="0.2">
      <c r="A3321" s="5">
        <v>3260</v>
      </c>
      <c r="B3321" s="138">
        <f>'Acct Summary 7-8'!I79</f>
        <v>590440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633939.48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311098.65999999997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62721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2435.14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825.99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868.55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378148.33999999997</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84209.860000000015</v>
      </c>
      <c r="D3387" s="2" t="str">
        <f t="shared" si="51"/>
        <v>Error?</v>
      </c>
    </row>
    <row r="3388" spans="1:4" x14ac:dyDescent="0.2">
      <c r="A3388" s="5">
        <v>3327</v>
      </c>
      <c r="B3388" s="138">
        <f>'Expenditures 15-22'!D217</f>
        <v>4075.29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84209.860000000015</v>
      </c>
      <c r="C3390" s="2" t="s">
        <v>573</v>
      </c>
      <c r="D3390" s="2" t="str">
        <f t="shared" si="51"/>
        <v>Error?</v>
      </c>
    </row>
    <row r="3391" spans="1:4" x14ac:dyDescent="0.2">
      <c r="A3391" s="5">
        <v>3330</v>
      </c>
      <c r="B3391" s="138">
        <f>'Expenditures 15-22'!K217</f>
        <v>4075.29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574365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201877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240578</v>
      </c>
      <c r="D3417" s="2" t="str">
        <f t="shared" si="52"/>
        <v>Error?</v>
      </c>
    </row>
    <row r="3418" spans="1:4" x14ac:dyDescent="0.2">
      <c r="A3418" s="10">
        <v>3357</v>
      </c>
      <c r="D3418" s="2" t="str">
        <f t="shared" si="52"/>
        <v>OK</v>
      </c>
    </row>
    <row r="3419" spans="1:4" x14ac:dyDescent="0.2">
      <c r="A3419" s="5">
        <v>3358</v>
      </c>
      <c r="B3419" s="138">
        <f>'Assets-Liab 5-6'!F4</f>
        <v>69420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121701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1618833</v>
      </c>
      <c r="D3425" s="2" t="str">
        <f t="shared" si="52"/>
        <v>Error?</v>
      </c>
    </row>
    <row r="3426" spans="1:4" x14ac:dyDescent="0.2">
      <c r="A3426" s="10">
        <v>3365</v>
      </c>
      <c r="D3426" s="2" t="str">
        <f t="shared" si="52"/>
        <v>OK</v>
      </c>
    </row>
    <row r="3427" spans="1:4" x14ac:dyDescent="0.2">
      <c r="A3427" s="5">
        <v>3366</v>
      </c>
      <c r="B3427" s="138">
        <f>'Assets-Liab 5-6'!I4</f>
        <v>633939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8707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104719</v>
      </c>
      <c r="C3446" s="2" t="s">
        <v>573</v>
      </c>
      <c r="D3446" s="2" t="str">
        <f t="shared" si="52"/>
        <v>Error?</v>
      </c>
    </row>
    <row r="3447" spans="1:4" x14ac:dyDescent="0.2">
      <c r="A3447" s="5">
        <v>3386</v>
      </c>
      <c r="B3447" s="138">
        <f>'Tax Sched 23'!D16</f>
        <v>104719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112797</v>
      </c>
      <c r="C3449" s="2" t="s">
        <v>573</v>
      </c>
      <c r="D3449" s="2" t="str">
        <f t="shared" si="52"/>
        <v>Error?</v>
      </c>
    </row>
    <row r="3450" spans="1:4" x14ac:dyDescent="0.2">
      <c r="A3450" s="5">
        <v>3389</v>
      </c>
      <c r="B3450" s="138">
        <f>'Tax Sched 23'!E16</f>
        <v>112797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177037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336814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6452715.8799999999</v>
      </c>
      <c r="C4122" s="2" t="s">
        <v>573</v>
      </c>
      <c r="D4122" s="2" t="str">
        <f t="shared" si="63"/>
        <v>Error?</v>
      </c>
    </row>
    <row r="4123" spans="1:4" x14ac:dyDescent="0.2">
      <c r="A4123" s="5">
        <v>4062</v>
      </c>
      <c r="B4123" s="138">
        <f>'Acct Summary 7-8'!D10</f>
        <v>456069.56</v>
      </c>
      <c r="C4123" s="2" t="s">
        <v>573</v>
      </c>
      <c r="D4123" s="2" t="str">
        <f t="shared" si="63"/>
        <v>Error?</v>
      </c>
    </row>
    <row r="4124" spans="1:4" x14ac:dyDescent="0.2">
      <c r="A4124" s="5">
        <v>4063</v>
      </c>
      <c r="B4124" s="138">
        <f>'Acct Summary 7-8'!E10</f>
        <v>118037.55</v>
      </c>
      <c r="C4124" s="2" t="s">
        <v>573</v>
      </c>
      <c r="D4124" s="2" t="str">
        <f t="shared" si="63"/>
        <v>Error?</v>
      </c>
    </row>
    <row r="4125" spans="1:4" x14ac:dyDescent="0.2">
      <c r="A4125" s="5">
        <v>4064</v>
      </c>
      <c r="B4125" s="138">
        <f>'Acct Summary 7-8'!F10</f>
        <v>350645.93</v>
      </c>
      <c r="C4125" s="2" t="s">
        <v>573</v>
      </c>
      <c r="D4125" s="2" t="str">
        <f t="shared" si="63"/>
        <v>Error?</v>
      </c>
    </row>
    <row r="4126" spans="1:4" x14ac:dyDescent="0.2">
      <c r="A4126" s="5">
        <v>4065</v>
      </c>
      <c r="B4126" s="138">
        <f>'Acct Summary 7-8'!G10</f>
        <v>310369.27</v>
      </c>
      <c r="C4126" s="2" t="s">
        <v>573</v>
      </c>
      <c r="D4126" s="2" t="str">
        <f t="shared" si="63"/>
        <v>Error?</v>
      </c>
    </row>
    <row r="4127" spans="1:4" x14ac:dyDescent="0.2">
      <c r="A4127" s="5">
        <v>4066</v>
      </c>
      <c r="B4127" s="138">
        <f>'Acct Summary 7-8'!H10</f>
        <v>545453.18000000005</v>
      </c>
      <c r="C4127" s="2" t="s">
        <v>573</v>
      </c>
      <c r="D4127" s="2" t="str">
        <f t="shared" si="63"/>
        <v>Error?</v>
      </c>
    </row>
    <row r="4128" spans="1:4" x14ac:dyDescent="0.2">
      <c r="A4128" s="5">
        <v>4067</v>
      </c>
      <c r="B4128" s="138">
        <f>'Acct Summary 7-8'!I10</f>
        <v>43499.479999999996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336814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6190315.6499999994</v>
      </c>
      <c r="C4136" s="2" t="s">
        <v>573</v>
      </c>
      <c r="D4136" s="2" t="str">
        <f t="shared" si="63"/>
        <v>Error?</v>
      </c>
    </row>
    <row r="4137" spans="1:4" x14ac:dyDescent="0.2">
      <c r="A4137" s="5">
        <v>4076</v>
      </c>
      <c r="B4137" s="138">
        <f>'Acct Summary 7-8'!D19</f>
        <v>425189.04</v>
      </c>
      <c r="C4137" s="2" t="s">
        <v>573</v>
      </c>
      <c r="D4137" s="2" t="str">
        <f t="shared" si="63"/>
        <v>Error?</v>
      </c>
    </row>
    <row r="4138" spans="1:4" x14ac:dyDescent="0.2">
      <c r="A4138" s="5">
        <v>4077</v>
      </c>
      <c r="B4138" s="138">
        <f>'Acct Summary 7-8'!E19</f>
        <v>183165</v>
      </c>
      <c r="C4138" s="2" t="s">
        <v>573</v>
      </c>
      <c r="D4138" s="2" t="str">
        <f t="shared" si="63"/>
        <v>Error?</v>
      </c>
    </row>
    <row r="4139" spans="1:4" x14ac:dyDescent="0.2">
      <c r="A4139" s="5">
        <v>4078</v>
      </c>
      <c r="B4139" s="138">
        <f>'Acct Summary 7-8'!F19</f>
        <v>314069.90999999997</v>
      </c>
      <c r="C4139" s="2" t="s">
        <v>573</v>
      </c>
      <c r="D4139" s="2" t="str">
        <f t="shared" si="63"/>
        <v>Error?</v>
      </c>
    </row>
    <row r="4140" spans="1:4" x14ac:dyDescent="0.2">
      <c r="A4140" s="5">
        <v>4079</v>
      </c>
      <c r="B4140" s="138">
        <f>'Acct Summary 7-8'!G19</f>
        <v>288767.10000000003</v>
      </c>
      <c r="C4140" s="2" t="s">
        <v>573</v>
      </c>
      <c r="D4140" s="2" t="str">
        <f t="shared" si="63"/>
        <v>Error?</v>
      </c>
    </row>
    <row r="4141" spans="1:4" x14ac:dyDescent="0.2">
      <c r="A4141" s="5">
        <v>4080</v>
      </c>
      <c r="B4141" s="138">
        <f>'Acct Summary 7-8'!H19</f>
        <v>922457.79999999993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3632588</v>
      </c>
      <c r="C4171" s="2" t="s">
        <v>573</v>
      </c>
      <c r="D4171" s="2" t="str">
        <f t="shared" si="64"/>
        <v>Error?</v>
      </c>
    </row>
    <row r="4172" spans="1:4" x14ac:dyDescent="0.2">
      <c r="A4172" s="5">
        <v>4111</v>
      </c>
      <c r="B4172" s="138">
        <f>'Short-Term Long-Term Debt 24'!J49</f>
        <v>3392010</v>
      </c>
      <c r="C4172" s="2" t="s">
        <v>573</v>
      </c>
      <c r="D4172" s="2" t="str">
        <f t="shared" si="64"/>
        <v>Error?</v>
      </c>
    </row>
    <row r="4173" spans="1:4" x14ac:dyDescent="0.2">
      <c r="A4173" s="5">
        <v>4112</v>
      </c>
      <c r="B4173" s="138">
        <f>'Short-Term Long-Term Debt 24'!H49</f>
        <v>160397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1716.6899999999998</v>
      </c>
      <c r="C4265" s="2" t="s">
        <v>573</v>
      </c>
      <c r="D4265" s="2" t="str">
        <f t="shared" si="65"/>
        <v>Error?</v>
      </c>
      <c r="E4265" s="128"/>
    </row>
    <row r="4266" spans="1:5" x14ac:dyDescent="0.2">
      <c r="A4266" s="12">
        <v>4205</v>
      </c>
      <c r="B4266" s="138">
        <f>('FP Info 3'!F10)*100000</f>
        <v>378.99</v>
      </c>
      <c r="C4266" s="2" t="s">
        <v>573</v>
      </c>
      <c r="D4266" s="2" t="str">
        <f t="shared" si="65"/>
        <v>Error?</v>
      </c>
      <c r="E4266" s="128"/>
    </row>
    <row r="4267" spans="1:5" x14ac:dyDescent="0.2">
      <c r="A4267" s="12">
        <v>4206</v>
      </c>
      <c r="B4267" s="138">
        <f>('FP Info 3'!H10)*100000</f>
        <v>126.34</v>
      </c>
      <c r="C4267" s="2" t="s">
        <v>573</v>
      </c>
      <c r="D4267" s="2" t="str">
        <f t="shared" si="65"/>
        <v>Error?</v>
      </c>
      <c r="E4267" s="128"/>
    </row>
    <row r="4268" spans="1:5" x14ac:dyDescent="0.2">
      <c r="A4268" s="12">
        <v>4207</v>
      </c>
      <c r="B4268" s="138">
        <f>('FP Info 3'!J10)*100000</f>
        <v>2222</v>
      </c>
      <c r="C4268" s="2" t="s">
        <v>573</v>
      </c>
      <c r="D4268" s="2" t="str">
        <f t="shared" si="65"/>
        <v>Error?</v>
      </c>
    </row>
    <row r="4269" spans="1:5" x14ac:dyDescent="0.2">
      <c r="A4269" s="12">
        <v>4208</v>
      </c>
      <c r="B4269" s="138">
        <f>'FP Info 3'!J16</f>
        <v>1334181.2500000005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74720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12390.5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72242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17394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17394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25409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29509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49.04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73757014</v>
      </c>
      <c r="D4995" s="2" t="str">
        <f t="shared" si="77"/>
        <v>Error?</v>
      </c>
    </row>
    <row r="4996" spans="1:4" x14ac:dyDescent="0.2">
      <c r="A4996" s="12">
        <v>4935</v>
      </c>
      <c r="B4996" s="138">
        <f>'FP Info 3'!H31</f>
        <v>5089233.966</v>
      </c>
      <c r="D4996" s="2" t="str">
        <f t="shared" si="77"/>
        <v>Error?</v>
      </c>
    </row>
    <row r="4997" spans="1:4" x14ac:dyDescent="0.2">
      <c r="A4997" s="12">
        <v>4936</v>
      </c>
      <c r="B4997" s="138">
        <f>'FP Info 3'!H37</f>
        <v>3632588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1223681.72</v>
      </c>
      <c r="D5061" s="2" t="str">
        <f t="shared" si="78"/>
        <v>Error?</v>
      </c>
    </row>
    <row r="5062" spans="1:4" x14ac:dyDescent="0.2">
      <c r="A5062" s="10">
        <v>5001</v>
      </c>
      <c r="D5062" s="2" t="str">
        <f t="shared" si="78"/>
        <v>OK</v>
      </c>
    </row>
    <row r="5063" spans="1:4" x14ac:dyDescent="0.2">
      <c r="A5063" s="5">
        <v>5002</v>
      </c>
      <c r="B5063" s="138">
        <f>'Revenues 9-14'!C7</f>
        <v>24433.22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1248114.94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75640.25</v>
      </c>
      <c r="D5072" s="2" t="str">
        <f t="shared" si="78"/>
        <v>Error?</v>
      </c>
    </row>
    <row r="5073" spans="1:4" x14ac:dyDescent="0.2">
      <c r="A5073" s="5">
        <v>5012</v>
      </c>
      <c r="B5073" s="138">
        <f>'Revenues 9-14'!C21</f>
        <v>702.77</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76343.02</v>
      </c>
      <c r="C5087" s="2" t="s">
        <v>573</v>
      </c>
      <c r="D5087" s="2" t="str">
        <f t="shared" si="78"/>
        <v>Error?</v>
      </c>
    </row>
    <row r="5088" spans="1:4" x14ac:dyDescent="0.2">
      <c r="A5088" s="5">
        <v>5027</v>
      </c>
      <c r="B5088" s="138">
        <f>'Revenues 9-14'!C65</f>
        <v>4025.72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4025.72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8773.4500000000007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61436</v>
      </c>
      <c r="C5096" s="2" t="s">
        <v>573</v>
      </c>
      <c r="D5096" s="2" t="str">
        <f t="shared" si="78"/>
        <v>Error?</v>
      </c>
    </row>
    <row r="5097" spans="1:4" x14ac:dyDescent="0.2">
      <c r="A5097" s="5">
        <v>5036</v>
      </c>
      <c r="B5097" s="138">
        <f>'Revenues 9-14'!C77</f>
        <v>9619.66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6228.92</v>
      </c>
      <c r="D5101" s="2" t="str">
        <f t="shared" si="78"/>
        <v>Error?</v>
      </c>
    </row>
    <row r="5102" spans="1:4" x14ac:dyDescent="0.2">
      <c r="A5102" s="5">
        <v>5041</v>
      </c>
      <c r="B5102" s="138">
        <f>'Revenues 9-14'!C82</f>
        <v>15848.58</v>
      </c>
      <c r="C5102" s="2" t="s">
        <v>573</v>
      </c>
      <c r="D5102" s="2" t="str">
        <f t="shared" si="78"/>
        <v>Error?</v>
      </c>
    </row>
    <row r="5103" spans="1:4" x14ac:dyDescent="0.2">
      <c r="A5103" s="5">
        <v>5042</v>
      </c>
      <c r="B5103" s="138">
        <f>'Revenues 9-14'!C84</f>
        <v>12570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20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12590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8597.5400000000009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20704</v>
      </c>
      <c r="D5118" s="2" t="str">
        <f t="shared" si="78"/>
        <v>Error?</v>
      </c>
    </row>
    <row r="5119" spans="1:4" x14ac:dyDescent="0.2">
      <c r="A5119" s="5">
        <v>5058</v>
      </c>
      <c r="B5119" s="138">
        <f>'Revenues 9-14'!C107</f>
        <v>19365.989999999998</v>
      </c>
      <c r="D5119" s="2" t="str">
        <f t="shared" ref="D5119:D5182" si="79">IF(ISBLANK(B5119),"OK",IF(A5119-B5119=0,"OK","Error?"))</f>
        <v>Error?</v>
      </c>
    </row>
    <row r="5120" spans="1:4" x14ac:dyDescent="0.2">
      <c r="A5120" s="5">
        <v>5059</v>
      </c>
      <c r="B5120" s="138">
        <f>'Revenues 9-14'!C108</f>
        <v>48667.53</v>
      </c>
      <c r="C5120" s="2" t="s">
        <v>573</v>
      </c>
      <c r="D5120" s="2" t="str">
        <f t="shared" si="79"/>
        <v>Error?</v>
      </c>
    </row>
    <row r="5121" spans="1:4" x14ac:dyDescent="0.2">
      <c r="A5121" s="5">
        <v>5060</v>
      </c>
      <c r="B5121" s="138">
        <f>'Revenues 9-14'!C109</f>
        <v>1467025.79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2864435.5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2864435.5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4474.54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1051158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1055632.54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3920068.04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195616.22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56695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252311.22</v>
      </c>
      <c r="C5246" s="2" t="s">
        <v>573</v>
      </c>
      <c r="D5246" s="2" t="str">
        <f t="shared" si="80"/>
        <v>Error?</v>
      </c>
    </row>
    <row r="5247" spans="1:4" x14ac:dyDescent="0.2">
      <c r="A5247" s="5">
        <v>5186</v>
      </c>
      <c r="B5247" s="138">
        <f>'Revenues 9-14'!C200</f>
        <v>240596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25409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315316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4236.33</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4236.33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728808.04999999993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728808.04999999993</v>
      </c>
      <c r="C5326" s="2" t="s">
        <v>573</v>
      </c>
      <c r="D5326" s="2" t="str">
        <f t="shared" si="82"/>
        <v>Error?</v>
      </c>
    </row>
    <row r="5327" spans="1:5" x14ac:dyDescent="0.2">
      <c r="A5327" s="5">
        <v>5266</v>
      </c>
      <c r="B5327" s="138">
        <f>'Revenues 9-14'!C268</f>
        <v>6115901.8799999999</v>
      </c>
      <c r="C5327" s="2" t="s">
        <v>573</v>
      </c>
      <c r="D5327" s="2" t="str">
        <f t="shared" si="82"/>
        <v>Error?</v>
      </c>
    </row>
    <row r="5328" spans="1:5" x14ac:dyDescent="0.2">
      <c r="A5328" s="5">
        <v>5267</v>
      </c>
      <c r="B5328" s="138">
        <f>'Revenues 9-14'!D5</f>
        <v>284231.92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284231.92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2637.64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2637.64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42200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42200</v>
      </c>
      <c r="C5355" s="2" t="s">
        <v>573</v>
      </c>
      <c r="D5355" s="2" t="str">
        <f t="shared" si="82"/>
        <v>Error?</v>
      </c>
    </row>
    <row r="5356" spans="1:4" x14ac:dyDescent="0.2">
      <c r="A5356" s="5">
        <v>5295</v>
      </c>
      <c r="B5356" s="138">
        <f>'Revenues 9-14'!D109</f>
        <v>329069.56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127000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127000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127000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456069.56</v>
      </c>
      <c r="C5508" s="2" t="s">
        <v>573</v>
      </c>
      <c r="D5508" s="2" t="str">
        <f t="shared" si="85"/>
        <v>Error?</v>
      </c>
    </row>
    <row r="5509" spans="1:4" x14ac:dyDescent="0.2">
      <c r="A5509" s="5">
        <v>5448</v>
      </c>
      <c r="B5509" s="138">
        <f>'Revenues 9-14'!E5</f>
        <v>115456.05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115456.05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2581.5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2581.5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118037.55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118037.55</v>
      </c>
      <c r="C5552" s="2" t="s">
        <v>573</v>
      </c>
      <c r="D5552" s="2" t="str">
        <f t="shared" si="85"/>
        <v>Error?</v>
      </c>
    </row>
    <row r="5553" spans="1:4" x14ac:dyDescent="0.2">
      <c r="A5553" s="5">
        <v>5492</v>
      </c>
      <c r="B5553" s="138">
        <f>'Revenues 9-14'!F5</f>
        <v>89759.42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89759.42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10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12225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12235</v>
      </c>
      <c r="C5579" s="2" t="s">
        <v>573</v>
      </c>
      <c r="D5579" s="2" t="str">
        <f t="shared" si="86"/>
        <v>Error?</v>
      </c>
    </row>
    <row r="5580" spans="1:4" x14ac:dyDescent="0.2">
      <c r="A5580" s="5">
        <v>5519</v>
      </c>
      <c r="B5580" s="138">
        <f>'Revenues 9-14'!F65</f>
        <v>589.52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589.52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500</v>
      </c>
      <c r="D5586" s="2" t="str">
        <f t="shared" si="86"/>
        <v>Error?</v>
      </c>
    </row>
    <row r="5587" spans="1:4" x14ac:dyDescent="0.2">
      <c r="A5587" s="5">
        <v>5526</v>
      </c>
      <c r="B5587" s="138">
        <f>'Revenues 9-14'!F108</f>
        <v>500</v>
      </c>
      <c r="C5587" s="2" t="s">
        <v>573</v>
      </c>
      <c r="D5587" s="2" t="str">
        <f t="shared" si="86"/>
        <v>Error?</v>
      </c>
    </row>
    <row r="5588" spans="1:4" x14ac:dyDescent="0.2">
      <c r="A5588" s="5">
        <v>5527</v>
      </c>
      <c r="B5588" s="138">
        <f>'Revenues 9-14'!F109</f>
        <v>103083.94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88424.82</v>
      </c>
      <c r="D5615" s="2" t="str">
        <f t="shared" si="86"/>
        <v>Error?</v>
      </c>
    </row>
    <row r="5616" spans="1:4" x14ac:dyDescent="0.2">
      <c r="A5616" s="10">
        <v>5555</v>
      </c>
      <c r="D5616" s="2" t="str">
        <f t="shared" si="86"/>
        <v>OK</v>
      </c>
    </row>
    <row r="5617" spans="1:5" x14ac:dyDescent="0.2">
      <c r="A5617" s="5">
        <v>5556</v>
      </c>
      <c r="B5617" s="138">
        <f>'Revenues 9-14'!F153</f>
        <v>109137.17</v>
      </c>
      <c r="D5617" s="2" t="str">
        <f t="shared" si="86"/>
        <v>Error?</v>
      </c>
    </row>
    <row r="5618" spans="1:5" x14ac:dyDescent="0.2">
      <c r="A5618" s="5">
        <v>5557</v>
      </c>
      <c r="B5618" s="138">
        <f>'Revenues 9-14'!F155</f>
        <v>197561.99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197561.99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247561.99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350645.93</v>
      </c>
      <c r="C5720" s="2" t="s">
        <v>573</v>
      </c>
      <c r="D5720" s="2" t="str">
        <f t="shared" si="88"/>
        <v>Error?</v>
      </c>
    </row>
    <row r="5721" spans="1:4" x14ac:dyDescent="0.2">
      <c r="A5721" s="5">
        <v>5660</v>
      </c>
      <c r="B5721" s="138">
        <f>'Revenues 9-14'!G5</f>
        <v>96241.2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104719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200960.2</v>
      </c>
      <c r="C5725" s="2" t="s">
        <v>573</v>
      </c>
      <c r="D5725" s="2" t="str">
        <f t="shared" si="88"/>
        <v>Error?</v>
      </c>
    </row>
    <row r="5726" spans="1:4" x14ac:dyDescent="0.2">
      <c r="A5726" s="5">
        <v>5665</v>
      </c>
      <c r="B5726" s="138">
        <f>'Revenues 9-14'!G14</f>
        <v>8845.42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22013.79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30859.21</v>
      </c>
      <c r="C5730" s="2" t="s">
        <v>573</v>
      </c>
      <c r="D5730" s="2" t="str">
        <f t="shared" si="88"/>
        <v>Error?</v>
      </c>
    </row>
    <row r="5731" spans="1:4" x14ac:dyDescent="0.2">
      <c r="A5731" s="5">
        <v>5670</v>
      </c>
      <c r="B5731" s="138">
        <f>'Revenues 9-14'!G65</f>
        <v>1549.86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1549.86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77000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77000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77000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310369.27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21161.18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21161.18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361</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524292</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545453.18000000005</v>
      </c>
      <c r="C5915" s="2" t="s">
        <v>573</v>
      </c>
      <c r="D5915" s="2" t="str">
        <f t="shared" si="91"/>
        <v>Error?</v>
      </c>
    </row>
    <row r="5916" spans="1:4" x14ac:dyDescent="0.2">
      <c r="A5916" s="5">
        <v>5855</v>
      </c>
      <c r="B5916" s="138">
        <f>'Revenues 9-14'!I5</f>
        <v>37382.14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37382.14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6117.34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6117.34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43499.479999999996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233369.27</v>
      </c>
      <c r="C6024" s="2" t="s">
        <v>573</v>
      </c>
      <c r="D6024" s="2" t="str">
        <f t="shared" si="93"/>
        <v>Error?</v>
      </c>
    </row>
    <row r="6025" spans="1:5" x14ac:dyDescent="0.2">
      <c r="A6025" s="5">
        <v>5964</v>
      </c>
      <c r="B6025" s="138">
        <f>'Revenues 9-14'!H109</f>
        <v>545453.18000000005</v>
      </c>
      <c r="C6025" s="2" t="s">
        <v>573</v>
      </c>
      <c r="D6025" s="2" t="str">
        <f t="shared" si="93"/>
        <v>Error?</v>
      </c>
    </row>
    <row r="6026" spans="1:5" x14ac:dyDescent="0.2">
      <c r="A6026" s="5">
        <v>5965</v>
      </c>
      <c r="B6026" s="138">
        <f>'Revenues 9-14'!I109</f>
        <v>43499.479999999996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52662.55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543.15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2025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147155</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262400.23000000045</v>
      </c>
      <c r="D6267" s="2" t="str">
        <f t="shared" si="96"/>
        <v>Error?</v>
      </c>
      <c r="E6267" s="2" t="s">
        <v>190</v>
      </c>
    </row>
    <row r="6268" spans="1:5" x14ac:dyDescent="0.2">
      <c r="A6268">
        <v>6207</v>
      </c>
      <c r="B6268" s="138">
        <f>'Acct Summary 7-8'!D82</f>
        <v>32123.520000000019</v>
      </c>
      <c r="D6268" s="2" t="str">
        <f t="shared" si="96"/>
        <v>Error?</v>
      </c>
      <c r="E6268" s="2" t="s">
        <v>190</v>
      </c>
    </row>
    <row r="6269" spans="1:5" x14ac:dyDescent="0.2">
      <c r="A6269">
        <v>6208</v>
      </c>
      <c r="B6269" s="138">
        <f>'Acct Summary 7-8'!E82</f>
        <v>1026.5499999999884</v>
      </c>
      <c r="D6269" s="2" t="str">
        <f t="shared" si="96"/>
        <v>Error?</v>
      </c>
      <c r="E6269" s="2" t="s">
        <v>190</v>
      </c>
    </row>
    <row r="6270" spans="1:5" x14ac:dyDescent="0.2">
      <c r="A6270">
        <v>6209</v>
      </c>
      <c r="B6270" s="138">
        <f>'Acct Summary 7-8'!F82</f>
        <v>36576.020000000019</v>
      </c>
      <c r="D6270" s="2" t="str">
        <f t="shared" si="96"/>
        <v>Error?</v>
      </c>
      <c r="E6270" s="2" t="s">
        <v>190</v>
      </c>
    </row>
    <row r="6271" spans="1:5" x14ac:dyDescent="0.2">
      <c r="A6271">
        <v>6210</v>
      </c>
      <c r="B6271" s="138">
        <f>'Acct Summary 7-8'!G82</f>
        <v>21602.169999999984</v>
      </c>
      <c r="D6271" s="2" t="str">
        <f t="shared" ref="D6271:D6334" si="97">IF(ISBLANK(B6271),"OK",IF(A6271-B6271=0,"OK","Error?"))</f>
        <v>Error?</v>
      </c>
      <c r="E6271" s="2" t="s">
        <v>190</v>
      </c>
    </row>
    <row r="6272" spans="1:5" x14ac:dyDescent="0.2">
      <c r="A6272">
        <v>6211</v>
      </c>
      <c r="B6272" s="138">
        <f>'Acct Summary 7-8'!H82</f>
        <v>-444401.61999999988</v>
      </c>
      <c r="D6272" s="2" t="str">
        <f t="shared" si="97"/>
        <v>Error?</v>
      </c>
      <c r="E6272" s="2" t="s">
        <v>190</v>
      </c>
    </row>
    <row r="6273" spans="1:5" x14ac:dyDescent="0.2">
      <c r="A6273">
        <v>6212</v>
      </c>
      <c r="B6273" s="138">
        <f>'Acct Summary 7-8'!I82</f>
        <v>43499.479999999981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0.61159676891659143</v>
      </c>
      <c r="D6276" s="2" t="str">
        <f t="shared" si="97"/>
        <v>Error?</v>
      </c>
      <c r="E6276" s="2" t="s">
        <v>190</v>
      </c>
    </row>
    <row r="6277" spans="1:5" x14ac:dyDescent="0.2">
      <c r="A6277">
        <v>6216</v>
      </c>
      <c r="B6277" s="138">
        <f>'Acct Summary 7-8'!D83</f>
        <v>0.15916244146268335</v>
      </c>
      <c r="D6277" s="2" t="str">
        <f t="shared" si="97"/>
        <v>Error?</v>
      </c>
      <c r="E6277" s="2" t="s">
        <v>190</v>
      </c>
    </row>
    <row r="6278" spans="1:5" x14ac:dyDescent="0.2">
      <c r="A6278">
        <v>6217</v>
      </c>
      <c r="B6278" s="138">
        <f>'Acct Summary 7-8'!E83</f>
        <v>4.2670232530009075E-3</v>
      </c>
      <c r="D6278" s="2" t="str">
        <f t="shared" si="97"/>
        <v>Error?</v>
      </c>
      <c r="E6278" s="2" t="s">
        <v>190</v>
      </c>
    </row>
    <row r="6279" spans="1:5" x14ac:dyDescent="0.2">
      <c r="A6279">
        <v>6218</v>
      </c>
      <c r="B6279" s="138">
        <f>'Acct Summary 7-8'!F83</f>
        <v>0.52724455767613521</v>
      </c>
      <c r="D6279" s="2" t="str">
        <f t="shared" si="97"/>
        <v>Error?</v>
      </c>
      <c r="E6279" s="2" t="s">
        <v>190</v>
      </c>
    </row>
    <row r="6280" spans="1:5" x14ac:dyDescent="0.2">
      <c r="A6280">
        <v>6219</v>
      </c>
      <c r="B6280" s="138">
        <f>'Acct Summary 7-8'!G83</f>
        <v>0.17750174464222476</v>
      </c>
      <c r="D6280" s="2" t="str">
        <f t="shared" si="97"/>
        <v>Error?</v>
      </c>
      <c r="E6280" s="2" t="s">
        <v>190</v>
      </c>
    </row>
    <row r="6281" spans="1:5" x14ac:dyDescent="0.2">
      <c r="A6281">
        <v>6220</v>
      </c>
      <c r="B6281" s="138">
        <f>'Acct Summary 7-8'!H83</f>
        <v>-0.27451967910372582</v>
      </c>
      <c r="D6281" s="2" t="str">
        <f t="shared" si="97"/>
        <v>Error?</v>
      </c>
      <c r="E6281" s="2" t="s">
        <v>190</v>
      </c>
    </row>
    <row r="6282" spans="1:5" x14ac:dyDescent="0.2">
      <c r="A6282">
        <v>6221</v>
      </c>
      <c r="B6282" s="138">
        <f>'Acct Summary 7-8'!I83</f>
        <v>6.8617717262221906E-2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325673.14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419828.69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5855.1</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5855.1</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6213</v>
      </c>
      <c r="D7016" s="2" t="str">
        <f t="shared" si="108"/>
        <v>Error?</v>
      </c>
    </row>
    <row r="7017" spans="1:4" x14ac:dyDescent="0.2">
      <c r="A7017">
        <v>6956</v>
      </c>
      <c r="B7017" s="138">
        <f>'Expenditures 15-22'!K111</f>
        <v>6213</v>
      </c>
      <c r="D7017" s="2" t="str">
        <f t="shared" si="108"/>
        <v>Error?</v>
      </c>
    </row>
    <row r="7018" spans="1:4" x14ac:dyDescent="0.2">
      <c r="A7018">
        <v>6957</v>
      </c>
      <c r="B7018" s="138">
        <f>'Expenditures 15-22'!H112</f>
        <v>6213</v>
      </c>
      <c r="D7018" s="2" t="str">
        <f t="shared" si="108"/>
        <v>Error?</v>
      </c>
    </row>
    <row r="7019" spans="1:4" x14ac:dyDescent="0.2">
      <c r="A7019">
        <v>6958</v>
      </c>
      <c r="B7019" s="138">
        <f>'Expenditures 15-22'!K112</f>
        <v>6213</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15916.029999999999</v>
      </c>
      <c r="D7073" s="2" t="str">
        <f t="shared" si="109"/>
        <v>Error?</v>
      </c>
    </row>
    <row r="7074" spans="1:4" x14ac:dyDescent="0.2">
      <c r="A7074">
        <v>7013</v>
      </c>
      <c r="B7074" s="138">
        <f>'Expenditures 15-22'!K216</f>
        <v>15916.029999999999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58493</v>
      </c>
      <c r="D7246" s="2" t="str">
        <f t="shared" si="112"/>
        <v>Error?</v>
      </c>
    </row>
    <row r="7247" spans="1:4" x14ac:dyDescent="0.2">
      <c r="A7247">
        <f t="shared" si="113"/>
        <v>7186</v>
      </c>
      <c r="B7247" s="138">
        <f>'Expenditures 15-22'!E7</f>
        <v>3310.23</v>
      </c>
      <c r="D7247" s="2" t="str">
        <f t="shared" si="112"/>
        <v>Error?</v>
      </c>
    </row>
    <row r="7248" spans="1:4" x14ac:dyDescent="0.2">
      <c r="A7248">
        <f t="shared" si="113"/>
        <v>7187</v>
      </c>
      <c r="B7248" s="138">
        <f>'Expenditures 15-22'!F7</f>
        <v>15271.67</v>
      </c>
      <c r="D7248" s="2" t="str">
        <f t="shared" si="112"/>
        <v>Error?</v>
      </c>
    </row>
    <row r="7249" spans="1:4" x14ac:dyDescent="0.2">
      <c r="A7249">
        <f t="shared" si="113"/>
        <v>7188</v>
      </c>
      <c r="B7249" s="138">
        <f>'Expenditures 15-22'!G7</f>
        <v>17080.649999999998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413060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24433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523931</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3594.25</v>
      </c>
      <c r="D7797" s="2" t="str">
        <f t="shared" si="127"/>
        <v>Error?</v>
      </c>
      <c r="E7797" s="4" t="s">
        <v>1904</v>
      </c>
    </row>
    <row r="7798" spans="1:5" x14ac:dyDescent="0.2">
      <c r="A7798">
        <v>7737</v>
      </c>
      <c r="B7798" s="138">
        <f>'Contracts Paid in CY 29'!F141</f>
        <v>3594.25</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55" sqref="H5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Unity Point CCSD 140</v>
      </c>
      <c r="B7" s="2383"/>
      <c r="C7" s="2383"/>
      <c r="D7" s="2420"/>
      <c r="E7" s="2421">
        <f>COVER!A13</f>
        <v>30039140004</v>
      </c>
      <c r="F7" s="2422"/>
      <c r="G7" s="2389">
        <f>COVER!T23</f>
        <v>65.028419999999997</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Kujawa &amp; Batteau, P.C.</v>
      </c>
      <c r="H9" s="2396"/>
      <c r="I9" s="2396"/>
      <c r="J9" s="2396"/>
      <c r="K9" s="2396"/>
      <c r="L9" s="2397"/>
    </row>
    <row r="10" spans="1:29" ht="13.5" customHeight="1" x14ac:dyDescent="0.2">
      <c r="A10" s="2379" t="str">
        <f>COVER!A38</f>
        <v>Dr. Lori James-Gross</v>
      </c>
      <c r="B10" s="2380"/>
      <c r="C10" s="2380"/>
      <c r="D10" s="2380"/>
      <c r="E10" s="2380"/>
      <c r="F10" s="2381"/>
      <c r="G10" s="2395" t="str">
        <f>COVER!T17</f>
        <v>309 S. Walnut Street</v>
      </c>
      <c r="H10" s="2408"/>
      <c r="I10" s="2408"/>
      <c r="J10" s="2408"/>
      <c r="K10" s="2408"/>
      <c r="L10" s="2409"/>
    </row>
    <row r="11" spans="1:29" ht="13.5" customHeight="1" x14ac:dyDescent="0.2">
      <c r="A11" s="1184" t="s">
        <v>1519</v>
      </c>
      <c r="B11" s="1185"/>
      <c r="C11" s="1186"/>
      <c r="D11" s="1191"/>
      <c r="E11" s="1186"/>
      <c r="F11" s="1190"/>
      <c r="G11" s="2395" t="str">
        <f>COVER!T19</f>
        <v>Pinckneyville</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kbatteau@kandb-cpa.com</v>
      </c>
      <c r="J13" s="2417"/>
      <c r="K13" s="2417"/>
      <c r="L13" s="2418"/>
    </row>
    <row r="14" spans="1:29" ht="13.5" customHeight="1" x14ac:dyDescent="0.2">
      <c r="A14" s="2395" t="str">
        <f>COVER!A19</f>
        <v>4033 S. Illinois Avenue</v>
      </c>
      <c r="B14" s="2408"/>
      <c r="C14" s="2408"/>
      <c r="D14" s="2408"/>
      <c r="E14" s="2408"/>
      <c r="F14" s="2409"/>
      <c r="G14" s="1195" t="s">
        <v>1185</v>
      </c>
      <c r="H14" s="1193"/>
      <c r="I14" s="1193"/>
      <c r="J14" s="1193"/>
      <c r="K14" s="1193"/>
      <c r="L14" s="1194"/>
    </row>
    <row r="15" spans="1:29" ht="13.5" customHeight="1" x14ac:dyDescent="0.2">
      <c r="A15" s="2395" t="str">
        <f>COVER!A21</f>
        <v>Carbondale</v>
      </c>
      <c r="B15" s="2408"/>
      <c r="C15" s="2408"/>
      <c r="D15" s="2408"/>
      <c r="E15" s="2408"/>
      <c r="F15" s="2409"/>
      <c r="G15" s="2405" t="str">
        <f>COVER!T15</f>
        <v>Kevin Batteau</v>
      </c>
      <c r="H15" s="2406"/>
      <c r="I15" s="2406"/>
      <c r="J15" s="2406"/>
      <c r="K15" s="2406"/>
      <c r="L15" s="2407"/>
    </row>
    <row r="16" spans="1:29" ht="12.2" customHeight="1" x14ac:dyDescent="0.2">
      <c r="A16" s="2385">
        <f>COVER!A25</f>
        <v>62903</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 357-3000</v>
      </c>
      <c r="H18" s="2383"/>
      <c r="I18" s="2383"/>
      <c r="J18" s="2383"/>
      <c r="K18" s="2382" t="str">
        <f>COVER!X21</f>
        <v>(618) 357-3654</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statements"&amp;CPage 37</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106" zoomScaleNormal="125" workbookViewId="0">
      <selection activeCell="D79" sqref="D7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Unity Point CCSD 140</v>
      </c>
      <c r="B1" s="2419"/>
      <c r="C1" s="2419"/>
      <c r="D1" s="2419"/>
    </row>
    <row r="2" spans="1:11" s="1212" customFormat="1" ht="12.75" x14ac:dyDescent="0.2">
      <c r="A2" s="2424">
        <f>'Single Audit Cover'!E7</f>
        <v>30039140004</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oddFooter>&amp;L"The notes are an integral part of these statements"&amp;CPage 38</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53" sqref="A5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Unity Point CCSD 140</v>
      </c>
      <c r="B1" s="2427"/>
      <c r="C1" s="2427"/>
      <c r="D1" s="2427"/>
      <c r="E1" s="2427"/>
    </row>
    <row r="2" spans="1:5" x14ac:dyDescent="0.2">
      <c r="A2" s="2428">
        <f>'Single Audit Cover'!E7</f>
        <v>30039140004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728808.04999999993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-72242</v>
      </c>
    </row>
    <row r="19" spans="1:4" ht="13.5" thickBot="1" x14ac:dyDescent="0.25">
      <c r="A19" s="1262" t="s">
        <v>1235</v>
      </c>
      <c r="D19" s="1263">
        <f>SUM(D10:D17)</f>
        <v>656566.04999999993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656566.04999999993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656566.04999999993</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statements"&amp;CPage 39</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view="pageLayout" topLeftCell="A19"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Unity Point CCSD 140</v>
      </c>
      <c r="C1" s="2431"/>
      <c r="D1" s="2431"/>
      <c r="E1" s="2431"/>
      <c r="F1" s="2431"/>
      <c r="G1" s="2431"/>
      <c r="H1" s="2431"/>
      <c r="I1" s="2431"/>
      <c r="J1" s="2431"/>
      <c r="K1" s="2431"/>
      <c r="L1" s="2431"/>
      <c r="M1" s="2431"/>
    </row>
    <row r="2" spans="2:14" ht="15" x14ac:dyDescent="0.2">
      <c r="B2" s="2432">
        <f>'Single Audit Cover'!E7</f>
        <v>30039140004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&amp;L"The notes are an integral part of these statements"&amp;CPage 40</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topLeftCell="A34" zoomScaleNormal="120" workbookViewId="0">
      <selection activeCell="A52" sqref="A5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Unity Point CCSD 140</v>
      </c>
      <c r="B1" s="2436"/>
      <c r="C1" s="2436"/>
      <c r="D1" s="2436"/>
      <c r="E1" s="2436"/>
      <c r="F1" s="2436"/>
    </row>
    <row r="2" spans="1:7" ht="13.5" customHeight="1" x14ac:dyDescent="0.2">
      <c r="A2" s="2432">
        <f>'Single Audit Cover'!E7</f>
        <v>30039140004</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4">
        <f>+C33+C34</f>
        <v>0</v>
      </c>
      <c r="F34" s="2445"/>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2080</v>
      </c>
      <c r="C53" s="179">
        <v>22</v>
      </c>
      <c r="D53" s="247" t="s">
        <v>1462</v>
      </c>
      <c r="E53" s="248"/>
      <c r="F53" s="249"/>
      <c r="G53" s="249" t="s">
        <v>1461</v>
      </c>
      <c r="H53" s="250">
        <v>35796</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2085</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&amp;L&amp;8"The notes are an integral part of these statement"&amp;CPage 2</oddFooter>
    <evenFooter>&amp;L"The notes are an integral part of these statements"&amp;CPage 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view="pageLayout" topLeftCell="A40" zoomScaleNormal="110" workbookViewId="0">
      <selection activeCell="E70" sqref="E7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Unity Point CCSD 140</v>
      </c>
      <c r="C1" s="2452"/>
      <c r="D1" s="2452"/>
      <c r="E1" s="2452"/>
      <c r="F1" s="2452"/>
      <c r="G1" s="2452"/>
      <c r="H1" s="2452"/>
      <c r="I1" s="2452"/>
      <c r="J1" s="1406"/>
    </row>
    <row r="2" spans="2:10" s="317" customFormat="1" ht="12.75" customHeight="1" x14ac:dyDescent="0.2">
      <c r="B2" s="2453">
        <f>'Single Audit Cover'!E7</f>
        <v>30039140004</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1841</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oddFooter>&amp;L"The notes are an integral part of these statements"&amp;CPage 42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8" zoomScaleNormal="110" workbookViewId="0">
      <selection activeCell="J45" sqref="J4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Unity Point CCSD 140</v>
      </c>
      <c r="C1" s="2451"/>
      <c r="D1" s="2451"/>
      <c r="E1" s="2451"/>
      <c r="F1" s="2451"/>
      <c r="G1" s="2451"/>
      <c r="H1" s="2451"/>
      <c r="I1" s="2451"/>
      <c r="J1" s="2451"/>
      <c r="K1" s="2451"/>
      <c r="L1" s="1371"/>
      <c r="M1" s="1371"/>
    </row>
    <row r="2" spans="1:13" ht="12" customHeight="1" x14ac:dyDescent="0.2">
      <c r="B2" s="2453">
        <f>'Single Audit Cover'!E7</f>
        <v>30039140004</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statements"&amp;CPage 43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topLeftCell="A25" zoomScaleNormal="110" workbookViewId="0">
      <selection activeCell="F52" sqref="F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Unity Point CCSD 140</v>
      </c>
      <c r="C1" s="2478"/>
      <c r="D1" s="2478"/>
      <c r="E1" s="2478"/>
      <c r="F1" s="2478"/>
      <c r="G1" s="2478"/>
      <c r="H1" s="2478"/>
      <c r="I1" s="2478"/>
      <c r="J1" s="2478"/>
      <c r="K1" s="2478"/>
      <c r="L1" s="1449"/>
    </row>
    <row r="2" spans="1:12" ht="12.75" customHeight="1" x14ac:dyDescent="0.2">
      <c r="B2" s="2479">
        <f>'Single Audit Cover'!E7</f>
        <v>30039140004</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statements"&amp;CPage 44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47" sqref="D4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Unity Point CCSD 140</v>
      </c>
      <c r="C1" s="2451"/>
      <c r="D1" s="2451"/>
      <c r="E1" s="1469"/>
    </row>
    <row r="2" spans="2:5" s="1279" customFormat="1" ht="12.75" customHeight="1" x14ac:dyDescent="0.2">
      <c r="B2" s="2453">
        <f>'Single Audit Cover'!E7</f>
        <v>30039140004</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statements"&amp;CPage 45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11" colorId="8" zoomScale="110" zoomScaleNormal="110" workbookViewId="0">
      <selection activeCell="O41" sqref="O4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73757014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1.7166899999999999E-2</v>
      </c>
      <c r="E10" s="356" t="s">
        <v>1005</v>
      </c>
      <c r="F10" s="355">
        <v>3.7899000000000001E-3</v>
      </c>
      <c r="G10" s="356" t="s">
        <v>1005</v>
      </c>
      <c r="H10" s="355">
        <v>1.2634E-3</v>
      </c>
      <c r="I10" s="356" t="s">
        <v>1006</v>
      </c>
      <c r="J10" s="1732">
        <f>ROUND(D10+F10+H10,5)</f>
        <v>2.222E-2</v>
      </c>
      <c r="K10" s="222"/>
      <c r="L10" s="355">
        <v>4.9039999999999999E-4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6966116.8499999996</v>
      </c>
      <c r="E16" s="356"/>
      <c r="F16" s="1733">
        <f>SUM('Acct Summary 7-8'!C17,'Acct Summary 7-8'!D17,'Acct Summary 7-8'!F17)</f>
        <v>6592760.5999999996</v>
      </c>
      <c r="G16" s="356"/>
      <c r="H16" s="1733">
        <f>SUM(D16-F16)</f>
        <v>373356.25</v>
      </c>
      <c r="I16" s="222"/>
      <c r="J16" s="1733">
        <f>SUM('Acct Summary 7-8'!C81,'Acct Summary 7-8'!D81,'Acct Summary 7-8'!F81,'Acct Summary 7-8'!I81)</f>
        <v>1334181.2500000005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2080</v>
      </c>
      <c r="C31" s="367" t="s">
        <v>586</v>
      </c>
      <c r="D31" s="237" t="s">
        <v>1072</v>
      </c>
      <c r="E31" s="222"/>
      <c r="F31" s="222"/>
      <c r="G31" s="363"/>
      <c r="H31" s="1735">
        <f>IF(B31="X",(J7*0.069),IF(B32="X",(J7*0.138),"Enter x in a.or b."))</f>
        <v>5089233.966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3632588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firstPageNumber="3" orientation="portrait" useFirstPageNumber="1" r:id="rId1"/>
  <headerFooter alignWithMargins="0">
    <oddHeader>&amp;L&amp;8Page &amp;P&amp;C &amp;R&amp;8Page &amp;P</oddHeader>
    <oddFooter>&amp;L&amp;8"The notes are an integral part of these statements"&amp;CPage 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topLeftCell="A4" zoomScale="110" zoomScaleNormal="110" workbookViewId="0">
      <selection activeCell="F47" sqref="F4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Unity Point CCSD 140</v>
      </c>
      <c r="E7" s="391"/>
      <c r="G7" s="252"/>
      <c r="H7" s="387"/>
      <c r="I7" s="387"/>
      <c r="J7" s="387"/>
      <c r="K7" s="387"/>
      <c r="L7" s="329"/>
      <c r="M7" s="329"/>
      <c r="N7" s="329"/>
      <c r="O7" s="329"/>
      <c r="P7" s="329"/>
    </row>
    <row r="8" spans="1:18" ht="12.75" x14ac:dyDescent="0.2">
      <c r="A8" s="329"/>
      <c r="B8" s="329"/>
      <c r="C8" s="389" t="s">
        <v>1125</v>
      </c>
      <c r="D8" s="392">
        <f>COVER!A13</f>
        <v>30039140004</v>
      </c>
      <c r="E8" s="393"/>
      <c r="G8" s="329"/>
      <c r="H8" s="329"/>
      <c r="I8" s="329"/>
      <c r="J8" s="329"/>
      <c r="K8" s="329"/>
      <c r="L8" s="329"/>
      <c r="M8" s="329"/>
      <c r="N8" s="329"/>
      <c r="O8" s="329"/>
      <c r="P8" s="329"/>
    </row>
    <row r="9" spans="1:18" ht="12.75" x14ac:dyDescent="0.2">
      <c r="A9" s="329"/>
      <c r="B9" s="329"/>
      <c r="C9" s="389" t="s">
        <v>713</v>
      </c>
      <c r="D9" s="394" t="str">
        <f>COVER!A15</f>
        <v>Jackson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1334181.2500000005</v>
      </c>
      <c r="I12" s="404"/>
      <c r="J12" s="404"/>
      <c r="K12" s="405">
        <f>TRUNC((H12/H13*100000),5)/100000</f>
        <v>0.19152438559999999</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6966116.8499999996</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6592760.5999999996</v>
      </c>
      <c r="I17" s="404"/>
      <c r="J17" s="416"/>
      <c r="K17" s="405">
        <f>TRUNC((H17/H18*100000),5)/100000</f>
        <v>0.94640396389999992</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6966116.8499999996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1479601</v>
      </c>
      <c r="I24" s="422"/>
      <c r="J24" s="422"/>
      <c r="K24" s="423">
        <f>TRUNC(((H24/H25*100000)/100000),2)</f>
        <v>80.790000000000006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18313.223890000001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1393048.7234199999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3632588</v>
      </c>
      <c r="I32" s="420"/>
      <c r="J32" s="420"/>
      <c r="K32" s="423">
        <f>TRUNC(100-((((H32/H33*100))*100)/100),2)</f>
        <v>28.62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5089233.966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8" firstPageNumber="4" orientation="landscape" useFirstPageNumber="1" r:id="rId3"/>
  <headerFooter alignWithMargins="0">
    <oddHeader>&amp;L&amp;8Page &amp;P&amp;C &amp;R&amp;8Page &amp;P</oddHeader>
    <oddFooter>&amp;L&amp;8"The notes are an integral part of these statements"&amp;CPage 4</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13" colorId="8" zoomScale="110" zoomScaleNormal="110" workbookViewId="0">
      <selection activeCell="I47" sqref="I4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f>SUM(563173+8337+1224+20+1611)</f>
        <v>574365</v>
      </c>
      <c r="D4" s="466">
        <v>201877</v>
      </c>
      <c r="E4" s="466">
        <v>240578</v>
      </c>
      <c r="F4" s="466">
        <v>69420</v>
      </c>
      <c r="G4" s="466">
        <v>121701</v>
      </c>
      <c r="H4" s="466">
        <v>1618833</v>
      </c>
      <c r="I4" s="466">
        <v>633939</v>
      </c>
      <c r="J4" s="467">
        <v>0</v>
      </c>
      <c r="K4" s="466">
        <v>0</v>
      </c>
      <c r="L4" s="466">
        <v>8707</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2025</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576390</v>
      </c>
      <c r="D13" s="1737">
        <f t="shared" ref="D13:L13" si="0">SUM(D4:D12)</f>
        <v>201877</v>
      </c>
      <c r="E13" s="1737">
        <f t="shared" si="0"/>
        <v>240578</v>
      </c>
      <c r="F13" s="1737">
        <f t="shared" si="0"/>
        <v>69420</v>
      </c>
      <c r="G13" s="1737">
        <f t="shared" si="0"/>
        <v>121701</v>
      </c>
      <c r="H13" s="1737">
        <f t="shared" si="0"/>
        <v>1618833</v>
      </c>
      <c r="I13" s="1737">
        <f t="shared" si="0"/>
        <v>633939</v>
      </c>
      <c r="J13" s="1737">
        <f t="shared" si="0"/>
        <v>0</v>
      </c>
      <c r="K13" s="1737">
        <f t="shared" si="0"/>
        <v>0</v>
      </c>
      <c r="L13" s="1737">
        <f t="shared" si="0"/>
        <v>8707</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v>0</v>
      </c>
      <c r="N15" s="484"/>
    </row>
    <row r="16" spans="1:14" s="485" customFormat="1" ht="12.75" customHeight="1" x14ac:dyDescent="0.2">
      <c r="A16" s="482" t="s">
        <v>1402</v>
      </c>
      <c r="B16" s="483">
        <v>220</v>
      </c>
      <c r="C16" s="477"/>
      <c r="D16" s="477"/>
      <c r="E16" s="477"/>
      <c r="F16" s="477"/>
      <c r="G16" s="477"/>
      <c r="H16" s="477"/>
      <c r="I16" s="477"/>
      <c r="J16" s="477"/>
      <c r="K16" s="477"/>
      <c r="L16" s="477"/>
      <c r="M16" s="467">
        <v>30100</v>
      </c>
      <c r="N16" s="484"/>
    </row>
    <row r="17" spans="1:14" s="485" customFormat="1" ht="12.75" customHeight="1" x14ac:dyDescent="0.2">
      <c r="A17" s="482" t="s">
        <v>1403</v>
      </c>
      <c r="B17" s="483">
        <v>230</v>
      </c>
      <c r="C17" s="477"/>
      <c r="D17" s="477"/>
      <c r="E17" s="477"/>
      <c r="F17" s="477"/>
      <c r="G17" s="477"/>
      <c r="H17" s="477"/>
      <c r="I17" s="477"/>
      <c r="J17" s="477"/>
      <c r="K17" s="477"/>
      <c r="L17" s="477"/>
      <c r="M17" s="467">
        <v>12301739</v>
      </c>
      <c r="N17" s="484"/>
    </row>
    <row r="18" spans="1:14" s="485" customFormat="1" ht="12.75" customHeight="1" x14ac:dyDescent="0.2">
      <c r="A18" s="482" t="s">
        <v>1404</v>
      </c>
      <c r="B18" s="483">
        <v>240</v>
      </c>
      <c r="C18" s="477"/>
      <c r="D18" s="477"/>
      <c r="E18" s="477"/>
      <c r="F18" s="477"/>
      <c r="G18" s="477"/>
      <c r="H18" s="477"/>
      <c r="I18" s="477"/>
      <c r="J18" s="477"/>
      <c r="K18" s="477"/>
      <c r="L18" s="477"/>
      <c r="M18" s="467">
        <v>1015859</v>
      </c>
      <c r="N18" s="484"/>
    </row>
    <row r="19" spans="1:14" s="485" customFormat="1" ht="12.75" customHeight="1" x14ac:dyDescent="0.2">
      <c r="A19" s="482" t="s">
        <v>1405</v>
      </c>
      <c r="B19" s="483">
        <v>250</v>
      </c>
      <c r="C19" s="477"/>
      <c r="D19" s="477"/>
      <c r="E19" s="477"/>
      <c r="F19" s="477"/>
      <c r="G19" s="477"/>
      <c r="H19" s="477"/>
      <c r="I19" s="477"/>
      <c r="J19" s="477"/>
      <c r="K19" s="477"/>
      <c r="L19" s="477"/>
      <c r="M19" s="467">
        <v>3427079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240578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3392010</v>
      </c>
    </row>
    <row r="23" spans="1:14" ht="13.5" customHeight="1" thickBot="1" x14ac:dyDescent="0.25">
      <c r="A23" s="1736" t="s">
        <v>643</v>
      </c>
      <c r="B23" s="1741"/>
      <c r="C23" s="468"/>
      <c r="D23" s="468"/>
      <c r="E23" s="468"/>
      <c r="F23" s="468"/>
      <c r="G23" s="468"/>
      <c r="H23" s="468"/>
      <c r="I23" s="468"/>
      <c r="J23" s="468"/>
      <c r="K23" s="468"/>
      <c r="L23" s="468"/>
      <c r="M23" s="1688">
        <f>SUM(M15:M22)</f>
        <v>16774777</v>
      </c>
      <c r="N23" s="1688">
        <f>SUM(N21:N22)</f>
        <v>3632588</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147155</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194</v>
      </c>
      <c r="D31" s="467">
        <v>48</v>
      </c>
      <c r="E31" s="467"/>
      <c r="F31" s="466">
        <v>48</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8707</v>
      </c>
      <c r="M33" s="468"/>
      <c r="N33" s="469"/>
    </row>
    <row r="34" spans="1:14" ht="13.5" customHeight="1" thickBot="1" x14ac:dyDescent="0.25">
      <c r="A34" s="1738" t="s">
        <v>654</v>
      </c>
      <c r="B34" s="1739"/>
      <c r="C34" s="1740">
        <f>SUM(C25:C33)</f>
        <v>147349</v>
      </c>
      <c r="D34" s="1740">
        <f t="shared" ref="D34:K34" si="1">SUM(D25:D33)</f>
        <v>48</v>
      </c>
      <c r="E34" s="1740">
        <f t="shared" si="1"/>
        <v>0</v>
      </c>
      <c r="F34" s="1740">
        <f t="shared" si="1"/>
        <v>48</v>
      </c>
      <c r="G34" s="1740">
        <f t="shared" si="1"/>
        <v>0</v>
      </c>
      <c r="H34" s="1740">
        <f t="shared" si="1"/>
        <v>0</v>
      </c>
      <c r="I34" s="1740">
        <f t="shared" si="1"/>
        <v>0</v>
      </c>
      <c r="J34" s="1740">
        <f t="shared" si="1"/>
        <v>0</v>
      </c>
      <c r="K34" s="1740">
        <f t="shared" si="1"/>
        <v>0</v>
      </c>
      <c r="L34" s="1721">
        <f>SUM(L33)</f>
        <v>8707</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3632588</v>
      </c>
    </row>
    <row r="37" spans="1:14" ht="13.5" thickBot="1" x14ac:dyDescent="0.25">
      <c r="A37" s="1736" t="s">
        <v>653</v>
      </c>
      <c r="B37" s="1741"/>
      <c r="C37" s="477"/>
      <c r="D37" s="477"/>
      <c r="E37" s="477"/>
      <c r="F37" s="477"/>
      <c r="G37" s="477"/>
      <c r="H37" s="477"/>
      <c r="I37" s="477"/>
      <c r="J37" s="477"/>
      <c r="K37" s="477"/>
      <c r="L37" s="480"/>
      <c r="M37" s="468"/>
      <c r="N37" s="1688">
        <f>SUM(N36:N36)</f>
        <v>3632588</v>
      </c>
    </row>
    <row r="38" spans="1:14" s="329" customFormat="1" ht="13.5" customHeight="1" thickTop="1" x14ac:dyDescent="0.2">
      <c r="A38" s="496" t="s">
        <v>420</v>
      </c>
      <c r="B38" s="483">
        <v>714</v>
      </c>
      <c r="C38" s="466"/>
      <c r="D38" s="466" t="s">
        <v>1169</v>
      </c>
      <c r="E38" s="466">
        <v>240578</v>
      </c>
      <c r="F38" s="466">
        <v>69372</v>
      </c>
      <c r="G38" s="466">
        <v>121701</v>
      </c>
      <c r="H38" s="466">
        <v>1618833</v>
      </c>
      <c r="I38" s="466"/>
      <c r="J38" s="467"/>
      <c r="K38" s="466"/>
      <c r="L38" s="481"/>
      <c r="M38" s="497"/>
      <c r="N38" s="497"/>
    </row>
    <row r="39" spans="1:14" s="329" customFormat="1" ht="13.5" customHeight="1" x14ac:dyDescent="0.2">
      <c r="A39" s="496" t="s">
        <v>342</v>
      </c>
      <c r="B39" s="483">
        <v>730</v>
      </c>
      <c r="C39" s="466">
        <v>429041</v>
      </c>
      <c r="D39" s="466">
        <v>201829</v>
      </c>
      <c r="E39" s="466"/>
      <c r="F39" s="466"/>
      <c r="G39" s="466"/>
      <c r="H39" s="466"/>
      <c r="I39" s="466">
        <v>633939</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16774777</v>
      </c>
      <c r="N40" s="497"/>
    </row>
    <row r="41" spans="1:14" ht="13.5" customHeight="1" thickBot="1" x14ac:dyDescent="0.25">
      <c r="A41" s="1736" t="s">
        <v>655</v>
      </c>
      <c r="B41" s="1706"/>
      <c r="C41" s="1688">
        <f>(SUM(C34,C37,C38,C39))</f>
        <v>576390</v>
      </c>
      <c r="D41" s="1688">
        <f t="shared" ref="D41:L41" si="2">SUM(D34,D37,D38:D39)</f>
        <v>201877</v>
      </c>
      <c r="E41" s="1688">
        <f t="shared" si="2"/>
        <v>240578</v>
      </c>
      <c r="F41" s="1688">
        <f t="shared" si="2"/>
        <v>69420</v>
      </c>
      <c r="G41" s="1688">
        <f t="shared" si="2"/>
        <v>121701</v>
      </c>
      <c r="H41" s="1688">
        <f t="shared" si="2"/>
        <v>1618833</v>
      </c>
      <c r="I41" s="1688">
        <f t="shared" si="2"/>
        <v>633939</v>
      </c>
      <c r="J41" s="1688">
        <f t="shared" si="2"/>
        <v>0</v>
      </c>
      <c r="K41" s="1688">
        <f t="shared" si="2"/>
        <v>0</v>
      </c>
      <c r="L41" s="1688">
        <f t="shared" si="2"/>
        <v>8707</v>
      </c>
      <c r="M41" s="1688">
        <f>SUM(M40)</f>
        <v>16774777</v>
      </c>
      <c r="N41" s="1688">
        <f>SUM(N37)</f>
        <v>3632588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 xml:space="preserve">&amp;L&amp;8"The notes are an integral part of these statements"&amp;C5-6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58" colorId="8" zoomScale="110" zoomScaleNormal="110" zoomScaleSheetLayoutView="100" workbookViewId="0">
      <selection activeCell="H35" sqref="H3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8" t="s">
        <v>1499</v>
      </c>
      <c r="B4" s="1929">
        <v>1000</v>
      </c>
      <c r="C4" s="1742">
        <f>'Revenues 9-14'!C109</f>
        <v>1467025.79</v>
      </c>
      <c r="D4" s="1742">
        <f>'Revenues 9-14'!D109</f>
        <v>329069.56</v>
      </c>
      <c r="E4" s="1742">
        <f>'Revenues 9-14'!E109</f>
        <v>118037.55</v>
      </c>
      <c r="F4" s="1742">
        <f>'Revenues 9-14'!F109</f>
        <v>103083.94</v>
      </c>
      <c r="G4" s="1742">
        <f>'Revenues 9-14'!G109</f>
        <v>233369.27</v>
      </c>
      <c r="H4" s="1742">
        <f>'Revenues 9-14'!H109</f>
        <v>545453.18000000005</v>
      </c>
      <c r="I4" s="1742">
        <f>'Revenues 9-14'!I109</f>
        <v>43499.479999999996</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3920068.04</v>
      </c>
      <c r="D6" s="1743">
        <f>'Revenues 9-14'!D170</f>
        <v>127000</v>
      </c>
      <c r="E6" s="1743">
        <f>'Revenues 9-14'!E170</f>
        <v>0</v>
      </c>
      <c r="F6" s="1743">
        <f>'Revenues 9-14'!F170</f>
        <v>247561.99</v>
      </c>
      <c r="G6" s="1743">
        <f>'Revenues 9-14'!G170</f>
        <v>77000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728808.04999999993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6115901.8799999999</v>
      </c>
      <c r="D8" s="1688">
        <f t="shared" ref="D8:K8" si="0">SUM(D4:D7)</f>
        <v>456069.56</v>
      </c>
      <c r="E8" s="1688">
        <f t="shared" si="0"/>
        <v>118037.55</v>
      </c>
      <c r="F8" s="1688">
        <f t="shared" si="0"/>
        <v>350645.93</v>
      </c>
      <c r="G8" s="1688">
        <f t="shared" si="0"/>
        <v>310369.27</v>
      </c>
      <c r="H8" s="1688">
        <f t="shared" si="0"/>
        <v>545453.18000000005</v>
      </c>
      <c r="I8" s="1688">
        <f t="shared" si="0"/>
        <v>43499.479999999996</v>
      </c>
      <c r="J8" s="1688">
        <f t="shared" si="0"/>
        <v>0</v>
      </c>
      <c r="K8" s="1688">
        <f t="shared" si="0"/>
        <v>0</v>
      </c>
      <c r="L8" s="347"/>
    </row>
    <row r="9" spans="1:13" ht="15.75" thickTop="1" x14ac:dyDescent="0.2">
      <c r="A9" s="514" t="s">
        <v>1653</v>
      </c>
      <c r="B9" s="515">
        <v>3998</v>
      </c>
      <c r="C9" s="481">
        <v>336814</v>
      </c>
      <c r="D9" s="516"/>
      <c r="E9" s="481"/>
      <c r="F9" s="481"/>
      <c r="G9" s="517"/>
      <c r="H9" s="481"/>
      <c r="I9" s="509" t="s">
        <v>1169</v>
      </c>
      <c r="J9" s="478"/>
      <c r="K9" s="481"/>
      <c r="L9" s="347"/>
    </row>
    <row r="10" spans="1:13" s="519" customFormat="1" ht="13.5" thickBot="1" x14ac:dyDescent="0.25">
      <c r="A10" s="1736" t="s">
        <v>1173</v>
      </c>
      <c r="B10" s="1709"/>
      <c r="C10" s="1688">
        <f>SUM(C8:C9)</f>
        <v>6452715.8799999999</v>
      </c>
      <c r="D10" s="1688">
        <f t="shared" ref="D10:K10" si="1">SUM(D8:D9)</f>
        <v>456069.56</v>
      </c>
      <c r="E10" s="1688">
        <f t="shared" si="1"/>
        <v>118037.55</v>
      </c>
      <c r="F10" s="1688">
        <f t="shared" si="1"/>
        <v>350645.93</v>
      </c>
      <c r="G10" s="1688">
        <f t="shared" si="1"/>
        <v>310369.27</v>
      </c>
      <c r="H10" s="1688">
        <f t="shared" si="1"/>
        <v>545453.18000000005</v>
      </c>
      <c r="I10" s="1688">
        <f t="shared" si="1"/>
        <v>43499.479999999996</v>
      </c>
      <c r="J10" s="1688">
        <f t="shared" si="1"/>
        <v>0</v>
      </c>
      <c r="K10" s="1688">
        <f t="shared" si="1"/>
        <v>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2">
        <f>'Expenditures 15-22'!K33</f>
        <v>3875590.8999999994</v>
      </c>
      <c r="D12" s="520" t="s">
        <v>1169</v>
      </c>
      <c r="E12" s="468" t="s">
        <v>1169</v>
      </c>
      <c r="F12" s="468" t="s">
        <v>1169</v>
      </c>
      <c r="G12" s="1742">
        <f>'Expenditures 15-22'!K229</f>
        <v>116566.92000000001</v>
      </c>
      <c r="H12" s="521"/>
      <c r="I12" s="468" t="s">
        <v>1169</v>
      </c>
      <c r="J12" s="468" t="s">
        <v>1169</v>
      </c>
      <c r="K12" s="521" t="s">
        <v>1169</v>
      </c>
      <c r="L12" s="347"/>
    </row>
    <row r="13" spans="1:13" ht="15.75" customHeight="1" x14ac:dyDescent="0.2">
      <c r="A13" s="1576" t="s">
        <v>457</v>
      </c>
      <c r="B13" s="1578">
        <v>2000</v>
      </c>
      <c r="C13" s="1743">
        <f>'Expenditures 15-22'!K74</f>
        <v>1423798.37</v>
      </c>
      <c r="D13" s="1743">
        <f>'Expenditures 15-22'!K129</f>
        <v>425189.04</v>
      </c>
      <c r="E13" s="469" t="s">
        <v>1169</v>
      </c>
      <c r="F13" s="1743">
        <f>'Expenditures 15-22'!K184</f>
        <v>314069.90999999997</v>
      </c>
      <c r="G13" s="1743">
        <f>'Expenditures 15-22'!K279</f>
        <v>143834.58000000002</v>
      </c>
      <c r="H13" s="1743">
        <f>'Expenditures 15-22'!K303</f>
        <v>922457.79999999993</v>
      </c>
      <c r="I13" s="468" t="s">
        <v>1169</v>
      </c>
      <c r="J13" s="1743">
        <f>'Expenditures 15-22'!K330</f>
        <v>0</v>
      </c>
      <c r="K13" s="1747">
        <f>'Expenditures 15-22'!K352</f>
        <v>0</v>
      </c>
      <c r="L13" s="347"/>
    </row>
    <row r="14" spans="1:13" ht="15.75" customHeight="1" x14ac:dyDescent="0.2">
      <c r="A14" s="1576" t="s">
        <v>449</v>
      </c>
      <c r="B14" s="1578">
        <v>3000</v>
      </c>
      <c r="C14" s="1743">
        <f>'Expenditures 15-22'!K75</f>
        <v>288103.10999999993</v>
      </c>
      <c r="D14" s="1743">
        <f>'Expenditures 15-22'!K130</f>
        <v>0</v>
      </c>
      <c r="E14" s="520" t="s">
        <v>1169</v>
      </c>
      <c r="F14" s="1743">
        <f>'Expenditures 15-22'!K185</f>
        <v>0</v>
      </c>
      <c r="G14" s="1743">
        <f>'Expenditures 15-22'!K280</f>
        <v>28365.600000000002</v>
      </c>
      <c r="H14" s="512"/>
      <c r="I14" s="468" t="s">
        <v>1169</v>
      </c>
      <c r="J14" s="468" t="s">
        <v>1169</v>
      </c>
      <c r="K14" s="512" t="s">
        <v>1169</v>
      </c>
      <c r="L14" s="347"/>
    </row>
    <row r="15" spans="1:13" ht="15.75" customHeight="1" x14ac:dyDescent="0.2">
      <c r="A15" s="1576" t="s">
        <v>107</v>
      </c>
      <c r="B15" s="1578">
        <v>4000</v>
      </c>
      <c r="C15" s="1743">
        <f>'Expenditures 15-22'!K102</f>
        <v>259796.27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6213</v>
      </c>
      <c r="D16" s="1743">
        <f>'Expenditures 15-22'!K149</f>
        <v>0</v>
      </c>
      <c r="E16" s="1743">
        <f>'Expenditures 15-22'!K172</f>
        <v>183165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5853501.6499999994</v>
      </c>
      <c r="D17" s="1688">
        <f t="shared" si="2"/>
        <v>425189.04</v>
      </c>
      <c r="E17" s="1688">
        <f t="shared" si="2"/>
        <v>183165</v>
      </c>
      <c r="F17" s="1688">
        <f t="shared" si="2"/>
        <v>314069.90999999997</v>
      </c>
      <c r="G17" s="1688">
        <f t="shared" si="2"/>
        <v>288767.10000000003</v>
      </c>
      <c r="H17" s="1688">
        <f t="shared" si="2"/>
        <v>922457.79999999993</v>
      </c>
      <c r="I17" s="468"/>
      <c r="J17" s="1688">
        <f>SUM(J12:J16)</f>
        <v>0</v>
      </c>
      <c r="K17" s="1688">
        <f>SUM(K12:K16)</f>
        <v>0</v>
      </c>
      <c r="L17" s="347"/>
    </row>
    <row r="18" spans="1:12" ht="15" customHeight="1" thickTop="1" x14ac:dyDescent="0.2">
      <c r="A18" s="1744" t="s">
        <v>1654</v>
      </c>
      <c r="B18" s="1745">
        <v>4180</v>
      </c>
      <c r="C18" s="1742">
        <f t="shared" ref="C18:H18" si="3">C9</f>
        <v>336814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6190315.6499999994</v>
      </c>
      <c r="D19" s="1688">
        <f t="shared" si="4"/>
        <v>425189.04</v>
      </c>
      <c r="E19" s="1688">
        <f t="shared" si="4"/>
        <v>183165</v>
      </c>
      <c r="F19" s="1688">
        <f t="shared" si="4"/>
        <v>314069.90999999997</v>
      </c>
      <c r="G19" s="1688">
        <f t="shared" si="4"/>
        <v>288767.10000000003</v>
      </c>
      <c r="H19" s="1688">
        <f t="shared" si="4"/>
        <v>922457.79999999993</v>
      </c>
      <c r="I19" s="468"/>
      <c r="J19" s="1688">
        <f>SUM(J17:J18)</f>
        <v>0</v>
      </c>
      <c r="K19" s="1688">
        <f>SUM(K17:K18)</f>
        <v>0</v>
      </c>
      <c r="L19" s="347"/>
    </row>
    <row r="20" spans="1:12" ht="16.5" thickTop="1" thickBot="1" x14ac:dyDescent="0.25">
      <c r="A20" s="2124" t="s">
        <v>1655</v>
      </c>
      <c r="B20" s="2125"/>
      <c r="C20" s="1746">
        <f>C8-C17</f>
        <v>262400.23000000045</v>
      </c>
      <c r="D20" s="1746">
        <f t="shared" ref="D20:K20" si="5">D8-D17</f>
        <v>30880.520000000019</v>
      </c>
      <c r="E20" s="1746">
        <f t="shared" si="5"/>
        <v>-65127.45</v>
      </c>
      <c r="F20" s="1746">
        <f t="shared" si="5"/>
        <v>36576.020000000019</v>
      </c>
      <c r="G20" s="1746">
        <f t="shared" si="5"/>
        <v>21602.169999999984</v>
      </c>
      <c r="H20" s="1746">
        <f t="shared" si="5"/>
        <v>-377004.61999999988</v>
      </c>
      <c r="I20" s="1746">
        <f t="shared" si="5"/>
        <v>43499.479999999996</v>
      </c>
      <c r="J20" s="1746">
        <f t="shared" si="5"/>
        <v>0</v>
      </c>
      <c r="K20" s="1746">
        <f t="shared" si="5"/>
        <v>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v>1243</v>
      </c>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67397</v>
      </c>
      <c r="F43" s="467"/>
      <c r="G43" s="467"/>
      <c r="H43" s="467"/>
      <c r="I43" s="467"/>
      <c r="J43" s="467"/>
      <c r="K43" s="467"/>
      <c r="L43" s="524"/>
    </row>
    <row r="44" spans="1:12" s="485" customFormat="1" ht="13.5" customHeight="1" thickBot="1" x14ac:dyDescent="0.25">
      <c r="A44" s="2138" t="s">
        <v>374</v>
      </c>
      <c r="B44" s="2139"/>
      <c r="C44" s="1703">
        <f>SUM(C24:C43)</f>
        <v>0</v>
      </c>
      <c r="D44" s="1703">
        <f t="shared" ref="D44:K44" si="6">SUM(D24:D43)</f>
        <v>1243</v>
      </c>
      <c r="E44" s="1703">
        <f t="shared" si="6"/>
        <v>67397</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v>1243</v>
      </c>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v>0</v>
      </c>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v>67397</v>
      </c>
      <c r="I75" s="530"/>
      <c r="J75" s="530"/>
      <c r="K75" s="532"/>
      <c r="L75" s="524"/>
    </row>
    <row r="76" spans="1:12" s="485" customFormat="1" ht="14.25" thickTop="1" thickBot="1" x14ac:dyDescent="0.25">
      <c r="A76" s="2114" t="s">
        <v>440</v>
      </c>
      <c r="B76" s="2115"/>
      <c r="C76" s="1703">
        <f t="shared" ref="C76:K76" si="7">SUM(C47:C75)</f>
        <v>0</v>
      </c>
      <c r="D76" s="1703">
        <f t="shared" si="7"/>
        <v>0</v>
      </c>
      <c r="E76" s="1703">
        <f t="shared" si="7"/>
        <v>1243</v>
      </c>
      <c r="F76" s="1703">
        <f t="shared" si="7"/>
        <v>0</v>
      </c>
      <c r="G76" s="1703">
        <f t="shared" si="7"/>
        <v>0</v>
      </c>
      <c r="H76" s="1703">
        <f t="shared" si="7"/>
        <v>67397</v>
      </c>
      <c r="I76" s="1703">
        <f t="shared" si="7"/>
        <v>0</v>
      </c>
      <c r="J76" s="1703">
        <f t="shared" si="7"/>
        <v>0</v>
      </c>
      <c r="K76" s="1703">
        <f t="shared" si="7"/>
        <v>0</v>
      </c>
      <c r="L76" s="524"/>
    </row>
    <row r="77" spans="1:12" ht="14.25" thickTop="1" thickBot="1" x14ac:dyDescent="0.25">
      <c r="A77" s="2116" t="s">
        <v>1177</v>
      </c>
      <c r="B77" s="2117"/>
      <c r="C77" s="1703">
        <f t="shared" ref="C77:K77" si="8">C44-C76</f>
        <v>0</v>
      </c>
      <c r="D77" s="1703">
        <f t="shared" si="8"/>
        <v>1243</v>
      </c>
      <c r="E77" s="1703">
        <f t="shared" si="8"/>
        <v>66154</v>
      </c>
      <c r="F77" s="1703">
        <f t="shared" si="8"/>
        <v>0</v>
      </c>
      <c r="G77" s="1703">
        <f t="shared" si="8"/>
        <v>0</v>
      </c>
      <c r="H77" s="1703">
        <f t="shared" si="8"/>
        <v>-67397</v>
      </c>
      <c r="I77" s="1703">
        <f t="shared" si="8"/>
        <v>0</v>
      </c>
      <c r="J77" s="1703">
        <f t="shared" si="8"/>
        <v>0</v>
      </c>
      <c r="K77" s="1703">
        <f t="shared" si="8"/>
        <v>0</v>
      </c>
      <c r="L77" s="347"/>
    </row>
    <row r="78" spans="1:12" ht="21.75" customHeight="1" thickTop="1" thickBot="1" x14ac:dyDescent="0.25">
      <c r="A78" s="2120" t="s">
        <v>597</v>
      </c>
      <c r="B78" s="2121"/>
      <c r="C78" s="1702">
        <f t="shared" ref="C78:K78" si="9">C20+C77</f>
        <v>262400.23000000045</v>
      </c>
      <c r="D78" s="1702">
        <f t="shared" si="9"/>
        <v>32123.520000000019</v>
      </c>
      <c r="E78" s="1702">
        <f t="shared" si="9"/>
        <v>1026.5500000000029</v>
      </c>
      <c r="F78" s="1702">
        <f t="shared" si="9"/>
        <v>36576.020000000019</v>
      </c>
      <c r="G78" s="1702">
        <f t="shared" si="9"/>
        <v>21602.169999999984</v>
      </c>
      <c r="H78" s="1702">
        <f t="shared" si="9"/>
        <v>-444401.61999999988</v>
      </c>
      <c r="I78" s="1702">
        <f t="shared" si="9"/>
        <v>43499.479999999996</v>
      </c>
      <c r="J78" s="1702">
        <f t="shared" si="9"/>
        <v>0</v>
      </c>
      <c r="K78" s="1702">
        <f t="shared" si="9"/>
        <v>0</v>
      </c>
      <c r="L78" s="533"/>
    </row>
    <row r="79" spans="1:12" ht="13.5" thickTop="1" x14ac:dyDescent="0.2">
      <c r="A79" s="1494" t="s">
        <v>1949</v>
      </c>
      <c r="B79" s="534"/>
      <c r="C79" s="478">
        <v>166641</v>
      </c>
      <c r="D79" s="535">
        <v>169705</v>
      </c>
      <c r="E79" s="535">
        <v>239551</v>
      </c>
      <c r="F79" s="535">
        <v>32796</v>
      </c>
      <c r="G79" s="535">
        <v>100099</v>
      </c>
      <c r="H79" s="535">
        <v>2063235</v>
      </c>
      <c r="I79" s="535">
        <v>590440</v>
      </c>
      <c r="J79" s="535"/>
      <c r="K79" s="535"/>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1950</v>
      </c>
      <c r="B81" s="2119"/>
      <c r="C81" s="1688">
        <f>(SUM(C78:C80))</f>
        <v>429041.23000000045</v>
      </c>
      <c r="D81" s="1688">
        <f>SUM(D78:D80)</f>
        <v>201828.52000000002</v>
      </c>
      <c r="E81" s="1688">
        <f t="shared" ref="E81:K81" si="10">SUM(E78:E80)</f>
        <v>240577.55</v>
      </c>
      <c r="F81" s="1688">
        <f t="shared" si="10"/>
        <v>69372.020000000019</v>
      </c>
      <c r="G81" s="1688">
        <f t="shared" si="10"/>
        <v>121701.16999999998</v>
      </c>
      <c r="H81" s="1688">
        <f t="shared" si="10"/>
        <v>1618833.3800000001</v>
      </c>
      <c r="I81" s="1688">
        <f t="shared" si="10"/>
        <v>633939.48</v>
      </c>
      <c r="J81" s="1688">
        <f t="shared" si="10"/>
        <v>0</v>
      </c>
      <c r="K81" s="1688">
        <f t="shared" si="10"/>
        <v>0</v>
      </c>
      <c r="L81" s="347"/>
    </row>
    <row r="82" spans="1:12" ht="0.75" customHeight="1" thickTop="1" thickBot="1" x14ac:dyDescent="0.25">
      <c r="A82" s="536" t="s">
        <v>343</v>
      </c>
      <c r="B82" s="537"/>
      <c r="C82" s="538">
        <f>(C81-C79)</f>
        <v>262400.23000000045</v>
      </c>
      <c r="D82" s="538">
        <f t="shared" ref="D82:K82" si="11">(D81-D79)</f>
        <v>32123.520000000019</v>
      </c>
      <c r="E82" s="538">
        <f t="shared" si="11"/>
        <v>1026.5499999999884</v>
      </c>
      <c r="F82" s="538">
        <f t="shared" si="11"/>
        <v>36576.020000000019</v>
      </c>
      <c r="G82" s="538">
        <f t="shared" si="11"/>
        <v>21602.169999999984</v>
      </c>
      <c r="H82" s="538">
        <f t="shared" si="11"/>
        <v>-444401.61999999988</v>
      </c>
      <c r="I82" s="538">
        <f t="shared" si="11"/>
        <v>43499.479999999981</v>
      </c>
      <c r="J82" s="538">
        <f t="shared" si="11"/>
        <v>0</v>
      </c>
      <c r="K82" s="538">
        <f t="shared" si="11"/>
        <v>0</v>
      </c>
    </row>
    <row r="83" spans="1:12" ht="14.25" hidden="1" thickTop="1" thickBot="1" x14ac:dyDescent="0.25">
      <c r="A83" s="539" t="s">
        <v>344</v>
      </c>
      <c r="B83" s="464"/>
      <c r="C83" s="540">
        <f>C82/C81</f>
        <v>0.61159676891659143</v>
      </c>
      <c r="D83" s="540">
        <f t="shared" ref="D83:K83" si="12">D82/D81</f>
        <v>0.15916244146268335</v>
      </c>
      <c r="E83" s="540">
        <f t="shared" si="12"/>
        <v>4.2670232530009075E-3</v>
      </c>
      <c r="F83" s="540">
        <f t="shared" si="12"/>
        <v>0.52724455767613521</v>
      </c>
      <c r="G83" s="540">
        <f t="shared" si="12"/>
        <v>0.17750174464222476</v>
      </c>
      <c r="H83" s="540">
        <f t="shared" si="12"/>
        <v>-0.27451967910372582</v>
      </c>
      <c r="I83" s="540">
        <f t="shared" si="12"/>
        <v>6.8617717262221906E-2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are an integral part of these statements"&amp;CPages 7-8</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97" colorId="8" zoomScale="110" zoomScaleNormal="110" zoomScaleSheetLayoutView="75" workbookViewId="0">
      <selection activeCell="C117" sqref="C11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1223681.72</v>
      </c>
      <c r="D5" s="481">
        <v>284231.92</v>
      </c>
      <c r="E5" s="466">
        <v>115456.05</v>
      </c>
      <c r="F5" s="548">
        <v>89759.42</v>
      </c>
      <c r="G5" s="466">
        <v>96241.2</v>
      </c>
      <c r="H5" s="466"/>
      <c r="I5" s="466">
        <v>37382.14</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24433.22</v>
      </c>
      <c r="D7" s="466"/>
      <c r="E7" s="468"/>
      <c r="F7" s="467"/>
      <c r="G7" s="467"/>
      <c r="H7" s="467"/>
      <c r="I7" s="468"/>
      <c r="J7" s="468"/>
      <c r="K7" s="468"/>
    </row>
    <row r="8" spans="1:12" x14ac:dyDescent="0.2">
      <c r="A8" s="463" t="s">
        <v>413</v>
      </c>
      <c r="B8" s="470">
        <v>1150</v>
      </c>
      <c r="C8" s="475"/>
      <c r="D8" s="475"/>
      <c r="E8" s="477"/>
      <c r="F8" s="477"/>
      <c r="G8" s="481">
        <v>104719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1248114.94</v>
      </c>
      <c r="D12" s="1707">
        <f t="shared" si="0"/>
        <v>284231.92</v>
      </c>
      <c r="E12" s="1707">
        <f t="shared" si="0"/>
        <v>115456.05</v>
      </c>
      <c r="F12" s="1707">
        <f t="shared" si="0"/>
        <v>89759.42</v>
      </c>
      <c r="G12" s="1707">
        <f t="shared" si="0"/>
        <v>200960.2</v>
      </c>
      <c r="H12" s="1707">
        <f t="shared" si="0"/>
        <v>0</v>
      </c>
      <c r="I12" s="1707">
        <f t="shared" si="0"/>
        <v>37382.14</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v>8845.42</v>
      </c>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22013.79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30859.21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75640.25</v>
      </c>
      <c r="D20" s="468"/>
      <c r="E20" s="468"/>
      <c r="F20" s="468"/>
      <c r="G20" s="468"/>
      <c r="H20" s="468"/>
      <c r="I20" s="468"/>
      <c r="J20" s="468"/>
      <c r="K20" s="468"/>
    </row>
    <row r="21" spans="1:11" ht="12.75" customHeight="1" x14ac:dyDescent="0.2">
      <c r="A21" s="463" t="s">
        <v>832</v>
      </c>
      <c r="B21" s="470">
        <v>1312</v>
      </c>
      <c r="C21" s="551">
        <v>702.77</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76343.02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10</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12225</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12235</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4025.72</v>
      </c>
      <c r="D65" s="466">
        <v>2637.64</v>
      </c>
      <c r="E65" s="466">
        <v>2581.5</v>
      </c>
      <c r="F65" s="467">
        <v>589.52</v>
      </c>
      <c r="G65" s="466">
        <v>1549.86</v>
      </c>
      <c r="H65" s="466">
        <v>21161.18</v>
      </c>
      <c r="I65" s="466">
        <v>6117.34</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4025.72</v>
      </c>
      <c r="D67" s="1688">
        <f t="shared" ref="D67:K67" si="2">SUM(D65:D66)</f>
        <v>2637.64</v>
      </c>
      <c r="E67" s="1688">
        <f t="shared" si="2"/>
        <v>2581.5</v>
      </c>
      <c r="F67" s="1688">
        <f t="shared" si="2"/>
        <v>589.52</v>
      </c>
      <c r="G67" s="1688">
        <f t="shared" si="2"/>
        <v>1549.86</v>
      </c>
      <c r="H67" s="1688">
        <f t="shared" si="2"/>
        <v>21161.18</v>
      </c>
      <c r="I67" s="1688">
        <f t="shared" si="2"/>
        <v>6117.34</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52662.55</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8773.4500000000007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61436</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9619.66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f>6228.92</f>
        <v>6228.92</v>
      </c>
      <c r="D81" s="466"/>
      <c r="E81" s="468"/>
      <c r="F81" s="468"/>
      <c r="G81" s="468"/>
      <c r="H81" s="468"/>
      <c r="I81" s="468"/>
      <c r="J81" s="468"/>
      <c r="K81" s="468"/>
    </row>
    <row r="82" spans="1:11" ht="12.75" customHeight="1" thickBot="1" x14ac:dyDescent="0.25">
      <c r="A82" s="1708" t="s">
        <v>241</v>
      </c>
      <c r="B82" s="1709"/>
      <c r="C82" s="1707">
        <f>SUM(C77:C81)</f>
        <v>15848.58</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12570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v>20</v>
      </c>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12590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42200</v>
      </c>
      <c r="E95" s="521"/>
      <c r="F95" s="521"/>
      <c r="G95" s="521"/>
      <c r="H95" s="521"/>
      <c r="I95" s="521"/>
      <c r="J95" s="521"/>
      <c r="K95" s="521"/>
    </row>
    <row r="96" spans="1:11" ht="12.75" customHeight="1" x14ac:dyDescent="0.2">
      <c r="A96" s="463" t="s">
        <v>391</v>
      </c>
      <c r="B96" s="470">
        <v>1920</v>
      </c>
      <c r="C96" s="551">
        <f>7798.05+799.49</f>
        <v>8597.5400000000009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v>361</v>
      </c>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v>0</v>
      </c>
      <c r="I102" s="467"/>
      <c r="J102" s="489"/>
      <c r="K102" s="467"/>
    </row>
    <row r="103" spans="1:12" ht="12.75" customHeight="1" x14ac:dyDescent="0.2">
      <c r="A103" s="463" t="s">
        <v>345</v>
      </c>
      <c r="B103" s="470">
        <v>1983</v>
      </c>
      <c r="C103" s="468"/>
      <c r="D103" s="468"/>
      <c r="E103" s="560"/>
      <c r="F103" s="468"/>
      <c r="G103" s="468"/>
      <c r="H103" s="489">
        <v>523931</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20704</v>
      </c>
      <c r="D106" s="489"/>
      <c r="E106" s="467"/>
      <c r="F106" s="467"/>
      <c r="G106" s="467"/>
      <c r="H106" s="467"/>
      <c r="I106" s="521"/>
      <c r="J106" s="467"/>
      <c r="K106" s="467"/>
    </row>
    <row r="107" spans="1:12" ht="12.75" customHeight="1" x14ac:dyDescent="0.2">
      <c r="A107" s="463" t="s">
        <v>78</v>
      </c>
      <c r="B107" s="470">
        <v>1999</v>
      </c>
      <c r="C107" s="551">
        <f>4229.51+3316.89+2000+260+50+2000+7509.59</f>
        <v>19365.989999999998</v>
      </c>
      <c r="D107" s="466"/>
      <c r="E107" s="466"/>
      <c r="F107" s="466">
        <v>500</v>
      </c>
      <c r="G107" s="466"/>
      <c r="H107" s="466"/>
      <c r="I107" s="466"/>
      <c r="J107" s="467"/>
      <c r="K107" s="466"/>
    </row>
    <row r="108" spans="1:12" ht="12.75" customHeight="1" thickBot="1" x14ac:dyDescent="0.25">
      <c r="A108" s="1708" t="s">
        <v>487</v>
      </c>
      <c r="B108" s="1712"/>
      <c r="C108" s="1707">
        <f>SUM(C95:C107)</f>
        <v>48667.53</v>
      </c>
      <c r="D108" s="1707">
        <f t="shared" ref="D108:K108" si="3">SUM(D95:D107)</f>
        <v>42200</v>
      </c>
      <c r="E108" s="1707">
        <f t="shared" si="3"/>
        <v>0</v>
      </c>
      <c r="F108" s="1707">
        <f t="shared" si="3"/>
        <v>500</v>
      </c>
      <c r="G108" s="1707">
        <f t="shared" si="3"/>
        <v>0</v>
      </c>
      <c r="H108" s="1707">
        <f t="shared" si="3"/>
        <v>524292</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1467025.79</v>
      </c>
      <c r="D109" s="1715">
        <f t="shared" si="4"/>
        <v>329069.56</v>
      </c>
      <c r="E109" s="1715">
        <f t="shared" si="4"/>
        <v>118037.55</v>
      </c>
      <c r="F109" s="1715">
        <f t="shared" si="4"/>
        <v>103083.94</v>
      </c>
      <c r="G109" s="1715">
        <f t="shared" si="4"/>
        <v>233369.27</v>
      </c>
      <c r="H109" s="1715">
        <f t="shared" si="4"/>
        <v>545453.18000000005</v>
      </c>
      <c r="I109" s="1715">
        <f t="shared" si="4"/>
        <v>43499.479999999996</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2864435.5</v>
      </c>
      <c r="D117" s="481">
        <v>127000</v>
      </c>
      <c r="E117" s="466"/>
      <c r="F117" s="481">
        <v>50000</v>
      </c>
      <c r="G117" s="481">
        <v>77000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2864435.5</v>
      </c>
      <c r="D122" s="1707">
        <f t="shared" si="5"/>
        <v>127000</v>
      </c>
      <c r="E122" s="1707">
        <f t="shared" si="5"/>
        <v>0</v>
      </c>
      <c r="F122" s="1707">
        <f t="shared" si="5"/>
        <v>50000</v>
      </c>
      <c r="G122" s="1707">
        <f t="shared" si="5"/>
        <v>77000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f>4332.26+142.28</f>
        <v>4474.54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88424.82</v>
      </c>
      <c r="G152" s="467"/>
      <c r="H152" s="468"/>
      <c r="I152" s="468"/>
      <c r="J152" s="468"/>
      <c r="K152" s="468"/>
    </row>
    <row r="153" spans="1:11" ht="12.75" customHeight="1" x14ac:dyDescent="0.2">
      <c r="A153" s="463" t="s">
        <v>1057</v>
      </c>
      <c r="B153" s="562">
        <v>3510</v>
      </c>
      <c r="C153" s="551"/>
      <c r="D153" s="466"/>
      <c r="E153" s="561"/>
      <c r="F153" s="466">
        <v>109137.17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197561.99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f>680912+370246</f>
        <v>1051158</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2">
        <f t="shared" ref="C169:K169" si="6">SUM(C132,C141,C145,C146:C150,C155,C156:C167,C168)</f>
        <v>1055632.54</v>
      </c>
      <c r="D169" s="1722">
        <f t="shared" si="6"/>
        <v>0</v>
      </c>
      <c r="E169" s="1722">
        <f t="shared" si="6"/>
        <v>0</v>
      </c>
      <c r="F169" s="1722">
        <f t="shared" si="6"/>
        <v>197561.99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3920068.04</v>
      </c>
      <c r="D170" s="1715">
        <f t="shared" si="7"/>
        <v>127000</v>
      </c>
      <c r="E170" s="1715">
        <f t="shared" si="7"/>
        <v>0</v>
      </c>
      <c r="F170" s="1715">
        <f t="shared" si="7"/>
        <v>247561.99</v>
      </c>
      <c r="G170" s="1715">
        <f t="shared" si="7"/>
        <v>77000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17394</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17394</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f>177911.77+17704.45</f>
        <v>195616.22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56695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252311.22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240596</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74720</v>
      </c>
      <c r="D203" s="466"/>
      <c r="E203" s="468"/>
      <c r="F203" s="466"/>
      <c r="G203" s="466"/>
      <c r="H203" s="468"/>
      <c r="I203" s="468"/>
      <c r="J203" s="468"/>
      <c r="K203" s="468"/>
    </row>
    <row r="204" spans="1:11" ht="12.75" customHeight="1" thickBot="1" x14ac:dyDescent="0.25">
      <c r="A204" s="1708" t="s">
        <v>400</v>
      </c>
      <c r="B204" s="1709"/>
      <c r="C204" s="1707">
        <f>SUM(C200:C203)</f>
        <v>315316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25409</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25409</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4236.33</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4236.33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29509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12390.5</v>
      </c>
      <c r="D263" s="576"/>
      <c r="E263" s="468"/>
      <c r="F263" s="576"/>
      <c r="G263" s="576"/>
      <c r="H263" s="468"/>
      <c r="I263" s="468"/>
      <c r="J263" s="468"/>
      <c r="K263" s="468"/>
    </row>
    <row r="264" spans="1:11" ht="12.75" customHeight="1" thickTop="1" thickBot="1" x14ac:dyDescent="0.25">
      <c r="A264" s="463" t="s">
        <v>377</v>
      </c>
      <c r="B264" s="470">
        <v>4992</v>
      </c>
      <c r="C264" s="575">
        <v>72242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728808.04999999993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728808.04999999993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6115901.8799999999</v>
      </c>
      <c r="D268" s="1715">
        <f t="shared" si="12"/>
        <v>456069.56</v>
      </c>
      <c r="E268" s="1715">
        <f t="shared" si="12"/>
        <v>118037.55</v>
      </c>
      <c r="F268" s="1715">
        <f t="shared" si="12"/>
        <v>350645.93</v>
      </c>
      <c r="G268" s="1715">
        <f t="shared" si="12"/>
        <v>310369.27</v>
      </c>
      <c r="H268" s="1715">
        <f t="shared" si="12"/>
        <v>545453.18000000005</v>
      </c>
      <c r="I268" s="1715">
        <f t="shared" si="12"/>
        <v>43499.479999999996</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&amp;L&amp;8"The notes are an integral part of these statements"&amp;CPages 9-14</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49" colorId="8" zoomScale="110" zoomScaleNormal="110" workbookViewId="0">
      <selection activeCell="H302" sqref="H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1756604.59+12018+54451.09+79566.88+121610.23+48079.78+900+88382.41+27477.75+65753.69+6000+13116.31</f>
        <v>2273960.73</v>
      </c>
      <c r="D5" s="466">
        <f>195036.01+825.08+3200.31+19568.61+72.15+195.75+201501.16</f>
        <v>420399.07</v>
      </c>
      <c r="E5" s="466">
        <f>6770.6+17872.24+2942.5</f>
        <v>27585.340000000004</v>
      </c>
      <c r="F5" s="466">
        <f>7025.19+2006.4+3513.55+591.9</f>
        <v>13137.039999999999</v>
      </c>
      <c r="G5" s="466">
        <f>5689.05</f>
        <v>5689.05</v>
      </c>
      <c r="H5" s="466">
        <f>6970.95</f>
        <v>6970.95</v>
      </c>
      <c r="I5" s="467"/>
      <c r="J5" s="467"/>
      <c r="K5" s="1671">
        <f>SUM(C5:J5)</f>
        <v>2747742.1799999997</v>
      </c>
      <c r="L5" s="466">
        <v>2837700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f>54952.68+209285.33+546+8016.88+68.25+52804</f>
        <v>325673.14</v>
      </c>
      <c r="D7" s="467">
        <f>26118.71+2508.29+4231+25635</f>
        <v>58493</v>
      </c>
      <c r="E7" s="467">
        <f>500+2810.23</f>
        <v>3310.23</v>
      </c>
      <c r="F7" s="467">
        <f>14853.17+418.5</f>
        <v>15271.67</v>
      </c>
      <c r="G7" s="467">
        <f>8402.99+4404.13+4273.53</f>
        <v>17080.649999999998</v>
      </c>
      <c r="H7" s="467"/>
      <c r="I7" s="467"/>
      <c r="J7" s="467"/>
      <c r="K7" s="1671">
        <f t="shared" ref="K7:K32" si="0">SUM(C7:J7)</f>
        <v>419828.69</v>
      </c>
      <c r="L7" s="466">
        <v>817800</v>
      </c>
    </row>
    <row r="8" spans="1:14" x14ac:dyDescent="0.2">
      <c r="A8" s="1504" t="s">
        <v>164</v>
      </c>
      <c r="B8" s="614">
        <v>1200</v>
      </c>
      <c r="C8" s="466">
        <f>311098.66</f>
        <v>311098.65999999997</v>
      </c>
      <c r="D8" s="466">
        <f>32392.2+3110.8+27218</f>
        <v>62721</v>
      </c>
      <c r="E8" s="466">
        <f>199</f>
        <v>199</v>
      </c>
      <c r="F8" s="466">
        <f>2435.14</f>
        <v>2435.14</v>
      </c>
      <c r="G8" s="466">
        <f>825.99</f>
        <v>825.99</v>
      </c>
      <c r="H8" s="466">
        <f>868.55</f>
        <v>868.55</v>
      </c>
      <c r="I8" s="467"/>
      <c r="J8" s="467"/>
      <c r="K8" s="1671">
        <f t="shared" si="0"/>
        <v>378148.33999999997</v>
      </c>
      <c r="L8" s="466">
        <v>386500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f>15758.16+80480.71+570</f>
        <v>96808.87000000001</v>
      </c>
      <c r="D10" s="466">
        <f>19651.71+941.78+1317+4390</f>
        <v>26300.489999999998</v>
      </c>
      <c r="E10" s="466">
        <f>8497.78-960</f>
        <v>7537.7800000000007</v>
      </c>
      <c r="F10" s="466">
        <f>449.26</f>
        <v>449.26</v>
      </c>
      <c r="G10" s="466"/>
      <c r="H10" s="466">
        <f>44.04</f>
        <v>44.04</v>
      </c>
      <c r="I10" s="467"/>
      <c r="J10" s="467"/>
      <c r="K10" s="1671">
        <f t="shared" si="0"/>
        <v>131140.44000000003</v>
      </c>
      <c r="L10" s="466">
        <v>276700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c r="D13" s="466"/>
      <c r="E13" s="466"/>
      <c r="F13" s="466"/>
      <c r="G13" s="466"/>
      <c r="H13" s="466"/>
      <c r="I13" s="467"/>
      <c r="J13" s="467"/>
      <c r="K13" s="1671">
        <f t="shared" si="0"/>
        <v>0</v>
      </c>
      <c r="L13" s="466">
        <v>0</v>
      </c>
    </row>
    <row r="14" spans="1:14" x14ac:dyDescent="0.2">
      <c r="A14" s="1504" t="s">
        <v>963</v>
      </c>
      <c r="B14" s="614">
        <v>1500</v>
      </c>
      <c r="C14" s="466">
        <f>30300+2485</f>
        <v>32785</v>
      </c>
      <c r="D14" s="466">
        <f>1856.51+418.59</f>
        <v>2275.1</v>
      </c>
      <c r="E14" s="466">
        <f>7643</f>
        <v>7643</v>
      </c>
      <c r="F14" s="466">
        <f>2367.34+1145.19</f>
        <v>3512.53</v>
      </c>
      <c r="G14" s="466"/>
      <c r="H14" s="466">
        <f>1053.33</f>
        <v>1053.33</v>
      </c>
      <c r="I14" s="467"/>
      <c r="J14" s="467"/>
      <c r="K14" s="1671">
        <f t="shared" si="0"/>
        <v>47268.959999999999</v>
      </c>
      <c r="L14" s="466">
        <v>53000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f>82553.05+43215+625</f>
        <v>126393.05</v>
      </c>
      <c r="D18" s="466">
        <f>9973.46+957.79+7463</f>
        <v>18394.25</v>
      </c>
      <c r="E18" s="466">
        <f>1683.41</f>
        <v>1683.41</v>
      </c>
      <c r="F18" s="466">
        <f>866.79</f>
        <v>866.79</v>
      </c>
      <c r="G18" s="466">
        <v>3701.5</v>
      </c>
      <c r="H18" s="466">
        <v>423.29</v>
      </c>
      <c r="I18" s="467"/>
      <c r="J18" s="467"/>
      <c r="K18" s="1671">
        <f t="shared" si="0"/>
        <v>151462.29</v>
      </c>
      <c r="L18" s="466">
        <v>167000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3166719.45</v>
      </c>
      <c r="D33" s="1670">
        <f t="shared" ref="D33:L33" si="1">SUM(D5:D32)</f>
        <v>588582.91</v>
      </c>
      <c r="E33" s="1670">
        <f t="shared" si="1"/>
        <v>47958.760000000009</v>
      </c>
      <c r="F33" s="1670">
        <f t="shared" si="1"/>
        <v>35672.43</v>
      </c>
      <c r="G33" s="1670">
        <f t="shared" si="1"/>
        <v>27297.19</v>
      </c>
      <c r="H33" s="1670">
        <f t="shared" si="1"/>
        <v>9360.16</v>
      </c>
      <c r="I33" s="1670">
        <f t="shared" si="1"/>
        <v>0</v>
      </c>
      <c r="J33" s="1670">
        <f t="shared" si="1"/>
        <v>0</v>
      </c>
      <c r="K33" s="1670">
        <f t="shared" si="1"/>
        <v>3875590.8999999994</v>
      </c>
      <c r="L33" s="1670">
        <f t="shared" si="1"/>
        <v>4538700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f>113.63</f>
        <v>113.63</v>
      </c>
      <c r="F36" s="481">
        <v>84.13</v>
      </c>
      <c r="G36" s="481"/>
      <c r="H36" s="481"/>
      <c r="I36" s="467"/>
      <c r="J36" s="467"/>
      <c r="K36" s="1671">
        <f t="shared" ref="K36:K41" si="2">SUM(C36:J36)</f>
        <v>197.76</v>
      </c>
      <c r="L36" s="466">
        <v>500</v>
      </c>
    </row>
    <row r="37" spans="1:14" x14ac:dyDescent="0.2">
      <c r="A37" s="1504" t="s">
        <v>1090</v>
      </c>
      <c r="B37" s="614">
        <v>2120</v>
      </c>
      <c r="C37" s="466"/>
      <c r="D37" s="466"/>
      <c r="E37" s="466">
        <v>40042</v>
      </c>
      <c r="F37" s="466"/>
      <c r="G37" s="466"/>
      <c r="H37" s="466"/>
      <c r="I37" s="467"/>
      <c r="J37" s="467"/>
      <c r="K37" s="1671">
        <f t="shared" si="2"/>
        <v>40042</v>
      </c>
      <c r="L37" s="466">
        <v>57500</v>
      </c>
    </row>
    <row r="38" spans="1:14" x14ac:dyDescent="0.2">
      <c r="A38" s="1504" t="s">
        <v>198</v>
      </c>
      <c r="B38" s="614">
        <v>2130</v>
      </c>
      <c r="C38" s="466">
        <v>3825</v>
      </c>
      <c r="D38" s="466"/>
      <c r="E38" s="466">
        <v>1560</v>
      </c>
      <c r="F38" s="466">
        <v>1045.1199999999999</v>
      </c>
      <c r="G38" s="466"/>
      <c r="H38" s="466"/>
      <c r="I38" s="467"/>
      <c r="J38" s="467"/>
      <c r="K38" s="1671">
        <f t="shared" si="2"/>
        <v>6430.12</v>
      </c>
      <c r="L38" s="466">
        <v>2200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v>9201.65</v>
      </c>
      <c r="F41" s="466">
        <v>11829.51</v>
      </c>
      <c r="G41" s="466"/>
      <c r="H41" s="466">
        <v>686</v>
      </c>
      <c r="I41" s="467"/>
      <c r="J41" s="467"/>
      <c r="K41" s="1671">
        <f t="shared" si="2"/>
        <v>21717.16</v>
      </c>
      <c r="L41" s="466">
        <v>25000</v>
      </c>
    </row>
    <row r="42" spans="1:14" ht="12.75" customHeight="1" thickBot="1" x14ac:dyDescent="0.25">
      <c r="A42" s="1668" t="s">
        <v>560</v>
      </c>
      <c r="B42" s="1669" t="s">
        <v>716</v>
      </c>
      <c r="C42" s="1670">
        <f>SUM(C36:C41)</f>
        <v>3825</v>
      </c>
      <c r="D42" s="1670">
        <f t="shared" ref="D42:L42" si="3">SUM(D36:D41)</f>
        <v>0</v>
      </c>
      <c r="E42" s="1670">
        <f t="shared" si="3"/>
        <v>50917.279999999999</v>
      </c>
      <c r="F42" s="1670">
        <f t="shared" si="3"/>
        <v>12958.76</v>
      </c>
      <c r="G42" s="1670">
        <f t="shared" si="3"/>
        <v>0</v>
      </c>
      <c r="H42" s="1670">
        <f t="shared" si="3"/>
        <v>686</v>
      </c>
      <c r="I42" s="1670">
        <f t="shared" si="3"/>
        <v>0</v>
      </c>
      <c r="J42" s="1670">
        <f t="shared" si="3"/>
        <v>0</v>
      </c>
      <c r="K42" s="1670">
        <f t="shared" si="3"/>
        <v>68387.040000000008</v>
      </c>
      <c r="L42" s="1670">
        <f t="shared" si="3"/>
        <v>85200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2792+768</f>
        <v>3560</v>
      </c>
      <c r="D44" s="481">
        <f>1882.39+70.84+238.08+6.86</f>
        <v>2198.17</v>
      </c>
      <c r="E44" s="481">
        <f>8228.76+2265.83+5547+3545.72+8701.33+5488.18+682.28+1356+14284</f>
        <v>50099.1</v>
      </c>
      <c r="F44" s="481">
        <f>919.57+460.82+7048</f>
        <v>8428.39</v>
      </c>
      <c r="G44" s="481"/>
      <c r="H44" s="481">
        <f>13.25</f>
        <v>13.25</v>
      </c>
      <c r="I44" s="467"/>
      <c r="J44" s="467"/>
      <c r="K44" s="1672">
        <f>SUM(C44:J44)</f>
        <v>64298.909999999996</v>
      </c>
      <c r="L44" s="481">
        <v>66600</v>
      </c>
    </row>
    <row r="45" spans="1:14" x14ac:dyDescent="0.2">
      <c r="A45" s="1504" t="s">
        <v>815</v>
      </c>
      <c r="B45" s="614">
        <v>2220</v>
      </c>
      <c r="C45" s="466">
        <f>67210.63+36184.49</f>
        <v>103395.12</v>
      </c>
      <c r="D45" s="466">
        <f>3731.5+5487.5</f>
        <v>9219</v>
      </c>
      <c r="E45" s="466">
        <f>2564.62+436.86+100.44</f>
        <v>3101.92</v>
      </c>
      <c r="F45" s="466">
        <f>13612.69+4845.43</f>
        <v>18458.120000000003</v>
      </c>
      <c r="G45" s="466"/>
      <c r="H45" s="466">
        <v>10</v>
      </c>
      <c r="I45" s="467"/>
      <c r="J45" s="467"/>
      <c r="K45" s="1672">
        <f>SUM(C45:J45)</f>
        <v>134184.16</v>
      </c>
      <c r="L45" s="466">
        <v>15500</v>
      </c>
    </row>
    <row r="46" spans="1:14" x14ac:dyDescent="0.2">
      <c r="A46" s="1504" t="s">
        <v>816</v>
      </c>
      <c r="B46" s="614">
        <v>2230</v>
      </c>
      <c r="C46" s="466"/>
      <c r="D46" s="466"/>
      <c r="E46" s="466">
        <f>960</f>
        <v>960</v>
      </c>
      <c r="F46" s="466"/>
      <c r="G46" s="466"/>
      <c r="H46" s="466"/>
      <c r="I46" s="467"/>
      <c r="J46" s="467"/>
      <c r="K46" s="1672">
        <f>SUM(C46:J46)</f>
        <v>960</v>
      </c>
      <c r="L46" s="466">
        <v>0</v>
      </c>
    </row>
    <row r="47" spans="1:14" ht="12.75" customHeight="1" thickBot="1" x14ac:dyDescent="0.25">
      <c r="A47" s="1668" t="s">
        <v>561</v>
      </c>
      <c r="B47" s="1669" t="s">
        <v>32</v>
      </c>
      <c r="C47" s="1670">
        <f>SUM(C44:C46)</f>
        <v>106955.12</v>
      </c>
      <c r="D47" s="1670">
        <f t="shared" ref="D47:K47" si="4">SUM(D44:D46)</f>
        <v>11417.17</v>
      </c>
      <c r="E47" s="1670">
        <f t="shared" si="4"/>
        <v>54161.02</v>
      </c>
      <c r="F47" s="1670">
        <f t="shared" si="4"/>
        <v>26886.510000000002</v>
      </c>
      <c r="G47" s="1670">
        <f t="shared" si="4"/>
        <v>0</v>
      </c>
      <c r="H47" s="1670">
        <f t="shared" si="4"/>
        <v>23.25</v>
      </c>
      <c r="I47" s="1670">
        <f t="shared" si="4"/>
        <v>0</v>
      </c>
      <c r="J47" s="1670">
        <f t="shared" si="4"/>
        <v>0</v>
      </c>
      <c r="K47" s="1670">
        <f t="shared" si="4"/>
        <v>199443.07</v>
      </c>
      <c r="L47" s="1670">
        <f>SUM(L44:L46)</f>
        <v>82100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f>7717.63</f>
        <v>7717.63</v>
      </c>
      <c r="F49" s="481">
        <f>219.39</f>
        <v>219.39</v>
      </c>
      <c r="G49" s="481"/>
      <c r="H49" s="481">
        <v>3305</v>
      </c>
      <c r="I49" s="467"/>
      <c r="J49" s="467"/>
      <c r="K49" s="1672">
        <f>SUM(C49:J49)</f>
        <v>11242.02</v>
      </c>
      <c r="L49" s="481">
        <v>8500</v>
      </c>
    </row>
    <row r="50" spans="1:14" x14ac:dyDescent="0.2">
      <c r="A50" s="1504" t="s">
        <v>818</v>
      </c>
      <c r="B50" s="614">
        <v>2320</v>
      </c>
      <c r="C50" s="466">
        <f>242490.74+21017.28+55204+4090+12496.96</f>
        <v>335298.98000000004</v>
      </c>
      <c r="D50" s="466">
        <f>21423.9+2057.43+27363.6</f>
        <v>50844.93</v>
      </c>
      <c r="E50" s="466">
        <f>53104.01+172.78+2538.27+32.35</f>
        <v>55847.409999999996</v>
      </c>
      <c r="F50" s="466">
        <f>30018.05+839.45+3682.76+1979.79+600</f>
        <v>37120.050000000003</v>
      </c>
      <c r="G50" s="466">
        <f>3595+2500</f>
        <v>6095</v>
      </c>
      <c r="H50" s="466">
        <v>1055.1400000000001</v>
      </c>
      <c r="I50" s="467"/>
      <c r="J50" s="467"/>
      <c r="K50" s="1672">
        <f>SUM(C50:J50)</f>
        <v>486261.51</v>
      </c>
      <c r="L50" s="466">
        <v>540257</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v>5855.1</v>
      </c>
      <c r="F52" s="474"/>
      <c r="G52" s="474"/>
      <c r="H52" s="474"/>
      <c r="I52" s="474"/>
      <c r="J52" s="474"/>
      <c r="K52" s="1672">
        <f>SUM(C52:J52)</f>
        <v>5855.1</v>
      </c>
      <c r="L52" s="474">
        <v>0</v>
      </c>
    </row>
    <row r="53" spans="1:14" ht="12.75" customHeight="1" thickBot="1" x14ac:dyDescent="0.25">
      <c r="A53" s="1668" t="s">
        <v>717</v>
      </c>
      <c r="B53" s="1669" t="s">
        <v>33</v>
      </c>
      <c r="C53" s="1670">
        <f>SUM(C49:C52)</f>
        <v>335298.98000000004</v>
      </c>
      <c r="D53" s="1670">
        <f t="shared" ref="D53:L53" si="5">SUM(D49:D52)</f>
        <v>50844.93</v>
      </c>
      <c r="E53" s="1670">
        <f t="shared" si="5"/>
        <v>69420.14</v>
      </c>
      <c r="F53" s="1670">
        <f t="shared" si="5"/>
        <v>37339.440000000002</v>
      </c>
      <c r="G53" s="1670">
        <f t="shared" si="5"/>
        <v>6095</v>
      </c>
      <c r="H53" s="1670">
        <f t="shared" si="5"/>
        <v>4360.1400000000003</v>
      </c>
      <c r="I53" s="1670">
        <f t="shared" si="5"/>
        <v>0</v>
      </c>
      <c r="J53" s="1670">
        <f t="shared" si="5"/>
        <v>0</v>
      </c>
      <c r="K53" s="1670">
        <f t="shared" si="5"/>
        <v>503358.63</v>
      </c>
      <c r="L53" s="1670">
        <f t="shared" si="5"/>
        <v>548757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60137.58</v>
      </c>
      <c r="D55" s="481">
        <f>6853.15+658.06</f>
        <v>7511.2099999999991</v>
      </c>
      <c r="E55" s="481">
        <f>1085.24</f>
        <v>1085.24</v>
      </c>
      <c r="F55" s="481">
        <f>1144.38+295.46</f>
        <v>1439.8400000000001</v>
      </c>
      <c r="G55" s="481"/>
      <c r="H55" s="481"/>
      <c r="I55" s="467"/>
      <c r="J55" s="467"/>
      <c r="K55" s="1672">
        <f>SUM(C55:J55)</f>
        <v>70173.87000000001</v>
      </c>
      <c r="L55" s="481">
        <v>30200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60137.58</v>
      </c>
      <c r="D57" s="1674">
        <f t="shared" ref="D57:K57" si="6">SUM(D55:D56)</f>
        <v>7511.2099999999991</v>
      </c>
      <c r="E57" s="1674">
        <f t="shared" si="6"/>
        <v>1085.24</v>
      </c>
      <c r="F57" s="1674">
        <f t="shared" si="6"/>
        <v>1439.8400000000001</v>
      </c>
      <c r="G57" s="1674">
        <f t="shared" si="6"/>
        <v>0</v>
      </c>
      <c r="H57" s="1674">
        <f t="shared" si="6"/>
        <v>0</v>
      </c>
      <c r="I57" s="1674">
        <f t="shared" si="6"/>
        <v>0</v>
      </c>
      <c r="J57" s="1674">
        <f t="shared" si="6"/>
        <v>0</v>
      </c>
      <c r="K57" s="1674">
        <f t="shared" si="6"/>
        <v>70173.87000000001</v>
      </c>
      <c r="L57" s="1670">
        <f>SUM(L55:L56)</f>
        <v>30200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f>298.97</f>
        <v>298.97000000000003</v>
      </c>
      <c r="F59" s="481"/>
      <c r="G59" s="481"/>
      <c r="H59" s="481"/>
      <c r="I59" s="467"/>
      <c r="J59" s="467"/>
      <c r="K59" s="1672">
        <f t="shared" ref="K59:K64" si="7">SUM(C59:J59)</f>
        <v>298.97000000000003</v>
      </c>
      <c r="L59" s="481">
        <v>0</v>
      </c>
      <c r="M59" s="609"/>
      <c r="N59" s="609"/>
    </row>
    <row r="60" spans="1:14" s="343" customFormat="1" x14ac:dyDescent="0.2">
      <c r="A60" s="1504" t="s">
        <v>463</v>
      </c>
      <c r="B60" s="614">
        <v>2520</v>
      </c>
      <c r="C60" s="466">
        <f>55203.44</f>
        <v>55203.44</v>
      </c>
      <c r="D60" s="466">
        <v>1314</v>
      </c>
      <c r="E60" s="466">
        <v>16113.74</v>
      </c>
      <c r="F60" s="466">
        <v>365</v>
      </c>
      <c r="G60" s="466"/>
      <c r="H60" s="466">
        <v>144.01</v>
      </c>
      <c r="I60" s="467"/>
      <c r="J60" s="467"/>
      <c r="K60" s="1672">
        <f t="shared" si="7"/>
        <v>73140.19</v>
      </c>
      <c r="L60" s="466">
        <v>61100</v>
      </c>
      <c r="M60" s="609"/>
      <c r="N60" s="609"/>
    </row>
    <row r="61" spans="1:14" s="343" customFormat="1" x14ac:dyDescent="0.2">
      <c r="A61" s="1504" t="s">
        <v>197</v>
      </c>
      <c r="B61" s="614">
        <v>2540</v>
      </c>
      <c r="C61" s="466">
        <f>15448+15685.9</f>
        <v>31133.9</v>
      </c>
      <c r="D61" s="466">
        <f>1837.76+1674.24</f>
        <v>3512</v>
      </c>
      <c r="E61" s="466">
        <f>47.08+4528.34+47.09</f>
        <v>4622.51</v>
      </c>
      <c r="F61" s="466">
        <f>1864.02+1265+547.86+1093.66+5537.49</f>
        <v>10308.029999999999</v>
      </c>
      <c r="G61" s="466">
        <f>15381+26787.02</f>
        <v>42168.020000000004</v>
      </c>
      <c r="H61" s="466"/>
      <c r="I61" s="467"/>
      <c r="J61" s="467"/>
      <c r="K61" s="1672">
        <f t="shared" si="7"/>
        <v>91744.46</v>
      </c>
      <c r="L61" s="466">
        <v>26000</v>
      </c>
      <c r="M61" s="609"/>
      <c r="N61" s="609"/>
    </row>
    <row r="62" spans="1:14" s="343" customFormat="1" x14ac:dyDescent="0.2">
      <c r="A62" s="1504" t="s">
        <v>953</v>
      </c>
      <c r="B62" s="614">
        <v>2550</v>
      </c>
      <c r="C62" s="466"/>
      <c r="D62" s="466"/>
      <c r="E62" s="466"/>
      <c r="F62" s="466"/>
      <c r="G62" s="466">
        <v>28054.3</v>
      </c>
      <c r="H62" s="466"/>
      <c r="I62" s="467"/>
      <c r="J62" s="467"/>
      <c r="K62" s="1672">
        <f t="shared" si="7"/>
        <v>28054.3</v>
      </c>
      <c r="L62" s="466">
        <v>0</v>
      </c>
      <c r="M62" s="609"/>
      <c r="N62" s="609"/>
    </row>
    <row r="63" spans="1:14" s="609" customFormat="1" x14ac:dyDescent="0.2">
      <c r="A63" s="1504" t="s">
        <v>100</v>
      </c>
      <c r="B63" s="614">
        <v>2560</v>
      </c>
      <c r="C63" s="466">
        <f>169590.98+7446.11</f>
        <v>177037.09</v>
      </c>
      <c r="D63" s="466">
        <f>9566.62+564.64</f>
        <v>10131.26</v>
      </c>
      <c r="E63" s="466">
        <f>4542.94</f>
        <v>4542.9399999999996</v>
      </c>
      <c r="F63" s="466">
        <f>122480.05+11182.87</f>
        <v>133662.92000000001</v>
      </c>
      <c r="G63" s="466">
        <v>5279.04</v>
      </c>
      <c r="H63" s="466">
        <v>674.59</v>
      </c>
      <c r="I63" s="467"/>
      <c r="J63" s="467"/>
      <c r="K63" s="1672">
        <f t="shared" si="7"/>
        <v>331327.84000000003</v>
      </c>
      <c r="L63" s="466">
        <v>346000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263374.43</v>
      </c>
      <c r="D65" s="1670">
        <f t="shared" ref="D65:L65" si="8">SUM(D59:D64)</f>
        <v>14957.26</v>
      </c>
      <c r="E65" s="1670">
        <f t="shared" si="8"/>
        <v>25578.16</v>
      </c>
      <c r="F65" s="1670">
        <f t="shared" si="8"/>
        <v>144335.95000000001</v>
      </c>
      <c r="G65" s="1670">
        <f t="shared" si="8"/>
        <v>75501.36</v>
      </c>
      <c r="H65" s="1670">
        <f t="shared" si="8"/>
        <v>818.6</v>
      </c>
      <c r="I65" s="1670">
        <f t="shared" si="8"/>
        <v>0</v>
      </c>
      <c r="J65" s="1670">
        <f t="shared" si="8"/>
        <v>0</v>
      </c>
      <c r="K65" s="1670">
        <f t="shared" si="8"/>
        <v>524565.76000000001</v>
      </c>
      <c r="L65" s="1670">
        <f t="shared" si="8"/>
        <v>433100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f>51156+3357+3357</f>
        <v>57870</v>
      </c>
      <c r="F73" s="573"/>
      <c r="G73" s="573"/>
      <c r="H73" s="573"/>
      <c r="I73" s="531"/>
      <c r="J73" s="531"/>
      <c r="K73" s="1670">
        <f>SUM(C73:J73)</f>
        <v>57870</v>
      </c>
      <c r="L73" s="576">
        <v>44000</v>
      </c>
      <c r="M73" s="609"/>
      <c r="N73" s="609"/>
    </row>
    <row r="74" spans="1:14" ht="12.75" customHeight="1" thickTop="1" thickBot="1" x14ac:dyDescent="0.25">
      <c r="A74" s="1668" t="s">
        <v>811</v>
      </c>
      <c r="B74" s="1676">
        <v>2000</v>
      </c>
      <c r="C74" s="1677">
        <f>SUM(C42,C47,C53,C57,C65,C72,C73)</f>
        <v>769591.1100000001</v>
      </c>
      <c r="D74" s="1677">
        <f t="shared" ref="D74:K74" si="10">SUM(D42,D47,D53,D57,D65,D72,D73)</f>
        <v>84730.569999999992</v>
      </c>
      <c r="E74" s="1677">
        <f t="shared" si="10"/>
        <v>259031.84</v>
      </c>
      <c r="F74" s="1677">
        <f t="shared" si="10"/>
        <v>222960.5</v>
      </c>
      <c r="G74" s="1677">
        <f t="shared" si="10"/>
        <v>81596.36</v>
      </c>
      <c r="H74" s="1677">
        <f t="shared" si="10"/>
        <v>5887.9900000000007</v>
      </c>
      <c r="I74" s="1677">
        <f t="shared" si="10"/>
        <v>0</v>
      </c>
      <c r="J74" s="1677">
        <f t="shared" si="10"/>
        <v>0</v>
      </c>
      <c r="K74" s="1677">
        <f t="shared" si="10"/>
        <v>1423798.37</v>
      </c>
      <c r="L74" s="1677">
        <f>SUM(L42,L47,L53,L57,L65,L72,L73)</f>
        <v>1223357</v>
      </c>
    </row>
    <row r="75" spans="1:14" s="259" customFormat="1" ht="15.75" customHeight="1" thickTop="1" thickBot="1" x14ac:dyDescent="0.25">
      <c r="A75" s="1610" t="s">
        <v>47</v>
      </c>
      <c r="B75" s="1611" t="s">
        <v>575</v>
      </c>
      <c r="C75" s="573">
        <f>665+103657.22+104315.93+25752.14+1911.24</f>
        <v>236301.52999999997</v>
      </c>
      <c r="D75" s="573">
        <f>726.88+7094.11+69.76+681.46+4829+4390</f>
        <v>17791.21</v>
      </c>
      <c r="E75" s="573">
        <f>305.67+2241.76+804.83+682.67</f>
        <v>4034.9300000000003</v>
      </c>
      <c r="F75" s="573">
        <f>73.9+7410.86+718+5504.36+5637.11+964.27+1301.36+1390.21</f>
        <v>23000.07</v>
      </c>
      <c r="G75" s="573">
        <f>1290+5685.37</f>
        <v>6975.37</v>
      </c>
      <c r="H75" s="573"/>
      <c r="I75" s="531"/>
      <c r="J75" s="531"/>
      <c r="K75" s="1670">
        <f>SUM(C75:J75)</f>
        <v>288103.10999999993</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v>170700.27</v>
      </c>
      <c r="F79" s="616"/>
      <c r="G79" s="616"/>
      <c r="H79" s="466"/>
      <c r="I79" s="477"/>
      <c r="J79" s="477"/>
      <c r="K79" s="1671">
        <f t="shared" si="11"/>
        <v>170700.27</v>
      </c>
      <c r="L79" s="466">
        <v>230000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v>89096</v>
      </c>
      <c r="I83" s="477"/>
      <c r="J83" s="477"/>
      <c r="K83" s="1671">
        <f t="shared" si="11"/>
        <v>89096</v>
      </c>
      <c r="L83" s="466">
        <v>0</v>
      </c>
    </row>
    <row r="84" spans="1:12" ht="13.5" thickBot="1" x14ac:dyDescent="0.25">
      <c r="A84" s="1668" t="s">
        <v>1485</v>
      </c>
      <c r="B84" s="1678">
        <v>4100</v>
      </c>
      <c r="C84" s="616"/>
      <c r="D84" s="616"/>
      <c r="E84" s="1670">
        <f>SUM(E78:E83)</f>
        <v>170700.27</v>
      </c>
      <c r="F84" s="616"/>
      <c r="G84" s="616"/>
      <c r="H84" s="1670">
        <f>SUM(H78:H83)</f>
        <v>89096</v>
      </c>
      <c r="I84" s="477"/>
      <c r="J84" s="477"/>
      <c r="K84" s="1670">
        <f>SUM(K78:K83)</f>
        <v>259796.27</v>
      </c>
      <c r="L84" s="1670">
        <f>SUM(L78:L83)</f>
        <v>230000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170700.27</v>
      </c>
      <c r="F102" s="616"/>
      <c r="G102" s="616"/>
      <c r="H102" s="1677">
        <f>SUM(H84,H92,H100,H101)</f>
        <v>89096</v>
      </c>
      <c r="I102" s="477"/>
      <c r="J102" s="477"/>
      <c r="K102" s="1677">
        <f>SUM(K84,K92,K100,K101)</f>
        <v>259796.27</v>
      </c>
      <c r="L102" s="1677">
        <f>SUM(L84,L92,L100,L101)</f>
        <v>230000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6213</v>
      </c>
      <c r="I111" s="468"/>
      <c r="J111" s="468"/>
      <c r="K111" s="1683">
        <f>H111</f>
        <v>6213</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6213</v>
      </c>
      <c r="I112" s="468"/>
      <c r="J112" s="468"/>
      <c r="K112" s="1670">
        <f>SUM(K110:K111)</f>
        <v>6213</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4172612.0900000003</v>
      </c>
      <c r="D114" s="1670">
        <f t="shared" ref="D114:K114" si="13">SUM(D33,D74,D75,D102,D112,D113)</f>
        <v>691104.69</v>
      </c>
      <c r="E114" s="1670">
        <f t="shared" si="13"/>
        <v>481725.79999999993</v>
      </c>
      <c r="F114" s="1670">
        <f t="shared" si="13"/>
        <v>281633</v>
      </c>
      <c r="G114" s="1670">
        <f t="shared" si="13"/>
        <v>115868.92</v>
      </c>
      <c r="H114" s="1670">
        <f>SUM(H33,H74,H75,H102,H112,H113)</f>
        <v>110557.15</v>
      </c>
      <c r="I114" s="1670">
        <f t="shared" si="13"/>
        <v>0</v>
      </c>
      <c r="J114" s="1670">
        <f t="shared" si="13"/>
        <v>0</v>
      </c>
      <c r="K114" s="1670">
        <f t="shared" si="13"/>
        <v>5853501.6499999994</v>
      </c>
      <c r="L114" s="1670">
        <f>SUM(L33,L74,L75,L102,L112,L113)</f>
        <v>5992057</v>
      </c>
    </row>
    <row r="115" spans="1:14" ht="13.5" thickTop="1" x14ac:dyDescent="0.2">
      <c r="A115" s="2154" t="s">
        <v>996</v>
      </c>
      <c r="B115" s="2155"/>
      <c r="C115" s="618"/>
      <c r="D115" s="618"/>
      <c r="E115" s="618"/>
      <c r="F115" s="618"/>
      <c r="G115" s="618"/>
      <c r="H115" s="618"/>
      <c r="I115" s="618"/>
      <c r="J115" s="618"/>
      <c r="K115" s="1684">
        <f>'Revenues 9-14'!C268-'Expenditures 15-22'!K114</f>
        <v>262400.23000000045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f>218331.76</f>
        <v>218331.76</v>
      </c>
      <c r="D124" s="466">
        <f>22298.31</f>
        <v>22298.31</v>
      </c>
      <c r="E124" s="466">
        <f>24638.66+17341.35+599.83+8258.42+70211.22+385.93+14031.02</f>
        <v>135466.43</v>
      </c>
      <c r="F124" s="466">
        <f>34830.42+2973.06</f>
        <v>37803.479999999996</v>
      </c>
      <c r="G124" s="466">
        <v>500</v>
      </c>
      <c r="H124" s="466">
        <v>10789.06</v>
      </c>
      <c r="I124" s="467"/>
      <c r="J124" s="467"/>
      <c r="K124" s="1670">
        <f>SUM(C124:J124)</f>
        <v>425189.04</v>
      </c>
      <c r="L124" s="466">
        <v>455000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218331.76</v>
      </c>
      <c r="D127" s="1670">
        <f t="shared" ref="D127:L127" si="14">SUM(D122:D126)</f>
        <v>22298.31</v>
      </c>
      <c r="E127" s="1670">
        <f t="shared" si="14"/>
        <v>135466.43</v>
      </c>
      <c r="F127" s="1670">
        <f t="shared" si="14"/>
        <v>37803.479999999996</v>
      </c>
      <c r="G127" s="1670">
        <f t="shared" si="14"/>
        <v>500</v>
      </c>
      <c r="H127" s="1670">
        <f t="shared" si="14"/>
        <v>10789.06</v>
      </c>
      <c r="I127" s="1670">
        <f t="shared" si="14"/>
        <v>0</v>
      </c>
      <c r="J127" s="1670">
        <f t="shared" si="14"/>
        <v>0</v>
      </c>
      <c r="K127" s="1670">
        <f t="shared" si="14"/>
        <v>425189.04</v>
      </c>
      <c r="L127" s="1670">
        <f t="shared" si="14"/>
        <v>455000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218331.76</v>
      </c>
      <c r="D129" s="1677">
        <f t="shared" ref="D129:L129" si="15">SUM(D120,D127,D128)</f>
        <v>22298.31</v>
      </c>
      <c r="E129" s="1677">
        <f t="shared" si="15"/>
        <v>135466.43</v>
      </c>
      <c r="F129" s="1677">
        <f t="shared" si="15"/>
        <v>37803.479999999996</v>
      </c>
      <c r="G129" s="1677">
        <f t="shared" si="15"/>
        <v>500</v>
      </c>
      <c r="H129" s="1677">
        <f t="shared" si="15"/>
        <v>10789.06</v>
      </c>
      <c r="I129" s="1677">
        <f t="shared" si="15"/>
        <v>0</v>
      </c>
      <c r="J129" s="1677">
        <f t="shared" si="15"/>
        <v>0</v>
      </c>
      <c r="K129" s="1677">
        <f t="shared" si="15"/>
        <v>425189.04</v>
      </c>
      <c r="L129" s="1677">
        <f t="shared" si="15"/>
        <v>455000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70">
        <f>SUM(C129,C130,C139,C149,C150)</f>
        <v>218331.76</v>
      </c>
      <c r="D151" s="1670">
        <f t="shared" ref="D151:K151" si="16">SUM(D129,D130,D139,D149,D150)</f>
        <v>22298.31</v>
      </c>
      <c r="E151" s="1670">
        <f t="shared" si="16"/>
        <v>135466.43</v>
      </c>
      <c r="F151" s="1670">
        <f t="shared" si="16"/>
        <v>37803.479999999996</v>
      </c>
      <c r="G151" s="1670">
        <f t="shared" si="16"/>
        <v>500</v>
      </c>
      <c r="H151" s="1670">
        <f t="shared" si="16"/>
        <v>10789.06</v>
      </c>
      <c r="I151" s="1670">
        <f t="shared" si="16"/>
        <v>0</v>
      </c>
      <c r="J151" s="1670">
        <f t="shared" si="16"/>
        <v>0</v>
      </c>
      <c r="K151" s="1670">
        <f t="shared" si="16"/>
        <v>425189.04</v>
      </c>
      <c r="L151" s="1670">
        <f>SUM(L129,L130,L139,L149,L150)</f>
        <v>455000</v>
      </c>
    </row>
    <row r="152" spans="1:14" ht="12.75" customHeight="1" thickTop="1" x14ac:dyDescent="0.2">
      <c r="A152" s="2174" t="s">
        <v>1178</v>
      </c>
      <c r="B152" s="2175"/>
      <c r="C152" s="618"/>
      <c r="D152" s="618"/>
      <c r="E152" s="618"/>
      <c r="F152" s="618"/>
      <c r="G152" s="618"/>
      <c r="H152" s="618"/>
      <c r="I152" s="618"/>
      <c r="J152" s="616"/>
      <c r="K152" s="1684">
        <f>'Revenues 9-14'!D268-'Expenditures 15-22'!K151</f>
        <v>30880.520000000019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22768</v>
      </c>
      <c r="I169" s="616"/>
      <c r="J169" s="616"/>
      <c r="K169" s="1671">
        <f>SUM(C169:H169)</f>
        <v>22768</v>
      </c>
      <c r="L169" s="656">
        <v>23000</v>
      </c>
    </row>
    <row r="170" spans="1:14" ht="33.75" customHeight="1" x14ac:dyDescent="0.2">
      <c r="A170" s="669" t="s">
        <v>1670</v>
      </c>
      <c r="B170" s="671" t="s">
        <v>31</v>
      </c>
      <c r="C170" s="616"/>
      <c r="D170" s="616"/>
      <c r="E170" s="616"/>
      <c r="F170" s="616"/>
      <c r="G170" s="616"/>
      <c r="H170" s="569">
        <v>160397</v>
      </c>
      <c r="I170" s="616"/>
      <c r="J170" s="616"/>
      <c r="K170" s="1671">
        <f>SUM(C170:J170)</f>
        <v>160397</v>
      </c>
      <c r="L170" s="569">
        <v>93000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183165</v>
      </c>
      <c r="I172" s="638"/>
      <c r="J172" s="616"/>
      <c r="K172" s="1677">
        <f>SUM(K168,K169,K170,K171)</f>
        <v>183165</v>
      </c>
      <c r="L172" s="1677">
        <f>SUM(L168,L169,L170,L171)</f>
        <v>116000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183165</v>
      </c>
      <c r="I174" s="638"/>
      <c r="J174" s="616"/>
      <c r="K174" s="1677">
        <f>SUM(K160,K172,K173)</f>
        <v>183165</v>
      </c>
      <c r="L174" s="1677">
        <f>SUM(L160,L172,L173)</f>
        <v>116000</v>
      </c>
    </row>
    <row r="175" spans="1:14" ht="13.5" thickTop="1" x14ac:dyDescent="0.2">
      <c r="A175" s="2154" t="s">
        <v>996</v>
      </c>
      <c r="B175" s="2155"/>
      <c r="C175" s="616"/>
      <c r="D175" s="616"/>
      <c r="E175" s="616"/>
      <c r="F175" s="616"/>
      <c r="G175" s="616"/>
      <c r="H175" s="618"/>
      <c r="I175" s="616"/>
      <c r="J175" s="616"/>
      <c r="K175" s="1684">
        <f>'Revenues 9-14'!E268-'Expenditures 15-22'!K174</f>
        <v>-65127.45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f>88882.72+38471.2+29268.04+62567.04+10612.5+8851.32</f>
        <v>238652.82</v>
      </c>
      <c r="D182" s="466">
        <f>1209.25+116.24+16438.47</f>
        <v>17763.960000000003</v>
      </c>
      <c r="E182" s="466">
        <f>5352.29+214.43</f>
        <v>5566.72</v>
      </c>
      <c r="F182" s="466">
        <f>43715.35+3433.02</f>
        <v>47148.369999999995</v>
      </c>
      <c r="G182" s="466"/>
      <c r="H182" s="466">
        <v>4938.04</v>
      </c>
      <c r="I182" s="467"/>
      <c r="J182" s="467"/>
      <c r="K182" s="1671">
        <f>SUM(C182:J182)</f>
        <v>314069.90999999997</v>
      </c>
      <c r="L182" s="466">
        <v>354000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238652.82</v>
      </c>
      <c r="D184" s="1677">
        <f t="shared" ref="D184:J184" si="17">SUM(D180,D182,D183)</f>
        <v>17763.960000000003</v>
      </c>
      <c r="E184" s="1677">
        <f t="shared" si="17"/>
        <v>5566.72</v>
      </c>
      <c r="F184" s="1677">
        <f t="shared" si="17"/>
        <v>47148.369999999995</v>
      </c>
      <c r="G184" s="1677">
        <f t="shared" si="17"/>
        <v>0</v>
      </c>
      <c r="H184" s="1677">
        <f t="shared" si="17"/>
        <v>4938.04</v>
      </c>
      <c r="I184" s="1677">
        <f t="shared" si="17"/>
        <v>0</v>
      </c>
      <c r="J184" s="1677">
        <f t="shared" si="17"/>
        <v>0</v>
      </c>
      <c r="K184" s="1677">
        <f>SUM(K180,K182,K183)</f>
        <v>314069.90999999997</v>
      </c>
      <c r="L184" s="1677">
        <f>SUM(L180, L182:L183)</f>
        <v>354000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238652.82</v>
      </c>
      <c r="D210" s="1670">
        <f>SUM(D184,D185)</f>
        <v>17763.960000000003</v>
      </c>
      <c r="E210" s="1670">
        <f>SUM(E184,E185,E196)</f>
        <v>5566.72</v>
      </c>
      <c r="F210" s="1670">
        <f>SUM(F184,F185)</f>
        <v>47148.369999999995</v>
      </c>
      <c r="G210" s="1670">
        <f>SUM(G184,G185)</f>
        <v>0</v>
      </c>
      <c r="H210" s="1670">
        <f>SUM(H184,H185,H196,H208,H209)</f>
        <v>4938.04</v>
      </c>
      <c r="I210" s="1670">
        <f>SUM(I184,I185)</f>
        <v>0</v>
      </c>
      <c r="J210" s="1670">
        <f>SUM(J184,J185)</f>
        <v>0</v>
      </c>
      <c r="K210" s="1671">
        <f>SUM(K184,K185,K196,K208,K209)</f>
        <v>314069.90999999997</v>
      </c>
      <c r="L210" s="1670">
        <f>SUM(L184,L185,L196,L208,L209)</f>
        <v>354000</v>
      </c>
    </row>
    <row r="211" spans="1:14" ht="13.5" thickTop="1" x14ac:dyDescent="0.2">
      <c r="A211" s="2154" t="s">
        <v>996</v>
      </c>
      <c r="B211" s="2155"/>
      <c r="C211" s="618"/>
      <c r="D211" s="618"/>
      <c r="E211" s="618"/>
      <c r="F211" s="618"/>
      <c r="G211" s="618"/>
      <c r="H211" s="618"/>
      <c r="I211" s="616"/>
      <c r="J211" s="616"/>
      <c r="K211" s="1684">
        <f>'Revenues 9-14'!F268-'Expenditures 15-22'!K210</f>
        <v>36576.020000000019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f>30449.79+27887.23+25454.02+187.88+230.94</f>
        <v>84209.860000000015</v>
      </c>
      <c r="E215" s="616"/>
      <c r="F215" s="616"/>
      <c r="G215" s="616"/>
      <c r="H215" s="616"/>
      <c r="I215" s="616"/>
      <c r="J215" s="616"/>
      <c r="K215" s="1671">
        <f>D215</f>
        <v>84209.860000000015</v>
      </c>
      <c r="L215" s="466">
        <v>98000</v>
      </c>
    </row>
    <row r="216" spans="1:14" x14ac:dyDescent="0.2">
      <c r="A216" s="1504" t="s">
        <v>163</v>
      </c>
      <c r="B216" s="614" t="s">
        <v>967</v>
      </c>
      <c r="C216" s="616"/>
      <c r="D216" s="467">
        <f>2333.12+4310.64+1872.67+4146.82+431.08+2821.7</f>
        <v>15916.029999999999</v>
      </c>
      <c r="E216" s="616"/>
      <c r="F216" s="616"/>
      <c r="G216" s="616"/>
      <c r="H216" s="616"/>
      <c r="I216" s="616"/>
      <c r="J216" s="616"/>
      <c r="K216" s="1671">
        <f t="shared" ref="K216:K228" si="19">D216</f>
        <v>15916.029999999999</v>
      </c>
      <c r="L216" s="466">
        <v>50000</v>
      </c>
    </row>
    <row r="217" spans="1:14" x14ac:dyDescent="0.2">
      <c r="A217" s="1504" t="s">
        <v>164</v>
      </c>
      <c r="B217" s="614">
        <v>1200</v>
      </c>
      <c r="C217" s="616"/>
      <c r="D217" s="466">
        <v>4075.29</v>
      </c>
      <c r="E217" s="616"/>
      <c r="F217" s="616"/>
      <c r="G217" s="616"/>
      <c r="H217" s="616"/>
      <c r="I217" s="616"/>
      <c r="J217" s="616"/>
      <c r="K217" s="1671">
        <f t="shared" si="19"/>
        <v>4075.29</v>
      </c>
      <c r="L217" s="466">
        <v>4000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f>1586.6+423.33+1150.27</f>
        <v>3160.2</v>
      </c>
      <c r="E219" s="616"/>
      <c r="F219" s="616"/>
      <c r="G219" s="616"/>
      <c r="H219" s="616"/>
      <c r="I219" s="616"/>
      <c r="J219" s="616"/>
      <c r="K219" s="1671">
        <f t="shared" si="19"/>
        <v>3160.2</v>
      </c>
      <c r="L219" s="466">
        <v>19000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f>251.55+1159.01+255.74</f>
        <v>1666.3</v>
      </c>
      <c r="E223" s="616"/>
      <c r="F223" s="616"/>
      <c r="G223" s="616"/>
      <c r="H223" s="616"/>
      <c r="I223" s="616"/>
      <c r="J223" s="616"/>
      <c r="K223" s="1671">
        <f t="shared" si="19"/>
        <v>1666.3</v>
      </c>
      <c r="L223" s="466">
        <v>3000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f>3481.3+3046.52+1011.42</f>
        <v>7539.24</v>
      </c>
      <c r="E227" s="616"/>
      <c r="F227" s="616"/>
      <c r="G227" s="616"/>
      <c r="H227" s="616"/>
      <c r="I227" s="616"/>
      <c r="J227" s="616"/>
      <c r="K227" s="1671">
        <f t="shared" si="19"/>
        <v>7539.24</v>
      </c>
      <c r="L227" s="466">
        <v>11000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116566.92000000001</v>
      </c>
      <c r="E229" s="616"/>
      <c r="F229" s="616"/>
      <c r="G229" s="616"/>
      <c r="H229" s="616"/>
      <c r="I229" s="616"/>
      <c r="J229" s="616"/>
      <c r="K229" s="1670">
        <f>SUM(K215:K228)</f>
        <v>116566.92000000001</v>
      </c>
      <c r="L229" s="1670">
        <f>SUM(L215:L228)</f>
        <v>185000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7.78+7.36+148.32+9.8</f>
        <v>173.26</v>
      </c>
      <c r="E240" s="616"/>
      <c r="F240" s="616"/>
      <c r="G240" s="616"/>
      <c r="H240" s="616"/>
      <c r="I240" s="616"/>
      <c r="J240" s="616"/>
      <c r="K240" s="1672">
        <f>D240</f>
        <v>173.26</v>
      </c>
      <c r="L240" s="481">
        <v>500</v>
      </c>
    </row>
    <row r="241" spans="1:12" x14ac:dyDescent="0.2">
      <c r="A241" s="1504" t="s">
        <v>815</v>
      </c>
      <c r="B241" s="614">
        <v>2220</v>
      </c>
      <c r="C241" s="616"/>
      <c r="D241" s="466">
        <f>3159.77+4808.89+2716.87+4118.65</f>
        <v>14804.179999999998</v>
      </c>
      <c r="E241" s="616"/>
      <c r="F241" s="616"/>
      <c r="G241" s="616"/>
      <c r="H241" s="616"/>
      <c r="I241" s="616"/>
      <c r="J241" s="616"/>
      <c r="K241" s="1672">
        <f>D241</f>
        <v>14804.179999999998</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14977.439999999999</v>
      </c>
      <c r="E243" s="616"/>
      <c r="F243" s="616"/>
      <c r="G243" s="616"/>
      <c r="H243" s="616"/>
      <c r="I243" s="616"/>
      <c r="J243" s="616"/>
      <c r="K243" s="1670">
        <f>SUM(K240:K242)</f>
        <v>14977.439999999999</v>
      </c>
      <c r="L243" s="1670">
        <f>SUM(L240:L242)</f>
        <v>500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f>10191.03+8608.46+2912.46</f>
        <v>21711.949999999997</v>
      </c>
      <c r="E246" s="616"/>
      <c r="F246" s="616"/>
      <c r="G246" s="616"/>
      <c r="H246" s="616"/>
      <c r="I246" s="616"/>
      <c r="J246" s="616"/>
      <c r="K246" s="1672">
        <f t="shared" ref="K246:K256" si="21">D246</f>
        <v>21711.949999999997</v>
      </c>
      <c r="L246" s="466">
        <v>24000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21711.949999999997</v>
      </c>
      <c r="E257" s="616"/>
      <c r="F257" s="616"/>
      <c r="G257" s="616"/>
      <c r="H257" s="616"/>
      <c r="I257" s="616"/>
      <c r="J257" s="616"/>
      <c r="K257" s="1670">
        <f>SUM(K245:K256)</f>
        <v>21711.949999999997</v>
      </c>
      <c r="L257" s="1670">
        <f>SUM(L245:L256)</f>
        <v>24000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856.69</f>
        <v>856.69</v>
      </c>
      <c r="E259" s="616"/>
      <c r="F259" s="616"/>
      <c r="G259" s="616"/>
      <c r="H259" s="616"/>
      <c r="I259" s="616"/>
      <c r="J259" s="616"/>
      <c r="K259" s="1672">
        <f>D259</f>
        <v>856.69</v>
      </c>
      <c r="L259" s="481">
        <v>1200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856.69</v>
      </c>
      <c r="E261" s="616"/>
      <c r="F261" s="616"/>
      <c r="G261" s="616"/>
      <c r="H261" s="616"/>
      <c r="I261" s="616"/>
      <c r="J261" s="616"/>
      <c r="K261" s="1670">
        <f>SUM(K259:K260)</f>
        <v>856.69</v>
      </c>
      <c r="L261" s="1670">
        <f>SUM(L259:L260)</f>
        <v>1200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f>4816.82+4012.13</f>
        <v>8828.9500000000007</v>
      </c>
      <c r="E264" s="616"/>
      <c r="F264" s="616"/>
      <c r="G264" s="616"/>
      <c r="H264" s="616"/>
      <c r="I264" s="616"/>
      <c r="J264" s="616"/>
      <c r="K264" s="1672">
        <f t="shared" ref="K264:K269" si="22">D264</f>
        <v>8828.9500000000007</v>
      </c>
      <c r="L264" s="466">
        <v>10500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f>19292.51+1161.32+17269.57+1055.04+107.59</f>
        <v>38886.029999999992</v>
      </c>
      <c r="E266" s="616"/>
      <c r="F266" s="616"/>
      <c r="G266" s="616"/>
      <c r="H266" s="616"/>
      <c r="I266" s="616"/>
      <c r="J266" s="616"/>
      <c r="K266" s="1672">
        <f t="shared" si="22"/>
        <v>38886.029999999992</v>
      </c>
      <c r="L266" s="466">
        <v>41500</v>
      </c>
    </row>
    <row r="267" spans="1:14" x14ac:dyDescent="0.2">
      <c r="A267" s="1504" t="s">
        <v>953</v>
      </c>
      <c r="B267" s="614">
        <v>2550</v>
      </c>
      <c r="C267" s="616"/>
      <c r="D267" s="466">
        <f>15448.24+16536.55+151.15</f>
        <v>32135.940000000002</v>
      </c>
      <c r="E267" s="616"/>
      <c r="F267" s="616"/>
      <c r="G267" s="616"/>
      <c r="H267" s="616"/>
      <c r="I267" s="616"/>
      <c r="J267" s="616"/>
      <c r="K267" s="1672">
        <f t="shared" si="22"/>
        <v>32135.940000000002</v>
      </c>
      <c r="L267" s="466">
        <v>36000</v>
      </c>
    </row>
    <row r="268" spans="1:14" x14ac:dyDescent="0.2">
      <c r="A268" s="1504" t="s">
        <v>100</v>
      </c>
      <c r="B268" s="614">
        <v>2560</v>
      </c>
      <c r="C268" s="616"/>
      <c r="D268" s="466">
        <f>13628.8+664.48+11574.6+554.94+14.76</f>
        <v>26437.579999999994</v>
      </c>
      <c r="E268" s="616"/>
      <c r="F268" s="616"/>
      <c r="G268" s="616"/>
      <c r="H268" s="616"/>
      <c r="I268" s="616"/>
      <c r="J268" s="616"/>
      <c r="K268" s="1672">
        <f t="shared" si="22"/>
        <v>26437.579999999994</v>
      </c>
      <c r="L268" s="466">
        <v>31500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106288.5</v>
      </c>
      <c r="E270" s="616"/>
      <c r="F270" s="616"/>
      <c r="G270" s="616"/>
      <c r="H270" s="616"/>
      <c r="I270" s="616"/>
      <c r="J270" s="616"/>
      <c r="K270" s="1670">
        <f>SUM(K263:K269)</f>
        <v>106288.5</v>
      </c>
      <c r="L270" s="1670">
        <f>SUM(L263:L269)</f>
        <v>119500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143834.58000000002</v>
      </c>
      <c r="E279" s="616"/>
      <c r="F279" s="616"/>
      <c r="G279" s="616"/>
      <c r="H279" s="616"/>
      <c r="I279" s="616"/>
      <c r="J279" s="616"/>
      <c r="K279" s="1677">
        <f>SUM(K238,K243,K257,K261,K270,K277,K278)</f>
        <v>143834.58000000002</v>
      </c>
      <c r="L279" s="1677">
        <f>SUM(L238,L243,L257,L261,L270,L277,L278)</f>
        <v>145200</v>
      </c>
    </row>
    <row r="280" spans="1:12" ht="15.75" customHeight="1" thickTop="1" thickBot="1" x14ac:dyDescent="0.25">
      <c r="A280" s="1624" t="s">
        <v>875</v>
      </c>
      <c r="B280" s="1613">
        <v>3000</v>
      </c>
      <c r="C280" s="616"/>
      <c r="D280" s="576">
        <f>10627.84+4011.89+9220.31+3425.83+100.16+915.57+64</f>
        <v>28365.600000000002</v>
      </c>
      <c r="E280" s="616"/>
      <c r="F280" s="616"/>
      <c r="G280" s="616"/>
      <c r="H280" s="616"/>
      <c r="I280" s="616"/>
      <c r="J280" s="616"/>
      <c r="K280" s="1679">
        <f>D280</f>
        <v>28365.600000000002</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70">
        <f>SUM(D229,D279,D280,D285)</f>
        <v>288767.10000000003</v>
      </c>
      <c r="E295" s="616"/>
      <c r="F295" s="616"/>
      <c r="G295" s="616"/>
      <c r="H295" s="1670">
        <f>H293</f>
        <v>0</v>
      </c>
      <c r="I295" s="616"/>
      <c r="J295" s="616"/>
      <c r="K295" s="1670">
        <f>SUM(K229,K279,K280,K285,K293,K294)</f>
        <v>288767.10000000003</v>
      </c>
      <c r="L295" s="1670">
        <f>SUM(L229,L279,L280,L285,L293,L294)</f>
        <v>330200</v>
      </c>
    </row>
    <row r="296" spans="1:14" ht="13.5" thickTop="1" x14ac:dyDescent="0.2">
      <c r="A296" s="2154" t="s">
        <v>996</v>
      </c>
      <c r="B296" s="2155"/>
      <c r="C296" s="616"/>
      <c r="D296" s="618"/>
      <c r="E296" s="616"/>
      <c r="F296" s="616"/>
      <c r="G296" s="616"/>
      <c r="H296" s="687"/>
      <c r="I296" s="616"/>
      <c r="J296" s="616"/>
      <c r="K296" s="1684">
        <f>'Revenues 9-14'!G268-'Expenditures 15-22'!K295</f>
        <v>21602.169999999984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f>42499.23</f>
        <v>42499.23</v>
      </c>
      <c r="F301" s="466">
        <v>8567.75</v>
      </c>
      <c r="G301" s="466">
        <v>808610.82</v>
      </c>
      <c r="H301" s="466">
        <f>62780</f>
        <v>62780</v>
      </c>
      <c r="I301" s="467"/>
      <c r="J301" s="467"/>
      <c r="K301" s="1671">
        <f>SUM(C301:J301)</f>
        <v>922457.79999999993</v>
      </c>
      <c r="L301" s="467">
        <v>1996000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42499.23</v>
      </c>
      <c r="F303" s="1677">
        <f t="shared" si="23"/>
        <v>8567.75</v>
      </c>
      <c r="G303" s="1677">
        <f t="shared" si="23"/>
        <v>808610.82</v>
      </c>
      <c r="H303" s="1677">
        <f t="shared" si="23"/>
        <v>62780</v>
      </c>
      <c r="I303" s="1677">
        <f t="shared" si="23"/>
        <v>0</v>
      </c>
      <c r="J303" s="1677">
        <f t="shared" si="23"/>
        <v>0</v>
      </c>
      <c r="K303" s="1677">
        <f t="shared" si="23"/>
        <v>922457.79999999993</v>
      </c>
      <c r="L303" s="1677">
        <f t="shared" si="23"/>
        <v>1996000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70">
        <f>SUM(C303)</f>
        <v>0</v>
      </c>
      <c r="D312" s="1670">
        <f>SUM(D303)</f>
        <v>0</v>
      </c>
      <c r="E312" s="1670">
        <f>SUM(E303,E310)</f>
        <v>42499.23</v>
      </c>
      <c r="F312" s="1670">
        <f>SUM(F303)</f>
        <v>8567.75</v>
      </c>
      <c r="G312" s="1670">
        <f>SUM(G303)</f>
        <v>808610.82</v>
      </c>
      <c r="H312" s="1670">
        <f>SUM(H303,H310)</f>
        <v>62780</v>
      </c>
      <c r="I312" s="1670">
        <f>SUM(I303)</f>
        <v>0</v>
      </c>
      <c r="J312" s="1670">
        <f>SUM(J303)</f>
        <v>0</v>
      </c>
      <c r="K312" s="1670">
        <f>SUM(K303,K310,K311)</f>
        <v>922457.79999999993</v>
      </c>
      <c r="L312" s="1670">
        <f>SUM(L303,L310,L311)</f>
        <v>1996000</v>
      </c>
      <c r="M312" s="665"/>
      <c r="N312" s="665"/>
    </row>
    <row r="313" spans="1:14" ht="13.5" thickTop="1" x14ac:dyDescent="0.2">
      <c r="A313" s="2165" t="s">
        <v>996</v>
      </c>
      <c r="B313" s="2166"/>
      <c r="C313" s="626"/>
      <c r="D313" s="626"/>
      <c r="E313" s="626"/>
      <c r="F313" s="626"/>
      <c r="G313" s="626"/>
      <c r="H313" s="626"/>
      <c r="I313" s="626"/>
      <c r="J313" s="626"/>
      <c r="K313" s="1685">
        <f>'Revenues 9-14'!H268-'Expenditures 15-22'!K312</f>
        <v>-377004.61999999988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7" t="s">
        <v>996</v>
      </c>
      <c r="B343" s="216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4" t="s">
        <v>996</v>
      </c>
      <c r="B368" s="2155"/>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are integral part ot these statements"&amp;CPages 15-22</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4d435f69-8686-490b-bd6d-b153bf22ab50"/>
    <ds:schemaRef ds:uri="http://purl.org/dc/dcmitype/"/>
    <ds:schemaRef ds:uri="d21dc803-237d-4c68-8692-8d731fd29118"/>
    <ds:schemaRef ds:uri="http://schemas.microsoft.com/office/2006/metadata/properties"/>
    <ds:schemaRef ds:uri="6ce3111e-7420-4802-b50a-75d4e9a0b980"/>
    <ds:schemaRef ds:uri="http://schemas.microsoft.com/sharepoint/v3"/>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2019-11-13T17:07:09Z</cp:lastPrinted>
  <dcterms:created xsi:type="dcterms:W3CDTF">2003-10-29T19:06:34Z</dcterms:created>
  <dcterms:modified xsi:type="dcterms:W3CDTF">2020-01-09T17:29:20Z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