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562052F-3CD7-4FE0-B1F7-4BAA12FE5ED3}"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7" l="1"/>
  <c r="E14" i="7"/>
  <c r="E13" i="7"/>
  <c r="E12" i="7"/>
  <c r="E11" i="7"/>
  <c r="E10" i="7"/>
  <c r="E8" i="7"/>
  <c r="E7" i="7"/>
  <c r="E6" i="7"/>
  <c r="E5" i="7"/>
  <c r="E4" i="7"/>
  <c r="G301"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E27" i="108"/>
  <c r="G27" i="108"/>
  <c r="F36" i="108"/>
  <c r="G28"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N22" i="3"/>
  <c r="B283" i="106" s="1"/>
  <c r="D283" i="106" s="1"/>
  <c r="D7" i="118"/>
  <c r="D8" i="118"/>
  <c r="D9" i="118"/>
  <c r="H14" i="118"/>
  <c r="H19" i="118"/>
  <c r="H24" i="118"/>
  <c r="H29" i="118"/>
  <c r="D11" i="37"/>
  <c r="D24" i="37"/>
  <c r="B4270" i="106" s="1"/>
  <c r="D4270" i="106" s="1"/>
  <c r="D17" i="7" l="1"/>
  <c r="B4104" i="106" s="1"/>
  <c r="D4104" i="106" s="1"/>
  <c r="F36" i="34"/>
  <c r="E30" i="108"/>
  <c r="F46" i="34"/>
  <c r="F42" i="34"/>
  <c r="L13" i="11"/>
  <c r="B2060" i="106" s="1"/>
  <c r="D2060" i="106" s="1"/>
  <c r="F70" i="34"/>
  <c r="L22" i="37"/>
  <c r="F44" i="34"/>
  <c r="B3647" i="106"/>
  <c r="D3647" i="106" s="1"/>
  <c r="H76" i="4"/>
  <c r="B3298" i="106" s="1"/>
  <c r="D3298" i="106" s="1"/>
  <c r="H28" i="118"/>
  <c r="K28" i="118" s="1"/>
  <c r="O27" i="118" s="1"/>
  <c r="O29" i="118" s="1"/>
  <c r="L342" i="29"/>
  <c r="F71" i="34"/>
  <c r="F62" i="34"/>
  <c r="B2836" i="106"/>
  <c r="D2836" i="106" s="1"/>
  <c r="J210" i="29"/>
  <c r="B7072" i="106" s="1"/>
  <c r="D7072" i="106" s="1"/>
  <c r="I210" i="29"/>
  <c r="B7071" i="106" s="1"/>
  <c r="D7071" i="106" s="1"/>
  <c r="D14" i="4"/>
  <c r="B2570" i="106" s="1"/>
  <c r="D2570" i="106" s="1"/>
  <c r="G39" i="108"/>
  <c r="G26" i="108"/>
  <c r="B1274" i="106"/>
  <c r="D1274" i="106" s="1"/>
  <c r="E26" i="108"/>
  <c r="C129" i="29"/>
  <c r="H112" i="29"/>
  <c r="B7018" i="106" s="1"/>
  <c r="D7018" i="106" s="1"/>
  <c r="B6995" i="106"/>
  <c r="D6995" i="106" s="1"/>
  <c r="D36" i="108"/>
  <c r="G35" i="108"/>
  <c r="E35" i="108"/>
  <c r="D31" i="108"/>
  <c r="G29" i="108"/>
  <c r="E29" i="108"/>
  <c r="F26" i="108"/>
  <c r="B1126" i="106"/>
  <c r="D1126" i="106" s="1"/>
  <c r="D26" i="108"/>
  <c r="B1124" i="106"/>
  <c r="D1124" i="106" s="1"/>
  <c r="F50" i="34"/>
  <c r="F38" i="34"/>
  <c r="F34" i="34"/>
  <c r="H342" i="29"/>
  <c r="B7221" i="106" s="1"/>
  <c r="D7221" i="106" s="1"/>
  <c r="F72" i="34"/>
  <c r="B7076" i="106"/>
  <c r="D7076" i="106" s="1"/>
  <c r="G30" i="108"/>
  <c r="F27" i="108"/>
  <c r="D9" i="7"/>
  <c r="B1767" i="106" s="1"/>
  <c r="D1767" i="106" s="1"/>
  <c r="F19" i="7"/>
  <c r="B1807" i="106" s="1"/>
  <c r="D1807" i="106" s="1"/>
  <c r="G38" i="108"/>
  <c r="G34" i="108"/>
  <c r="C14" i="4"/>
  <c r="B2558" i="106" s="1"/>
  <c r="D2558" i="106" s="1"/>
  <c r="D68" i="36"/>
  <c r="C352" i="29"/>
  <c r="B3621" i="106" s="1"/>
  <c r="D3621" i="106" s="1"/>
  <c r="H33" i="118"/>
  <c r="J352" i="29"/>
  <c r="J367" i="29" s="1"/>
  <c r="B7245" i="106" s="1"/>
  <c r="D7245" i="106" s="1"/>
  <c r="J22" i="37"/>
  <c r="B7727" i="106"/>
  <c r="D7727" i="106" s="1"/>
  <c r="F67" i="34"/>
  <c r="E38" i="108"/>
  <c r="F28" i="108"/>
  <c r="J77" i="4"/>
  <c r="B6262" i="106" s="1"/>
  <c r="D6262" i="106" s="1"/>
  <c r="L5" i="11"/>
  <c r="B2056" i="106" s="1"/>
  <c r="D2056" i="106" s="1"/>
  <c r="D22" i="37"/>
  <c r="D37" i="108"/>
  <c r="F37" i="108"/>
  <c r="E28" i="108"/>
  <c r="D54" i="36"/>
  <c r="B7047" i="106"/>
  <c r="D7047" i="106" s="1"/>
  <c r="B4211" i="106"/>
  <c r="D4211" i="106" s="1"/>
  <c r="F49" i="34"/>
  <c r="K41" i="3"/>
  <c r="B2724" i="106"/>
  <c r="D2724" i="106" s="1"/>
  <c r="C342" i="29"/>
  <c r="B7216" i="106" s="1"/>
  <c r="D7216" i="106" s="1"/>
  <c r="J41" i="3"/>
  <c r="H365" i="29"/>
  <c r="B7242" i="106" s="1"/>
  <c r="D7242" i="106" s="1"/>
  <c r="F77" i="4"/>
  <c r="B3255" i="106" s="1"/>
  <c r="D3255" i="106" s="1"/>
  <c r="K184" i="29"/>
  <c r="F13" i="4" s="1"/>
  <c r="B2596" i="106" s="1"/>
  <c r="D2596" i="106" s="1"/>
  <c r="G210" i="29"/>
  <c r="G15" i="145"/>
  <c r="L367"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0" i="106"/>
  <c r="D7256" i="106"/>
  <c r="D7253" i="106"/>
  <c r="D7252" i="106"/>
  <c r="H77" i="4"/>
  <c r="B3299" i="106" s="1"/>
  <c r="D3299" i="106" s="1"/>
  <c r="D7254" i="106"/>
  <c r="F66" i="34"/>
  <c r="B1317" i="106"/>
  <c r="D1317" i="106" s="1"/>
  <c r="H151" i="29"/>
  <c r="B1273" i="106" s="1"/>
  <c r="D1273" i="106" s="1"/>
  <c r="D41" i="108"/>
  <c r="E43" i="108" s="1"/>
  <c r="I7" i="4"/>
  <c r="B4444" i="106" s="1"/>
  <c r="D4444" i="106" s="1"/>
  <c r="B1381" i="106"/>
  <c r="D1381" i="106" s="1"/>
  <c r="F41" i="108"/>
  <c r="G43" i="108" s="1"/>
  <c r="C114" i="29"/>
  <c r="B757" i="106" s="1"/>
  <c r="D757" i="106" s="1"/>
  <c r="F174" i="34"/>
  <c r="J16" i="4"/>
  <c r="B6226" i="106" s="1"/>
  <c r="D6226" i="106" s="1"/>
  <c r="L16" i="11"/>
  <c r="B2061" i="106" s="1"/>
  <c r="D2061" i="106" s="1"/>
  <c r="C367" i="29"/>
  <c r="B3622" i="106" s="1"/>
  <c r="D3622" i="106" s="1"/>
  <c r="B3568" i="106"/>
  <c r="D3568" i="106" s="1"/>
  <c r="D52" i="36"/>
  <c r="B1328" i="106"/>
  <c r="D1328" i="106" s="1"/>
  <c r="L114" i="29"/>
  <c r="K365" i="29"/>
  <c r="K16" i="4" s="1"/>
  <c r="B5527" i="106"/>
  <c r="D5527" i="106" s="1"/>
  <c r="D44" i="36"/>
  <c r="B7235" i="106"/>
  <c r="D7235" i="106" s="1"/>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1145" i="106"/>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0" i="4"/>
  <c r="B6225" i="106" s="1"/>
  <c r="D6225" i="106" s="1"/>
  <c r="F8" i="4"/>
  <c r="F10" i="4" s="1"/>
  <c r="B4125" i="106" s="1"/>
  <c r="D4125" i="106" s="1"/>
  <c r="J20" i="4"/>
  <c r="J78" i="4"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<sst xmlns="http://schemas.openxmlformats.org/spreadsheetml/2006/main" count="5064" uniqueCount="2089">
  <si>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</si>
  <si>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</si>
  <si>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</si>
  <si>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</si>
  <si>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</si>
  <si>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</si>
  <si>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</si>
  <si>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</si>
  <si>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</si>
  <si>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</si>
  <si>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</si>
  <si>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</si>
  <si>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</si>
  <si>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</si>
  <si>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</si>
  <si>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</si>
  <si>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</si>
  <si>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</si>
  <si>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</si>
  <si>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</si>
  <si>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</si>
  <si>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</si>
  <si>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</si>
  <si>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</si>
  <si>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</si>
  <si>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</si>
  <si>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</si>
  <si>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</si>
  <si>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</si>
  <si>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</si>
  <si>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</si>
  <si>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</si>
  <si>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</si>
  <si>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</si>
  <si>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</si>
  <si>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</si>
  <si>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</si>
  <si>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</si>
  <si>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</si>
  <si>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</si>
  <si>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</si>
  <si>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</si>
  <si>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</si>
  <si>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</si>
  <si>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</si>
  <si>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</si>
  <si>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</si>
  <si>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</si>
  <si>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</si>
  <si>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</si>
  <si>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</si>
  <si>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</si>
  <si>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</si>
  <si>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</si>
  <si>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</si>
  <si>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</si>
  <si>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</si>
  <si>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</si>
  <si>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</si>
  <si>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</si>
  <si>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</si>
  <si>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</si>
  <si>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</si>
  <si>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</si>
  <si>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</si>
  <si>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</si>
  <si>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</si>
  <si>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</si>
  <si>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</si>
  <si>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</si>
  <si>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</si>
  <si>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</si>
  <si>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</si>
  <si>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</si>
  <si>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</si>
  <si>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</si>
  <si>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</si>
  <si>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</si>
  <si>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</si>
  <si>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</si>
  <si>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</si>
  <si>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</si>
  <si>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</si>
  <si>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</si>
  <si>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</si>
  <si>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</si>
  <si>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</si>
  <si>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</si>
  <si>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</si>
  <si>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</si>
  <si>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</si>
  <si>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</si>
  <si>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</si>
  <si>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</si>
  <si>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</si>
  <si>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</si>
  <si>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</si>
  <si>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</si>
  <si>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</si>
  <si>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</si>
  <si>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</si>
  <si>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</si>
  <si>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</si>
  <si>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</si>
  <si>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</si>
  <si>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</si>
  <si>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</si>
  <si>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</si>
  <si>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</si>
  <si>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</si>
  <si>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</si>
  <si>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</si>
  <si>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</si>
  <si>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</si>
  <si>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</si>
  <si>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</si>
  <si>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</si>
  <si>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</si>
  <si>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</si>
  <si>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</si>
  <si>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</si>
  <si>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</si>
  <si>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</si>
  <si>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</si>
  <si>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</si>
  <si>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</si>
  <si>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</si>
  <si>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</si>
  <si>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</si>
  <si>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</si>
  <si>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</si>
  <si>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</si>
  <si>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</si>
  <si>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</si>
  <si>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</si>
  <si>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</si>
  <si>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</si>
  <si>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</si>
  <si>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</si>
  <si>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</si>
  <si>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</si>
  <si>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</si>
  <si>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</si>
  <si>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</si>
  <si>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</si>
  <si>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</si>
  <si>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</si>
  <si>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</si>
  <si>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</si>
  <si>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</si>
  <si>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</si>
  <si>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</si>
  <si>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</si>
  <si>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</si>
  <si>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</si>
  <si>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</si>
  <si>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</si>
  <si>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</si>
  <si>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</si>
  <si>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</si>
  <si>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</si>
  <si>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</si>
  <si>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</si>
  <si>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</si>
  <si>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</si>
  <si>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</si>
  <si>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</si>
  <si>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</si>
  <si>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</si>
  <si>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</si>
  <si>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</si>
  <si>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</si>
  <si>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</si>
  <si>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</si>
  <si>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</si>
  <si>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</si>
  <si>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</si>
  <si>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</si>
  <si>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</si>
  <si>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</si>
  <si>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</si>
  <si>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</si>
  <si>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</si>
  <si>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</si>
  <si>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</si>
  <si>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</si>
  <si>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</si>
  <si>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</si>
  <si>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</si>
  <si>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</si>
  <si>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</si>
  <si>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</si>
  <si>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</si>
  <si>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</si>
  <si>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</si>
  <si>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</si>
  <si>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</si>
  <si>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</si>
  <si>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</si>
  <si>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</si>
  <si>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</si>
  <si>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</si>
  <si>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</si>
  <si>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</si>
  <si>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</si>
  <si>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</si>
  <si>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</si>
  <si>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</si>
  <si>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</si>
  <si>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</si>
  <si>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</si>
  <si>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</si>
  <si>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</si>
  <si>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</si>
  <si>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</si>
  <si>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</si>
  <si>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</si>
  <si>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</si>
  <si>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</si>
  <si>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</si>
  <si>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</si>
  <si>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</si>
  <si>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</si>
  <si>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</si>
  <si>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</si>
  <si>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</si>
  <si>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</si>
  <si>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</si>
  <si>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</si>
  <si>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</si>
  <si>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</si>
  <si>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</si>
  <si>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</si>
  <si>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</si>
  <si>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</si>
  <si>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</si>
  <si>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</si>
  <si>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</si>
  <si>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</si>
  <si>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</si>
  <si>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</si>
  <si>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</si>
  <si>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</si>
  <si>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</si>
  <si>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</si>
  <si>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</si>
  <si>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</si>
  <si>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</si>
  <si>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</si>
  <si>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</si>
  <si>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</si>
  <si>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</si>
  <si>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</si>
  <si>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</si>
  <si>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</si>
  <si>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</si>
  <si>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</si>
  <si>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</si>
  <si>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</si>
  <si>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</si>
  <si>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</si>
  <si>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</si>
  <si>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</si>
  <si>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</si>
  <si>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</si>
  <si>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</si>
  <si>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</si>
  <si>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</si>
  <si>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</si>
  <si>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</si>
  <si>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</si>
  <si>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</si>
  <si>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</si>
  <si>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</si>
  <si>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</si>
  <si>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</si>
  <si>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</si>
  <si>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</si>
  <si>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</si>
  <si>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</si>
  <si>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</si>
  <si>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</si>
  <si>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</si>
  <si>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</si>
  <si>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</si>
  <si>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</si>
  <si>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</si>
  <si>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</si>
  <si>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</si>
  <si>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</si>
  <si>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</si>
  <si>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</si>
  <si>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</si>
  <si>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</si>
  <si>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</si>
  <si>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</si>
  <si>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</si>
  <si>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</si>
  <si>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</si>
  <si>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</si>
  <si>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</si>
  <si>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</si>
  <si>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</si>
  <si>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</si>
  <si>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</si>
  <si>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</si>
  <si>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</si>
  <si>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</si>
  <si>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</si>
  <si>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</si>
  <si>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</si>
  <si>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</si>
  <si>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</si>
  <si>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</si>
  <si>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</si>
  <si>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</si>
  <si>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</si>
  <si>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</si>
  <si>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</si>
  <si>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</si>
  <si>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</si>
  <si>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</si>
  <si>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</si>
  <si>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</si>
  <si>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</si>
  <si>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</si>
  <si>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</si>
  <si>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</si>
  <si>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</si>
  <si>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</si>
  <si>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</si>
  <si>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</si>
  <si>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</si>
  <si>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</si>
  <si>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</si>
  <si>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</si>
  <si>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</si>
  <si>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</si>
  <si>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</si>
  <si>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</si>
  <si>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</si>
  <si>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</si>
  <si>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</si>
  <si>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</si>
  <si>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</si>
  <si>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</si>
  <si>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</si>
  <si>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</si>
  <si>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</si>
  <si>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</si>
  <si>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</si>
  <si>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</si>
  <si>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</si>
  <si>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</si>
  <si>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</si>
  <si>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</si>
  <si>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</si>
  <si>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</si>
  <si>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</si>
  <si>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</si>
  <si>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</si>
  <si>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</si>
  <si>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</si>
  <si>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</si>
  <si>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</si>
  <si>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</si>
  <si>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</si>
  <si>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</si>
  <si>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</si>
  <si>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</si>
  <si>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</si>
  <si>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</si>
  <si>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</si>
  <si>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</si>
  <si>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</si>
  <si>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</si>
  <si>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</si>
  <si>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</si>
  <si>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</si>
  <si>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</si>
  <si>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</si>
  <si>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</si>
  <si>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</si>
  <si>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</si>
  <si>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</si>
  <si>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</si>
  <si>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</si>
  <si>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</si>
  <si>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</si>
  <si>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</si>
  <si>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</si>
  <si>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</si>
  <si>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</si>
  <si>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</si>
  <si>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</si>
  <si>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</si>
  <si>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</si>
  <si>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</si>
  <si>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</si>
  <si>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</si>
  <si>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</si>
  <si>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</si>
  <si>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</si>
  <si>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</si>
  <si>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</si>
  <si>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</si>
  <si>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</si>
  <si>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</si>
  <si>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</si>
  <si>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</si>
  <si>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</si>
  <si>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</si>
  <si>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</si>
  <si>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</si>
  <si>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</si>
  <si>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</si>
  <si>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</si>
  <si>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</si>
  <si>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</si>
  <si>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</si>
  <si>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</si>
  <si>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</si>
  <si>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</si>
  <si>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</si>
  <si>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</si>
  <si>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</si>
  <si>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</si>
  <si>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</si>
  <si>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</si>
  <si>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</si>
  <si>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</si>
  <si>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</si>
  <si>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</si>
  <si>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</si>
  <si>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</si>
  <si>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</si>
  <si>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</si>
  <si>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</si>
  <si>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</si>
  <si>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</si>
  <si>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</si>
  <si>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</si>
  <si>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</si>
  <si>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</si>
  <si>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</si>
  <si>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</si>
  <si>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</si>
  <si>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</si>
  <si>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</si>
  <si>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</si>
  <si>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</si>
  <si>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</si>
  <si>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</si>
  <si>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</si>
  <si>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</si>
  <si>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</si>
  <si>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</si>
  <si>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</si>
  <si>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</si>
  <si>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</si>
  <si>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</si>
  <si>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</si>
  <si>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</si>
  <si>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</si>
  <si>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</si>
  <si>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</si>
  <si>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</si>
  <si>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</si>
  <si>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</si>
  <si>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</si>
  <si>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</si>
  <si>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</si>
  <si>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</si>
  <si>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</si>
  <si>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</si>
  <si>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</si>
  <si>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</si>
  <si>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</si>
  <si>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</si>
  <si>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</si>
  <si>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</si>
  <si>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</si>
  <si>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</si>
  <si>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</si>
  <si>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</si>
  <si>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</si>
  <si>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</si>
  <si>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</si>
  <si>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</si>
  <si>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</si>
  <si>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</si>
  <si>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</si>
  <si>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</si>
  <si>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</si>
  <si>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</si>
  <si>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</si>
  <si>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</si>
  <si>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</si>
  <si>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</si>
  <si>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</si>
  <si>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</si>
  <si>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</si>
  <si>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</si>
  <si>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</si>
  <si>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</si>
  <si>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</si>
  <si>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</si>
  <si>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</si>
  <si>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</si>
  <si>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</si>
  <si>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</si>
  <si>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</si>
  <si>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</si>
  <si>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</si>
  <si>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</si>
  <si>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</si>
  <si>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</si>
  <si>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</si>
  <si>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</si>
  <si>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</si>
  <si>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</si>
  <si>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</si>
  <si>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</si>
  <si>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</si>
  <si>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</si>
  <si>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</si>
  <si>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</si>
  <si>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</si>
  <si>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</si>
  <si>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</si>
  <si>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</si>
  <si>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</si>
  <si>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</si>
  <si>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</si>
  <si>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</si>
  <si>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</si>
  <si>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</si>
  <si>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</si>
  <si>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</si>
  <si>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</si>
  <si>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</si>
  <si>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</si>
  <si>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</si>
  <si>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</si>
  <si>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</si>
  <si>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</si>
  <si>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</si>
  <si>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</si>
  <si>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</si>
  <si>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</si>
  <si>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</si>
  <si>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</si>
  <si>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</si>
  <si>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</si>
  <si>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</si>
  <si>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</si>
  <si>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</si>
  <si>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</si>
  <si>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</si>
  <si>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</si>
  <si>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</si>
  <si>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</si>
  <si>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</si>
  <si>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</si>
  <si>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</si>
  <si>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</si>
  <si>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</si>
  <si>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</si>
  <si>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</si>
  <si>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</si>
  <si>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</si>
  <si>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</si>
  <si>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</si>
  <si>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</si>
  <si>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</si>
  <si>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</si>
  <si>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</si>
  <si>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</si>
  <si>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</si>
  <si>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</si>
  <si>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</si>
  <si>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</si>
  <si>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</si>
  <si>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</si>
  <si>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</si>
  <si>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</si>
  <si>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</si>
  <si>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</si>
  <si>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</si>
  <si>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</si>
  <si>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</si>
  <si>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</si>
  <si>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</si>
  <si>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</si>
  <si>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</si>
  <si>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</si>
  <si>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</si>
  <si>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</si>
  <si>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</si>
  <si>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</si>
  <si>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</si>
  <si>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</si>
  <si>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</si>
  <si>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</si>
  <si>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</si>
  <si>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</si>
  <si>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</si>
  <si>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</si>
  <si>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</si>
  <si>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</si>
  <si>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</si>
  <si>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</si>
  <si>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</si>
  <si>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</si>
  <si>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</si>
  <si>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</si>
  <si>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</si>
  <si>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</si>
  <si>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</si>
  <si>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</si>
  <si>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</si>
  <si>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</si>
  <si>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</si>
  <si>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</si>
  <si>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</si>
  <si>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</si>
  <si>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</si>
  <si>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</si>
  <si>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</si>
  <si>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</si>
  <si>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</si>
  <si>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</si>
  <si>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</si>
  <si>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</si>
  <si>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</si>
  <si>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</si>
  <si>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</si>
  <si>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</si>
  <si>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</si>
  <si>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</si>
  <si>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</si>
  <si>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</si>
  <si>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</si>
  <si>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</si>
  <si>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</si>
  <si>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</si>
  <si>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</si>
  <si>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</si>
  <si>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</si>
  <si>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</si>
  <si>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</si>
  <si>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</si>
  <si>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</si>
  <si>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</si>
  <si>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</si>
  <si>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</si>
  <si>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</si>
  <si>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</si>
  <si>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</si>
  <si>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</si>
  <si>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</si>
  <si>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</si>
  <si>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</si>
  <si>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</si>
  <si>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</si>
  <si>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</si>
  <si>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</si>
  <si>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</si>
  <si>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</si>
  <si>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</si>
  <si>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</si>
  <si>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</si>
  <si>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</si>
  <si>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</si>
  <si>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</si>
  <si>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</si>
  <si>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</si>
  <si>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</si>
  <si>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</si>
  <si>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</si>
  <si>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</si>
  <si>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</si>
  <si>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</si>
  <si>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</si>
  <si>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</si>
  <si>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</si>
  <si>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</si>
  <si>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</si>
  <si>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</si>
  <si>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</si>
  <si>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</si>
  <si>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</si>
  <si>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</si>
  <si>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</si>
  <si>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</si>
  <si>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</si>
  <si>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</si>
  <si>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</si>
  <si>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</si>
  <si>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</si>
  <si>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</si>
  <si>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</si>
  <si>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</si>
  <si>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</si>
  <si>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</si>
  <si>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</si>
  <si>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</si>
  <si>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</si>
  <si>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</si>
  <si>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</si>
  <si>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</si>
  <si>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</si>
  <si>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</si>
  <si>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</si>
  <si>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</si>
  <si>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</si>
  <si>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</si>
  <si>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</si>
  <si>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</si>
  <si>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</si>
  <si>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</si>
  <si>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</si>
  <si>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</si>
  <si>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</si>
  <si>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</si>
  <si>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</si>
  <si>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</si>
  <si>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</si>
  <si>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</si>
  <si>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</si>
  <si>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</si>
  <si>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</si>
  <si>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</si>
  <si>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</si>
  <si>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</si>
  <si>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</si>
  <si>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</si>
  <si>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</si>
  <si>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</si>
  <si>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</si>
  <si>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</si>
  <si>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</si>
  <si>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</si>
  <si>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</si>
  <si>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</si>
  <si>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</si>
  <si>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</si>
  <si>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</si>
  <si>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</si>
  <si>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</si>
  <si>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</si>
  <si>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</si>
  <si>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</si>
  <si>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</si>
  <si>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</si>
  <si>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</si>
  <si>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</si>
  <si>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</si>
  <si>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</si>
  <si>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</si>
  <si>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</si>
  <si>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</si>
  <si>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</si>
  <si>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</si>
  <si>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</si>
  <si>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</si>
  <si>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</si>
  <si>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</si>
  <si>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</si>
  <si>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</si>
  <si>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</si>
  <si>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</si>
  <si>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</si>
  <si>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</si>
  <si>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</si>
  <si>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</si>
  <si>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</si>
  <si>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</si>
  <si>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</si>
  <si>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</si>
  <si>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</si>
  <si>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</si>
  <si>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</si>
  <si>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</si>
  <si>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</si>
  <si>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</si>
  <si>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</si>
  <si>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</si>
  <si>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</si>
  <si>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</si>
  <si>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</si>
  <si>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</si>
  <si>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</si>
  <si>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</si>
  <si>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</si>
  <si>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</si>
  <si>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</si>
  <si>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</si>
  <si>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</si>
  <si>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</si>
  <si>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</si>
  <si>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</si>
  <si>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</si>
  <si>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</si>
  <si>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</si>
  <si>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</si>
  <si>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</si>
  <si>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</si>
  <si>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</si>
  <si>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</si>
  <si>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</si>
  <si>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</si>
  <si>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</si>
  <si>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</si>
  <si>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</si>
  <si>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</si>
  <si>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</si>
  <si>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</si>
  <si>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</si>
  <si>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</si>
  <si>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</si>
  <si>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</si>
  <si>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</si>
  <si>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</si>
  <si>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</si>
  <si>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</si>
  <si>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</si>
  <si>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</si>
  <si>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</si>
  <si>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</si>
  <si>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</si>
  <si>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</si>
  <si>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</si>
  <si>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</si>
  <si>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</si>
  <si>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</si>
  <si>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</si>
  <si>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</si>
  <si>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</si>
  <si>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</si>
  <si>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</si>
  <si>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</si>
  <si>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</si>
  <si>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</si>
  <si>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</si>
  <si>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</si>
  <si>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</si>
  <si>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</si>
  <si>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</si>
  <si>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</si>
  <si>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</si>
  <si>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</si>
  <si>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</si>
  <si>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</si>
  <si>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</si>
  <si>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</si>
  <si>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</si>
  <si>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</si>
  <si>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</si>
  <si>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</si>
  <si>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</si>
  <si>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</si>
  <si>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</si>
  <si>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</si>
  <si>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</si>
  <si>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</si>
  <si>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</si>
  <si>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</si>
  <si>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</si>
  <si>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</si>
  <si>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</si>
  <si>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</si>
  <si>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</si>
  <si>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</si>
  <si>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</si>
  <si>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</si>
  <si>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</si>
  <si>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</si>
  <si>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</si>
  <si>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</si>
  <si>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</si>
  <si>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</si>
  <si>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</si>
  <si>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</si>
  <si>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</si>
  <si>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</si>
  <si>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</si>
  <si>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</si>
  <si>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</si>
  <si>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</si>
  <si>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</si>
  <si>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</si>
  <si>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</si>
  <si>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</si>
  <si>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</si>
  <si>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</si>
  <si>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</si>
  <si>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</si>
  <si>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</si>
  <si>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</si>
  <si>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</si>
  <si>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</si>
  <si>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</si>
  <si>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</si>
  <si>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</si>
  <si>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</si>
  <si>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</si>
  <si>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</si>
  <si>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</si>
  <si>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</si>
  <si>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</si>
  <si>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</si>
  <si>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</si>
  <si>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</si>
  <si>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</si>
  <si>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</si>
  <si>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</si>
  <si>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</si>
  <si>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</si>
  <si>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</si>
  <si>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</si>
  <si>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</si>
  <si>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</si>
  <si>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</si>
  <si>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</si>
  <si>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</si>
  <si>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</si>
  <si>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</si>
  <si>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</si>
  <si>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</si>
  <si>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</si>
  <si>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</si>
  <si>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</si>
  <si>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</si>
  <si>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</si>
  <si>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</si>
  <si>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</si>
  <si>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</si>
  <si>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</si>
  <si>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</si>
  <si>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</si>
  <si>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</si>
  <si>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</si>
  <si>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</si>
  <si>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</si>
  <si>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</si>
  <si>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</si>
  <si>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</si>
  <si>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</si>
  <si>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</si>
  <si>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</si>
  <si>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</si>
  <si>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</si>
  <si>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</si>
  <si>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</si>
  <si>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</si>
  <si>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</si>
  <si>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</si>
  <si>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</si>
  <si>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</si>
  <si>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</si>
  <si>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</si>
  <si>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</si>
  <si>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</si>
  <si>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</si>
  <si>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</si>
  <si>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</si>
  <si>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</si>
  <si>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</si>
  <si>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</si>
  <si>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</si>
  <si>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</si>
  <si>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</si>
  <si>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</si>
  <si>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</si>
  <si>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</si>
  <si>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</si>
  <si>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</si>
  <si>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</si>
  <si>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</si>
  <si>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</si>
  <si>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</si>
  <si>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</si>
  <si>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</si>
  <si>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</si>
  <si>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</si>
  <si>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</si>
  <si>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</si>
  <si>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</si>
  <si>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</si>
  <si>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</si>
  <si>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</si>
  <si>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</si>
  <si>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</si>
  <si>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</si>
  <si>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</si>
  <si>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</si>
  <si>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</si>
  <si>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</si>
  <si>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</si>
  <si>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</si>
  <si>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</si>
  <si>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</si>
  <si>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</si>
  <si>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</si>
  <si>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</si>
  <si>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</si>
  <si>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</si>
  <si>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</si>
  <si>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</si>
  <si>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</si>
  <si>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</si>
  <si>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</si>
  <si>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</si>
  <si>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</si>
  <si>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</si>
  <si>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</si>
  <si>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</si>
  <si>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</si>
  <si>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</si>
  <si>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</si>
  <si>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</si>
  <si>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</si>
  <si>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</si>
  <si>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</si>
  <si>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</si>
  <si>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</si>
  <si>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</si>
  <si>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</si>
  <si>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</si>
  <si>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</si>
  <si>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</si>
  <si>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</si>
  <si>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</si>
  <si>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</si>
  <si>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</si>
  <si>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</si>
  <si>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</si>
  <si>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</si>
  <si>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</si>
  <si>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</si>
  <si>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</si>
  <si>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</si>
  <si>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</si>
  <si>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</si>
  <si>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</si>
  <si>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</si>
  <si>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</si>
  <si>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</si>
  <si>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</si>
  <si>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</si>
  <si>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</si>
  <si>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</si>
  <si>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</si>
  <si>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</si>
  <si>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</si>
  <si>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</si>
  <si>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</si>
  <si>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</si>
  <si>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</si>
  <si>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</si>
  <si>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</si>
  <si>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</si>
  <si>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</si>
  <si>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</si>
  <si>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</si>
  <si>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</si>
  <si>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</si>
  <si>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</si>
  <si>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</si>
  <si>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</si>
  <si>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</si>
  <si>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</si>
  <si>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</si>
  <si>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</si>
  <si>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</si>
  <si>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</si>
  <si>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</si>
  <si>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</si>
  <si>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</si>
  <si>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</si>
  <si>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</si>
  <si>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</si>
  <si>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</si>
  <si>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</si>
  <si>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</si>
  <si>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</si>
  <si>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</si>
  <si>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</si>
  <si>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</si>
  <si>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</si>
  <si>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</si>
  <si>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</si>
  <si>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</si>
  <si>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</si>
  <si>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</si>
  <si>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</si>
  <si>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</si>
  <si>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</si>
  <si>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</si>
  <si>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</si>
  <si>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</si>
  <si>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</si>
  <si>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</si>
  <si>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</si>
  <si>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</si>
  <si>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</si>
  <si>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</si>
  <si>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</si>
  <si>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</si>
  <si>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</si>
  <si>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</si>
  <si>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</si>
  <si>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</si>
  <si>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</si>
  <si>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</si>
  <si>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</si>
  <si>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</si>
  <si>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</si>
  <si>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</si>
  <si>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</si>
  <si>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</si>
  <si>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</si>
  <si>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</si>
  <si>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</si>
  <si>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</si>
  <si>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</si>
  <si>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</si>
  <si>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</si>
  <si>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</si>
  <si>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</si>
  <si>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</si>
  <si>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</si>
  <si>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</si>
  <si>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</si>
  <si>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</si>
  <si>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</si>
  <si>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</si>
  <si>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</si>
  <si>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</si>
  <si>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</si>
  <si>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</si>
  <si>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</si>
  <si>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</si>
  <si>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</si>
  <si>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</si>
  <si>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</si>
  <si>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</si>
  <si>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</si>
  <si>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</si>
  <si>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</si>
  <si>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</si>
  <si>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</si>
  <si>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</si>
  <si>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</si>
  <si>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</si>
  <si>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</si>
  <si>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</si>
  <si>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</si>
  <si>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</si>
  <si>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</si>
  <si>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</si>
  <si>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</si>
  <si>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</si>
  <si>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</si>
  <si>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</si>
  <si>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</si>
  <si>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</si>
  <si>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</si>
  <si>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</si>
  <si>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</si>
  <si>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</si>
  <si>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</si>
  <si>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</si>
  <si>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</si>
  <si>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</si>
  <si>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</si>
  <si>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</si>
  <si>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</si>
  <si>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</si>
  <si>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</si>
  <si>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</si>
  <si>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</si>
  <si>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</si>
  <si>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</si>
  <si>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</si>
  <si>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</si>
  <si>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</si>
  <si>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</si>
  <si>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</si>
  <si>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</si>
  <si>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</si>
  <si>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</si>
  <si>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</si>
  <si>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</si>
  <si>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</si>
  <si>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</si>
  <si>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</si>
  <si>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</si>
  <si>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</si>
  <si>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</si>
  <si>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</si>
  <si>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</si>
  <si>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</si>
  <si>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</si>
  <si>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</si>
  <si>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</si>
  <si>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</si>
  <si>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</si>
  <si>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</si>
  <si>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</si>
  <si>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</si>
  <si>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</si>
  <si>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</si>
  <si>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</si>
  <si>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</si>
  <si>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</si>
  <si>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</si>
  <si>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</si>
  <si>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</si>
  <si>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</si>
  <si>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</si>
  <si>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</si>
  <si>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</si>
  <si>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</si>
  <si>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</si>
  <si>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</si>
  <si>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</si>
  <si>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</si>
  <si>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</si>
  <si>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</si>
  <si>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</si>
  <si>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</si>
  <si>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</si>
  <si>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</si>
  <si>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</si>
  <si>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</si>
  <si>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</si>
  <si>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</si>
  <si>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</si>
  <si>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</si>
  <si>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</si>
  <si>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</si>
  <si>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</si>
  <si>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</si>
  <si>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</si>
  <si>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</si>
  <si>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</si>
  <si>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</si>
  <si>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</si>
  <si>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</si>
  <si>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</si>
  <si>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</si>
  <si>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</si>
  <si>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</si>
  <si>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</si>
  <si>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</si>
  <si>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</si>
  <si>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</si>
  <si>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</si>
  <si>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</si>
  <si>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</si>
  <si>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</si>
  <si>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</si>
  <si>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</si>
  <si>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</si>
  <si>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</si>
  <si>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</si>
  <si>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</si>
  <si>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</si>
  <si>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</si>
  <si>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</si>
  <si>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</si>
  <si>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</si>
  <si>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</si>
  <si>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</si>
  <si>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</si>
  <si>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</si>
  <si>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</si>
  <si>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</si>
  <si>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</si>
  <si>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</si>
  <si>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</si>
  <si>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</si>
  <si>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</si>
  <si>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</si>
  <si>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</si>
  <si>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</si>
  <si>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</si>
  <si>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</si>
  <si>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</si>
  <si>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</si>
  <si>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</si>
  <si>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</si>
  <si>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</si>
  <si>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</si>
  <si>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</si>
  <si>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</si>
  <si>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</si>
  <si>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</si>
  <si>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</si>
  <si>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</si>
  <si>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</si>
  <si>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</si>
  <si>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</si>
  <si>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</si>
  <si>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</si>
  <si>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</si>
  <si>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</si>
  <si>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</si>
  <si>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</si>
  <si>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</si>
  <si>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</si>
  <si>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</si>
  <si>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</si>
  <si>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</si>
  <si>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</si>
  <si>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</si>
  <si>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</si>
  <si>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</si>
  <si>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</si>
  <si>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</si>
  <si>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</si>
  <si>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</si>
  <si>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</si>
  <si>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</si>
  <si>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</si>
  <si>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</si>
  <si>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</si>
  <si>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</si>
  <si>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</si>
  <si>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</si>
  <si>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</si>
  <si>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</si>
  <si>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</si>
  <si>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</si>
  <si>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</si>
  <si>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</si>
  <si>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</si>
  <si>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</si>
  <si>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</si>
  <si>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</si>
  <si>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</si>
  <si>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</si>
  <si>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</si>
  <si>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</si>
  <si>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</si>
  <si>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</si>
  <si>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</si>
  <si>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</si>
  <si>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</si>
  <si>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</si>
  <si>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</si>
  <si>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</si>
  <si>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</si>
  <si>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</si>
  <si>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</si>
  <si>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</si>
  <si>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</si>
  <si>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</si>
  <si>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</si>
  <si>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</si>
  <si>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</si>
  <si>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</si>
  <si>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</si>
  <si>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</si>
  <si>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</si>
  <si>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</si>
  <si>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</si>
  <si>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</si>
  <si>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</si>
  <si>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</si>
  <si>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</si>
  <si>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</si>
  <si>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</si>
  <si>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</si>
  <si>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</si>
  <si>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</si>
  <si>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</si>
  <si>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</si>
  <si>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</si>
  <si>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</si>
  <si>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</si>
  <si>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</si>
  <si>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</si>
  <si>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</si>
  <si>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</si>
  <si>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</si>
  <si>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</si>
  <si>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</si>
  <si>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</si>
  <si>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</si>
  <si>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</si>
  <si>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</si>
  <si>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</si>
  <si>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</si>
  <si>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</si>
  <si>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</si>
  <si>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</si>
  <si>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</si>
  <si>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</si>
  <si>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</si>
  <si>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</si>
  <si>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</si>
  <si>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</si>
  <si>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</si>
  <si>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</si>
  <si>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</si>
  <si>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</si>
  <si>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</si>
  <si>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</si>
  <si>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</si>
  <si>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</si>
  <si>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</si>
  <si>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</si>
  <si>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</si>
  <si>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</si>
  <si>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</si>
  <si>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</si>
  <si>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</si>
  <si>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</si>
  <si>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</si>
  <si>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</si>
  <si>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</si>
  <si>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</si>
  <si>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</si>
  <si>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</si>
  <si>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</si>
  <si>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</si>
  <si>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</si>
  <si>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</si>
  <si>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</si>
  <si>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</si>
  <si>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</si>
  <si>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</si>
  <si>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</si>
  <si>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</si>
  <si>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</si>
  <si>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</si>
  <si>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</si>
  <si>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</si>
  <si>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</si>
  <si>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</si>
  <si>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</si>
  <si>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</si>
  <si>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</si>
  <si>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</si>
  <si>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</si>
  <si>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</si>
  <si>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</si>
  <si>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</si>
  <si>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</si>
  <si>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</si>
  <si>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</si>
  <si>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</si>
  <si>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</si>
  <si>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</si>
  <si>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</si>
  <si>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</si>
  <si>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</si>
  <si>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</si>
  <si>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</si>
  <si>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</si>
  <si>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</si>
  <si>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</si>
  <si>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</si>
  <si>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</si>
  <si>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</si>
  <si>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</si>
  <si>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</si>
  <si>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</si>
  <si>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</si>
  <si>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</si>
  <si>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</si>
  <si>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</si>
  <si>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</si>
  <si>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</si>
  <si>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</si>
  <si>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</si>
  <si>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</si>
  <si>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</si>
  <si>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</si>
  <si>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</si>
  <si>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</si>
  <si>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</si>
  <si>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</si>
  <si>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</si>
  <si>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</si>
  <si>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</si>
  <si>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</si>
  <si>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</si>
  <si>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</si>
  <si>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</si>
  <si>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</si>
  <si>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</si>
  <si>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</si>
  <si>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</si>
  <si>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</si>
  <si>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</si>
  <si>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</si>
  <si>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</si>
  <si>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</si>
  <si>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</si>
  <si>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</si>
  <si>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</si>
  <si>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</si>
  <si>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</si>
  <si>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</si>
  <si>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</si>
  <si>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</si>
  <si>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</si>
  <si>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</si>
  <si>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</si>
  <si>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</si>
  <si>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</si>
  <si>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</si>
  <si>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</si>
  <si>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</si>
  <si>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</si>
  <si>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</si>
  <si>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</si>
  <si>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</si>
  <si>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</si>
  <si>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</si>
  <si>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</si>
  <si>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</si>
  <si>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</si>
  <si>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</si>
  <si>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</si>
  <si>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</si>
  <si>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</si>
  <si>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</si>
  <si>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</si>
  <si>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</si>
  <si>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</si>
  <si>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</si>
  <si>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</si>
  <si>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</si>
  <si>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</si>
  <si>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</si>
  <si>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</si>
  <si>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</si>
  <si>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</si>
  <si>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</si>
  <si>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</si>
  <si>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</si>
  <si>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</si>
  <si>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</si>
  <si>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</si>
  <si>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</si>
  <si>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</si>
  <si>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</si>
  <si>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</si>
  <si>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</si>
  <si>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</si>
  <si>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</si>
  <si>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</si>
  <si>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</si>
  <si>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</si>
  <si>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</si>
  <si>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</si>
  <si>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</si>
  <si>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</si>
  <si>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</si>
  <si>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</si>
  <si>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</si>
  <si>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</si>
  <si>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</si>
  <si>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</si>
  <si>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</si>
  <si>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</si>
  <si>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</si>
  <si>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</si>
  <si>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</si>
  <si>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</si>
  <si>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</si>
  <si>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</si>
  <si>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</si>
  <si>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</si>
  <si>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</si>
  <si>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</si>
  <si>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</si>
  <si>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</si>
  <si>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</si>
  <si>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</si>
  <si>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</si>
  <si>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</si>
  <si>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</si>
  <si>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</si>
  <si>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</si>
  <si>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</si>
  <si>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</si>
  <si>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</si>
  <si>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</si>
  <si>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</si>
  <si>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</si>
  <si>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</si>
  <si>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</si>
  <si>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</si>
  <si>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</si>
  <si>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</si>
  <si>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</si>
  <si>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</si>
  <si>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</si>
  <si>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</si>
  <si>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</si>
  <si>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</si>
  <si>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</si>
  <si>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</si>
  <si>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</si>
  <si>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</si>
  <si>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</si>
  <si>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</si>
  <si>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</si>
  <si>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</si>
  <si>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</si>
  <si>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</si>
  <si>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</si>
  <si>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</si>
  <si>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</si>
  <si>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</si>
  <si>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</si>
  <si>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</si>
  <si>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</si>
  <si>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</si>
  <si>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</si>
  <si>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</si>
  <si>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</si>
  <si>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</si>
  <si>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</si>
  <si>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</si>
  <si>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</si>
  <si>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</si>
  <si>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</si>
  <si>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</si>
  <si>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</si>
  <si>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</si>
  <si>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</si>
  <si>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</si>
  <si>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</si>
  <si>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</si>
  <si>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</si>
  <si>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</si>
  <si>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</si>
  <si>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</si>
  <si>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</si>
  <si>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</si>
  <si>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</si>
  <si>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</si>
  <si>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</si>
  <si>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</si>
  <si>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</si>
  <si>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</si>
  <si>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</si>
  <si>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</si>
  <si>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</si>
  <si>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</si>
  <si>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</si>
  <si>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</si>
  <si>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</si>
  <si>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</si>
  <si>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</si>
  <si>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</si>
  <si>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</si>
  <si>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</si>
  <si>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</si>
  <si>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</si>
  <si>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</si>
  <si>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</si>
  <si>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</si>
  <si>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</si>
  <si>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</si>
  <si>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</si>
  <si>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</si>
  <si>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</si>
  <si>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</si>
  <si>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</si>
  <si>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</si>
  <si>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</si>
  <si>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</si>
  <si>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</si>
  <si>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</si>
  <si>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</si>
  <si>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</si>
  <si>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</si>
  <si>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</si>
  <si>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</si>
  <si>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</si>
  <si>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</si>
  <si>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</si>
  <si>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</si>
  <si>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</si>
  <si>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</si>
  <si>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</si>
  <si>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</si>
  <si>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</si>
  <si>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</si>
  <si>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</si>
  <si>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</si>
  <si>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</si>
  <si>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</si>
  <si>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</si>
  <si>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</si>
  <si>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</si>
  <si>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</si>
  <si>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</si>
  <si>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</si>
  <si>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</si>
  <si>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</si>
  <si>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</si>
  <si>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</si>
  <si>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</si>
  <si>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</si>
  <si>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</si>
  <si>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</si>
  <si>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</si>
  <si>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</si>
  <si>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</si>
  <si>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</si>
  <si>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</si>
  <si>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</si>
  <si>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</si>
  <si>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</si>
  <si>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</si>
  <si>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</si>
  <si>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</si>
  <si>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</si>
  <si>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</si>
  <si>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</si>
  <si>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</si>
  <si>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</si>
  <si>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</si>
  <si>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</si>
  <si>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</si>
  <si>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</si>
  <si>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</si>
  <si>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</si>
  <si>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</si>
  <si>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</si>
  <si>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</si>
  <si>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</si>
  <si>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</si>
  <si>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</si>
  <si>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</si>
  <si>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</si>
  <si>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</si>
  <si>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</si>
  <si>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</si>
  <si>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</si>
  <si>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</si>
  <si>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</si>
  <si>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</si>
  <si>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</si>
  <si>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</si>
  <si>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</si>
  <si>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</si>
  <si>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</si>
  <si>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</si>
  <si>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</si>
  <si>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</si>
  <si>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</si>
  <si>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</si>
  <si>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</si>
  <si>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</si>
  <si>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</si>
  <si>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</si>
  <si>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</si>
  <si>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</si>
  <si>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</si>
  <si>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</si>
  <si>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</si>
  <si>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</si>
  <si>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</si>
  <si>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</si>
  <si>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</si>
  <si>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</si>
  <si>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</si>
  <si>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</si>
  <si>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</si>
  <si>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</si>
  <si>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</si>
  <si>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</si>
  <si>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</si>
  <si>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</si>
  <si>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</si>
  <si>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</si>
  <si>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</si>
  <si>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</si>
  <si>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</si>
  <si>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</si>
  <si>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</si>
  <si>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</si>
  <si>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</si>
  <si>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</si>
  <si>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</si>
  <si>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</si>
  <si>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</si>
  <si>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</si>
  <si>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</si>
  <si>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</si>
  <si>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</si>
  <si>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</si>
  <si>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</si>
  <si>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</si>
  <si>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</si>
  <si>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</si>
  <si>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</si>
  <si>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</si>
  <si>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</si>
  <si>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</si>
  <si>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</si>
  <si>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</si>
  <si>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</si>
  <si>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</si>
  <si>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</si>
  <si>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</si>
  <si>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</si>
  <si>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</si>
  <si>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</si>
  <si>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</si>
  <si>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</si>
  <si>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</si>
  <si>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</si>
  <si>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</si>
  <si>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</si>
  <si>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</si>
  <si>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</si>
  <si>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</si>
  <si>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</si>
  <si>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</si>
  <si>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</si>
  <si>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</si>
  <si>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</si>
  <si>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</si>
  <si>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</si>
  <si>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</si>
  <si>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</si>
  <si>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</si>
  <si>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</si>
  <si>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</si>
  <si>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</si>
  <si>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</si>
  <si>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</si>
  <si>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</si>
  <si>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</si>
  <si>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</si>
  <si>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</si>
  <si>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</si>
  <si>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</si>
  <si>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</si>
  <si>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</si>
  <si>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</si>
  <si>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</si>
  <si>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</si>
  <si>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</si>
  <si>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</si>
  <si>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</si>
  <si>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</si>
  <si>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</si>
  <si>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</si>
  <si>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</si>
  <si>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</si>
  <si>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</si>
  <si>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</si>
  <si>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</si>
  <si>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</si>
  <si>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</si>
  <si>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</si>
  <si>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</si>
  <si>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</si>
  <si>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</si>
  <si>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</si>
  <si>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</si>
  <si>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</si>
  <si>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</si>
  <si>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</si>
  <si>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</si>
  <si>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</si>
  <si>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</si>
  <si>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</si>
  <si>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</si>
  <si>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</si>
  <si>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</si>
  <si>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</si>
  <si>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</si>
  <si>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</si>
  <si>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</si>
  <si>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</si>
  <si>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</si>
  <si>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</si>
  <si>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</si>
  <si>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</si>
  <si>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</si>
  <si>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</si>
  <si>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</si>
  <si>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</si>
  <si>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</si>
  <si>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</si>
  <si>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</si>
  <si>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</si>
  <si>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</si>
  <si>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</si>
  <si>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</si>
  <si>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</si>
  <si>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</si>
  <si>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</si>
  <si>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</si>
  <si>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</si>
  <si>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</si>
  <si>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</si>
  <si>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</si>
  <si>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</si>
  <si>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</si>
  <si>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</si>
  <si>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</si>
  <si>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</si>
  <si>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</si>
  <si>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</si>
  <si>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</si>
  <si>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</si>
  <si>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</si>
  <si>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</si>
  <si>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</si>
  <si>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</si>
  <si>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</si>
  <si>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</si>
  <si>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</si>
  <si>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</si>
  <si>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</si>
  <si>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</si>
  <si>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</si>
  <si>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</si>
  <si>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</si>
  <si>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</si>
  <si>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</si>
  <si>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</si>
  <si>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</si>
  <si>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</si>
  <si>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</si>
  <si>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</si>
  <si>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</si>
  <si>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</si>
  <si>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</si>
  <si>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</si>
  <si>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</si>
  <si>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</si>
  <si>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</si>
  <si>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</si>
  <si>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</si>
  <si>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</si>
  <si>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</si>
  <si>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</si>
  <si>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</si>
  <si>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</si>
  <si>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</si>
  <si>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</si>
  <si>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</si>
  <si>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</si>
  <si>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</si>
  <si>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</si>
  <si>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</si>
  <si>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</si>
  <si>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</si>
  <si>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</si>
  <si>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</si>
  <si>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</si>
  <si>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</si>
  <si>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</si>
  <si>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</si>
  <si>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</si>
  <si>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</si>
  <si>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</si>
  <si>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</si>
  <si>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</si>
  <si>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</si>
  <si>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</si>
  <si>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</si>
  <si>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</si>
  <si>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</si>
  <si>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</si>
  <si>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</si>
  <si>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</si>
  <si>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</si>
  <si>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</si>
  <si>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</si>
  <si>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</si>
  <si>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</si>
  <si>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</si>
  <si>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</si>
  <si>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</si>
  <si>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</si>
  <si>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</si>
  <si>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</si>
  <si>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</si>
  <si>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</si>
  <si>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</si>
  <si>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</si>
  <si>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</si>
  <si>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</si>
  <si>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</si>
  <si>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</si>
  <si>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</si>
  <si>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</si>
  <si>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</si>
  <si>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</si>
  <si>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</si>
  <si>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</si>
  <si>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</si>
  <si>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</si>
  <si>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</si>
  <si>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</si>
  <si>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</si>
  <si>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</si>
  <si>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</si>
  <si>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</si>
  <si>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</si>
  <si>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</si>
  <si>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</si>
  <si>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</si>
  <si>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</si>
  <si>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</si>
  <si>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</si>
  <si>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</si>
  <si>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</si>
  <si>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</si>
  <si>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</si>
  <si>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</si>
  <si>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</si>
  <si>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</si>
  <si>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</si>
  <si>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</si>
  <si>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</si>
  <si>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</si>
  <si>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</si>
  <si>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</si>
  <si>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</si>
  <si>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</si>
  <si>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</si>
  <si>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</si>
  <si>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</si>
  <si>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</si>
  <si>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</si>
  <si>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</si>
  <si>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</si>
  <si>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</si>
  <si>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</si>
  <si>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</si>
  <si>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</si>
  <si>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</si>
  <si>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</si>
  <si>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</si>
  <si>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</si>
  <si>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</si>
  <si>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</si>
  <si>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</si>
  <si>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</si>
  <si>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</si>
  <si>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</si>
  <si>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</si>
  <si>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</si>
  <si>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</si>
  <si>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</si>
  <si>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</si>
  <si>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</si>
  <si>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Jackson/Williamson</t>
  </si>
  <si>
    <t>1062 Boskeydell Road</t>
  </si>
  <si>
    <t>Carbondale</t>
  </si>
  <si>
    <t>X</t>
  </si>
  <si>
    <t>Kujawa &amp; Batteau, P.C.</t>
  </si>
  <si>
    <t>Kevin Batteau</t>
  </si>
  <si>
    <t>309 S. Walnut Street</t>
  </si>
  <si>
    <t>Pinckneyville</t>
  </si>
  <si>
    <t>IL</t>
  </si>
  <si>
    <t>618-357-3000</t>
  </si>
  <si>
    <t>618-357-3654</t>
  </si>
  <si>
    <t>kbatteau@kandb-cpa.com</t>
  </si>
  <si>
    <t>x</t>
  </si>
  <si>
    <t>N/A</t>
  </si>
  <si>
    <t>Ms. Belinda Hill</t>
  </si>
  <si>
    <t>bhill@gcs130.org</t>
  </si>
  <si>
    <t>618-457-5391</t>
  </si>
  <si>
    <t>618-549-5060</t>
  </si>
  <si>
    <t>General Obligation Refunding Bonds Series 2016</t>
  </si>
  <si>
    <t>"The notes are an integral part of these statements"</t>
  </si>
  <si>
    <t>Computer Repair/Date Process</t>
  </si>
  <si>
    <t>Quality Network Solutions</t>
  </si>
  <si>
    <t>Tri County Special Education</t>
  </si>
  <si>
    <t>10-2660-300</t>
  </si>
  <si>
    <t>Giant City CCSD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</si>
</sst>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1</xdr:col>
          <xdr:colOff>819150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2067</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2067</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30039130004</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2064</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2088</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2065</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62274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2066</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v>65.028419999999997</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62902</v>
      </c>
      <c r="B25" s="1940"/>
      <c r="C25" s="1940"/>
      <c r="D25" s="1940"/>
      <c r="E25" s="1940"/>
      <c r="F25" s="1940"/>
      <c r="G25" s="1940"/>
      <c r="H25" s="1941"/>
      <c r="I25" s="113"/>
      <c r="J25" s="1964"/>
      <c r="K25" s="1964"/>
      <c r="L25" s="1964"/>
      <c r="M25" s="1964"/>
      <c r="N25" s="1964"/>
      <c r="O25" s="1964"/>
      <c r="P25" s="1964"/>
      <c r="Q25" s="1964"/>
      <c r="R25" s="1964"/>
      <c r="S25" s="1965"/>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2078</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2079</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&amp;L&amp;8"These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C13" sqref="C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703904</v>
      </c>
      <c r="C4" s="1524"/>
      <c r="D4" s="1752">
        <f>B4-C4</f>
        <v>703904</v>
      </c>
      <c r="E4" s="1524">
        <f>600470+84123</f>
        <v>684593</v>
      </c>
      <c r="F4" s="1752">
        <f>E4-C4</f>
        <v>684593</v>
      </c>
    </row>
    <row r="5" spans="1:6" ht="13.7" customHeight="1" x14ac:dyDescent="0.2">
      <c r="A5" s="715" t="s">
        <v>870</v>
      </c>
      <c r="B5" s="1750">
        <f>'Revenues 9-14'!D5</f>
        <v>130277</v>
      </c>
      <c r="C5" s="585"/>
      <c r="D5" s="1753">
        <f t="shared" ref="D5:D18" si="0">B5-C5</f>
        <v>130277</v>
      </c>
      <c r="E5" s="585">
        <f>120392+16178</f>
        <v>136570</v>
      </c>
      <c r="F5" s="1753">
        <f>E5-C5</f>
        <v>136570</v>
      </c>
    </row>
    <row r="6" spans="1:6" ht="13.7" customHeight="1" x14ac:dyDescent="0.2">
      <c r="A6" s="715" t="s">
        <v>411</v>
      </c>
      <c r="B6" s="1750">
        <f>'Revenues 9-14'!E5</f>
        <v>141451</v>
      </c>
      <c r="C6" s="585"/>
      <c r="D6" s="1753">
        <f t="shared" si="0"/>
        <v>141451</v>
      </c>
      <c r="E6" s="585">
        <f>78964+10611</f>
        <v>89575</v>
      </c>
      <c r="F6" s="1753">
        <f t="shared" ref="F6:F18" si="1">E6-C6</f>
        <v>89575</v>
      </c>
    </row>
    <row r="7" spans="1:6" ht="13.7" customHeight="1" x14ac:dyDescent="0.2">
      <c r="A7" s="715" t="s">
        <v>155</v>
      </c>
      <c r="B7" s="1750">
        <f>'Revenues 9-14'!F5</f>
        <v>79652</v>
      </c>
      <c r="C7" s="585"/>
      <c r="D7" s="1753">
        <f t="shared" si="0"/>
        <v>79652</v>
      </c>
      <c r="E7" s="585">
        <f>72697+9892</f>
        <v>82589</v>
      </c>
      <c r="F7" s="1753">
        <f t="shared" si="1"/>
        <v>82589</v>
      </c>
    </row>
    <row r="8" spans="1:6" ht="13.7" customHeight="1" x14ac:dyDescent="0.2">
      <c r="A8" s="715" t="s">
        <v>1179</v>
      </c>
      <c r="B8" s="1750">
        <f>'Revenues 9-14'!G5</f>
        <v>30180</v>
      </c>
      <c r="C8" s="585"/>
      <c r="D8" s="1753">
        <f t="shared" si="0"/>
        <v>30180</v>
      </c>
      <c r="E8" s="585">
        <f>27891+3747</f>
        <v>31638</v>
      </c>
      <c r="F8" s="1753">
        <f t="shared" si="1"/>
        <v>31638</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2376</v>
      </c>
      <c r="C10" s="585"/>
      <c r="D10" s="1753">
        <f t="shared" si="0"/>
        <v>2376</v>
      </c>
      <c r="E10" s="585">
        <f>17435+2521</f>
        <v>19956</v>
      </c>
      <c r="F10" s="1753">
        <f t="shared" si="1"/>
        <v>19956</v>
      </c>
    </row>
    <row r="11" spans="1:6" x14ac:dyDescent="0.2">
      <c r="A11" s="715" t="s">
        <v>409</v>
      </c>
      <c r="B11" s="1750">
        <f>'Revenues 9-14'!J5</f>
        <v>148257</v>
      </c>
      <c r="C11" s="585"/>
      <c r="D11" s="1753">
        <f t="shared" si="0"/>
        <v>148257</v>
      </c>
      <c r="E11" s="585">
        <f>137009+18411</f>
        <v>155420</v>
      </c>
      <c r="F11" s="1753">
        <f t="shared" si="1"/>
        <v>155420</v>
      </c>
    </row>
    <row r="12" spans="1:6" ht="13.7" customHeight="1" x14ac:dyDescent="0.2">
      <c r="A12" s="715" t="s">
        <v>157</v>
      </c>
      <c r="B12" s="1750">
        <f>'Revenues 9-14'!K5</f>
        <v>21530</v>
      </c>
      <c r="C12" s="585"/>
      <c r="D12" s="1753">
        <f t="shared" si="0"/>
        <v>21530</v>
      </c>
      <c r="E12" s="585">
        <f>19899+2673</f>
        <v>22572</v>
      </c>
      <c r="F12" s="1753">
        <f t="shared" si="1"/>
        <v>22572</v>
      </c>
    </row>
    <row r="13" spans="1:6" ht="13.7" customHeight="1" x14ac:dyDescent="0.2">
      <c r="A13" s="715" t="s">
        <v>936</v>
      </c>
      <c r="B13" s="1750">
        <f>SUM('Revenues 9-14'!C6:D6)</f>
        <v>14375</v>
      </c>
      <c r="C13" s="585"/>
      <c r="D13" s="1753">
        <f t="shared" si="0"/>
        <v>14375</v>
      </c>
      <c r="E13" s="585">
        <f>19899+2673</f>
        <v>22572</v>
      </c>
      <c r="F13" s="1753">
        <f t="shared" si="1"/>
        <v>22572</v>
      </c>
    </row>
    <row r="14" spans="1:6" ht="13.7" customHeight="1" x14ac:dyDescent="0.2">
      <c r="A14" s="715" t="s">
        <v>410</v>
      </c>
      <c r="B14" s="1750">
        <f>SUM('Revenues 9-14'!C7:D7,'Revenues 9-14'!F7:H7)</f>
        <v>16697</v>
      </c>
      <c r="C14" s="585"/>
      <c r="D14" s="1753">
        <f t="shared" si="0"/>
        <v>16697</v>
      </c>
      <c r="E14" s="585">
        <f>13021+1749</f>
        <v>14770</v>
      </c>
      <c r="F14" s="1753">
        <f t="shared" si="1"/>
        <v>14770</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48880</v>
      </c>
      <c r="C16" s="585"/>
      <c r="D16" s="1753">
        <f t="shared" si="0"/>
        <v>48880</v>
      </c>
      <c r="E16" s="585">
        <f>45177+6070</f>
        <v>51247</v>
      </c>
      <c r="F16" s="1753">
        <f t="shared" si="1"/>
        <v>51247</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1337579</v>
      </c>
      <c r="C19" s="1751">
        <f>SUM(C4:C18)</f>
        <v>0</v>
      </c>
      <c r="D19" s="1751">
        <f>SUM(D4:D18)</f>
        <v>1337579</v>
      </c>
      <c r="E19" s="1751">
        <f>SUM(E4:E18)</f>
        <v>1311502</v>
      </c>
      <c r="F19" s="1751">
        <f>SUM(F4:F18)</f>
        <v>1311502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&amp;L&amp;8"These notes are an integral part of these financials"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C11" sqref="C1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42597</v>
      </c>
      <c r="C31" s="734">
        <v>1205000</v>
      </c>
      <c r="D31" s="735">
        <v>3</v>
      </c>
      <c r="E31" s="734">
        <v>1060000</v>
      </c>
      <c r="F31" s="734"/>
      <c r="G31" s="734"/>
      <c r="H31" s="734">
        <v>125000</v>
      </c>
      <c r="I31" s="1756">
        <f>((E31+F31)-H31)+G31</f>
        <v>935000</v>
      </c>
      <c r="J31" s="734">
        <v>11361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1205000</v>
      </c>
      <c r="D49" s="745"/>
      <c r="E49" s="1756">
        <f t="shared" ref="E49:J49" si="2">SUM(E31:E48)</f>
        <v>1060000</v>
      </c>
      <c r="F49" s="1756">
        <f t="shared" si="2"/>
        <v>0</v>
      </c>
      <c r="G49" s="1756">
        <f t="shared" si="2"/>
        <v>0</v>
      </c>
      <c r="H49" s="1756">
        <f t="shared" si="2"/>
        <v>125000</v>
      </c>
      <c r="I49" s="1756">
        <f t="shared" si="2"/>
        <v>935000</v>
      </c>
      <c r="J49" s="1756">
        <f t="shared" si="2"/>
        <v>11361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colorId="8" zoomScaleNormal="11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16697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16697</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0</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16697</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16697</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2076</v>
      </c>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331206</v>
      </c>
      <c r="D5" s="841"/>
      <c r="E5" s="841"/>
      <c r="F5" s="1760">
        <f>(C5+D5)-E5</f>
        <v>331206</v>
      </c>
      <c r="G5" s="837"/>
      <c r="H5" s="842"/>
      <c r="I5" s="842"/>
      <c r="J5" s="842"/>
      <c r="K5" s="793"/>
      <c r="L5" s="1769">
        <f>F5-K5</f>
        <v>331206</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2983251</v>
      </c>
      <c r="D8" s="844"/>
      <c r="E8" s="844"/>
      <c r="F8" s="1760">
        <f>(C8+D8)-E8</f>
        <v>2983251</v>
      </c>
      <c r="G8" s="843">
        <v>50</v>
      </c>
      <c r="H8" s="765">
        <v>1180422</v>
      </c>
      <c r="I8" s="765">
        <v>59665</v>
      </c>
      <c r="J8" s="765"/>
      <c r="K8" s="1769">
        <f>(H8+I8)-J8</f>
        <v>1240087</v>
      </c>
      <c r="L8" s="1769">
        <f>F8-K8</f>
        <v>1743164</v>
      </c>
    </row>
    <row r="9" spans="1:14" ht="14.25" thickTop="1" thickBot="1" x14ac:dyDescent="0.25">
      <c r="A9" s="778" t="s">
        <v>1119</v>
      </c>
      <c r="B9" s="840">
        <v>232</v>
      </c>
      <c r="C9" s="765">
        <v>0</v>
      </c>
      <c r="D9" s="765"/>
      <c r="E9" s="765"/>
      <c r="F9" s="1760">
        <f>(C9+D9)-E9</f>
        <v>0</v>
      </c>
      <c r="G9" s="843">
        <v>20</v>
      </c>
      <c r="H9" s="765"/>
      <c r="I9" s="765"/>
      <c r="J9" s="765"/>
      <c r="K9" s="1769">
        <f>(H9+I9)-J9</f>
        <v>0</v>
      </c>
      <c r="L9" s="1769">
        <f>F9-K9</f>
        <v>0</v>
      </c>
    </row>
    <row r="10" spans="1:14" ht="24" thickTop="1" thickBot="1" x14ac:dyDescent="0.25">
      <c r="A10" s="845" t="s">
        <v>1120</v>
      </c>
      <c r="B10" s="840">
        <v>240</v>
      </c>
      <c r="C10" s="846">
        <v>394306</v>
      </c>
      <c r="D10" s="846"/>
      <c r="E10" s="846"/>
      <c r="F10" s="1764">
        <f>(C10+D10)-E10</f>
        <v>394306</v>
      </c>
      <c r="G10" s="843">
        <v>20</v>
      </c>
      <c r="H10" s="847">
        <v>104092</v>
      </c>
      <c r="I10" s="847">
        <v>19715</v>
      </c>
      <c r="J10" s="847"/>
      <c r="K10" s="1769">
        <f>(H10+I10)-J10</f>
        <v>123807</v>
      </c>
      <c r="L10" s="1769">
        <f>F10-K10</f>
        <v>270499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278977</v>
      </c>
      <c r="D12" s="844"/>
      <c r="E12" s="844"/>
      <c r="F12" s="1760">
        <f>(C12+D12)-E12</f>
        <v>278977</v>
      </c>
      <c r="G12" s="843">
        <v>10</v>
      </c>
      <c r="H12" s="765">
        <v>278977</v>
      </c>
      <c r="I12" s="765"/>
      <c r="J12" s="765"/>
      <c r="K12" s="1769">
        <f>(H12+I12)-J12</f>
        <v>278977</v>
      </c>
      <c r="L12" s="1769">
        <f>F12-K12</f>
        <v>0</v>
      </c>
    </row>
    <row r="13" spans="1:14" ht="14.25" thickTop="1" thickBot="1" x14ac:dyDescent="0.25">
      <c r="A13" s="848" t="s">
        <v>1122</v>
      </c>
      <c r="B13" s="840">
        <v>252</v>
      </c>
      <c r="C13" s="844">
        <v>115753</v>
      </c>
      <c r="D13" s="844">
        <v>4621</v>
      </c>
      <c r="E13" s="844"/>
      <c r="F13" s="1760">
        <f>(C13+D13)-E13</f>
        <v>120374</v>
      </c>
      <c r="G13" s="843">
        <v>5</v>
      </c>
      <c r="H13" s="765">
        <v>62672</v>
      </c>
      <c r="I13" s="765">
        <v>19795</v>
      </c>
      <c r="J13" s="765"/>
      <c r="K13" s="1769">
        <f>(H13+I13)-J13</f>
        <v>82467</v>
      </c>
      <c r="L13" s="1769">
        <f>F13-K13</f>
        <v>37907</v>
      </c>
    </row>
    <row r="14" spans="1:14" ht="14.25" thickTop="1" thickBot="1" x14ac:dyDescent="0.25">
      <c r="A14" s="848" t="s">
        <v>1123</v>
      </c>
      <c r="B14" s="840">
        <v>253</v>
      </c>
      <c r="C14" s="765">
        <v>0</v>
      </c>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4103493</v>
      </c>
      <c r="D16" s="1760">
        <f>SUM(D3,D5:D6,D8:D10,D12:D15)</f>
        <v>4621</v>
      </c>
      <c r="E16" s="1760">
        <f>SUM(E3,E5:E6,E8:E10,E12:E15)</f>
        <v>0</v>
      </c>
      <c r="F16" s="1760">
        <f>SUM(F3,F5:F6,F8:F10,F12:F15)</f>
        <v>4108114</v>
      </c>
      <c r="G16" s="843"/>
      <c r="H16" s="1760">
        <f>SUM(H3,H6,H8:H10,H12:H14,)</f>
        <v>1626163</v>
      </c>
      <c r="I16" s="1760">
        <f>SUM(I3,I6,I8:I10,I12:I14,)</f>
        <v>99175</v>
      </c>
      <c r="J16" s="1760">
        <f>SUM(J3,J6,J8:J10,J12:J14,)</f>
        <v>0</v>
      </c>
      <c r="K16" s="1760">
        <f>(H16+I16)-J16</f>
        <v>1725338</v>
      </c>
      <c r="L16" s="1760">
        <f>F16-K16</f>
        <v>2382776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99175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129" colorId="8" zoomScale="110" zoomScaleNormal="110" workbookViewId="0">
      <selection activeCell="F76" sqref="F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1781292</v>
      </c>
      <c r="G8" s="865"/>
    </row>
    <row r="9" spans="1:7" x14ac:dyDescent="0.2">
      <c r="A9" s="869" t="s">
        <v>460</v>
      </c>
      <c r="B9" s="870" t="s">
        <v>1877</v>
      </c>
      <c r="C9" s="871"/>
      <c r="D9" s="869" t="s">
        <v>501</v>
      </c>
      <c r="E9" s="868"/>
      <c r="F9" s="1909">
        <f>'Expenditures 15-22'!K151</f>
        <v>121316</v>
      </c>
      <c r="G9" s="872"/>
    </row>
    <row r="10" spans="1:7" x14ac:dyDescent="0.2">
      <c r="A10" s="869" t="s">
        <v>499</v>
      </c>
      <c r="B10" s="870" t="s">
        <v>1878</v>
      </c>
      <c r="C10" s="871"/>
      <c r="D10" s="869" t="s">
        <v>501</v>
      </c>
      <c r="E10" s="868"/>
      <c r="F10" s="1909">
        <f>'Expenditures 15-22'!K174</f>
        <v>145379</v>
      </c>
      <c r="G10" s="872"/>
    </row>
    <row r="11" spans="1:7" x14ac:dyDescent="0.2">
      <c r="A11" s="869" t="s">
        <v>461</v>
      </c>
      <c r="B11" s="870" t="s">
        <v>1879</v>
      </c>
      <c r="C11" s="871"/>
      <c r="D11" s="869" t="s">
        <v>501</v>
      </c>
      <c r="E11" s="868"/>
      <c r="F11" s="1909">
        <f>'Expenditures 15-22'!K210</f>
        <v>119398</v>
      </c>
      <c r="G11" s="872"/>
    </row>
    <row r="12" spans="1:7" x14ac:dyDescent="0.2">
      <c r="A12" s="869" t="s">
        <v>462</v>
      </c>
      <c r="B12" s="870" t="s">
        <v>1880</v>
      </c>
      <c r="C12" s="871"/>
      <c r="D12" s="869" t="s">
        <v>501</v>
      </c>
      <c r="E12" s="868"/>
      <c r="F12" s="1909">
        <f>'Expenditures 15-22'!K295</f>
        <v>72888</v>
      </c>
      <c r="G12" s="872"/>
    </row>
    <row r="13" spans="1:7" x14ac:dyDescent="0.2">
      <c r="A13" s="869" t="s">
        <v>106</v>
      </c>
      <c r="B13" s="870" t="s">
        <v>1881</v>
      </c>
      <c r="C13" s="871"/>
      <c r="D13" s="869" t="s">
        <v>501</v>
      </c>
      <c r="E13" s="868"/>
      <c r="F13" s="1909">
        <f>'Expenditures 15-22'!K342</f>
        <v>117411</v>
      </c>
      <c r="G13" s="873"/>
    </row>
    <row r="14" spans="1:7" ht="12" customHeight="1" thickBot="1" x14ac:dyDescent="0.25">
      <c r="A14" s="1770"/>
      <c r="B14" s="1771"/>
      <c r="C14" s="1772"/>
      <c r="D14" s="1773" t="s">
        <v>501</v>
      </c>
      <c r="E14" s="1774" t="s">
        <v>958</v>
      </c>
      <c r="F14" s="1775">
        <f>SUM(F8:F13)</f>
        <v>2357684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93434</v>
      </c>
      <c r="G52" s="865"/>
    </row>
    <row r="53" spans="1:7" x14ac:dyDescent="0.2">
      <c r="A53" s="869" t="s">
        <v>459</v>
      </c>
      <c r="B53" s="869" t="s">
        <v>1475</v>
      </c>
      <c r="C53" s="889">
        <f>'Expenditures 15-22'!B102</f>
        <v>4000</v>
      </c>
      <c r="D53" s="888" t="str">
        <f>'Expenditures 15-22'!A102</f>
        <v>Total Payments to Other Govt Units</v>
      </c>
      <c r="E53" s="868"/>
      <c r="F53" s="1913">
        <f>'Expenditures 15-22'!K102</f>
        <v>36560</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125000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10120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4840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269954</v>
      </c>
      <c r="G76" s="865"/>
    </row>
    <row r="77" spans="1:8" s="893" customFormat="1" ht="12" customHeight="1" thickTop="1" thickBot="1" x14ac:dyDescent="0.25">
      <c r="A77" s="1779"/>
      <c r="B77" s="1776"/>
      <c r="C77" s="1772"/>
      <c r="D77" s="1777" t="s">
        <v>1900</v>
      </c>
      <c r="E77" s="1774"/>
      <c r="F77" s="1780">
        <f>(F14-F76)</f>
        <v>2087730</v>
      </c>
      <c r="G77" s="869"/>
    </row>
    <row r="78" spans="1:8" s="893" customFormat="1" ht="12" customHeight="1" thickTop="1" x14ac:dyDescent="0.2">
      <c r="A78" s="1781"/>
      <c r="B78" s="1776"/>
      <c r="C78" s="1772"/>
      <c r="D78" s="1777" t="s">
        <v>2062</v>
      </c>
      <c r="E78" s="1774"/>
      <c r="F78" s="898">
        <v>196.88</v>
      </c>
      <c r="G78" s="899"/>
      <c r="H78" s="869"/>
    </row>
    <row r="79" spans="1:8" s="893" customFormat="1" ht="12" customHeight="1" thickBot="1" x14ac:dyDescent="0.25">
      <c r="A79" s="1782"/>
      <c r="B79" s="1776"/>
      <c r="C79" s="1772"/>
      <c r="D79" s="1777" t="s">
        <v>1901</v>
      </c>
      <c r="E79" s="1774" t="s">
        <v>958</v>
      </c>
      <c r="F79" s="1783">
        <f>IF(F78&gt;0,F77/F78," Complete Line 78")</f>
        <v>10604.073547338481</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36754</v>
      </c>
      <c r="G94" s="912"/>
    </row>
    <row r="95" spans="1:7" x14ac:dyDescent="0.2">
      <c r="A95" s="908" t="s">
        <v>140</v>
      </c>
      <c r="B95" s="908" t="s">
        <v>175</v>
      </c>
      <c r="C95" s="910">
        <v>1700</v>
      </c>
      <c r="D95" s="918" t="str">
        <f>'Revenues 9-14'!A82</f>
        <v>Total District/School Activity Income</v>
      </c>
      <c r="E95" s="906"/>
      <c r="F95" s="1789">
        <f>SUM('Revenues 9-14'!C82,'Revenues 9-14'!D82)</f>
        <v>18975</v>
      </c>
      <c r="G95" s="912"/>
    </row>
    <row r="96" spans="1:7" x14ac:dyDescent="0.2">
      <c r="A96" s="908" t="s">
        <v>459</v>
      </c>
      <c r="B96" s="908" t="s">
        <v>176</v>
      </c>
      <c r="C96" s="910">
        <f>'Revenues 9-14'!B84</f>
        <v>1811</v>
      </c>
      <c r="D96" s="911" t="str">
        <f>'Revenues 9-14'!A84</f>
        <v>Rentals - Regular Textbooks</v>
      </c>
      <c r="E96" s="906"/>
      <c r="F96" s="1789">
        <f>'Revenues 9-14'!C84</f>
        <v>7125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125272</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584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41923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45652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97666</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11592</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9517</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4255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13540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13899</v>
      </c>
      <c r="G170" s="927"/>
    </row>
    <row r="171" spans="1:7" x14ac:dyDescent="0.2">
      <c r="A171" s="1918" t="s">
        <v>5</v>
      </c>
      <c r="B171" s="1919" t="s">
        <v>1920</v>
      </c>
      <c r="C171" s="1920">
        <v>3100</v>
      </c>
      <c r="D171" s="1921" t="s">
        <v>1922</v>
      </c>
      <c r="E171" s="906"/>
      <c r="F171" s="1906">
        <v>68775</v>
      </c>
      <c r="G171" s="927"/>
    </row>
    <row r="172" spans="1:7" x14ac:dyDescent="0.2">
      <c r="A172" s="1918" t="s">
        <v>664</v>
      </c>
      <c r="B172" s="1919" t="s">
        <v>1920</v>
      </c>
      <c r="C172" s="1920">
        <v>3300</v>
      </c>
      <c r="D172" s="1921" t="s">
        <v>1923</v>
      </c>
      <c r="E172" s="906"/>
      <c r="F172" s="1906">
        <v>2</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497331</v>
      </c>
    </row>
    <row r="175" spans="1:7" ht="12" customHeight="1" x14ac:dyDescent="0.2">
      <c r="A175" s="1770"/>
      <c r="B175" s="1784"/>
      <c r="C175" s="1785"/>
      <c r="D175" s="1786" t="s">
        <v>2057</v>
      </c>
      <c r="E175" s="1787"/>
      <c r="F175" s="1789">
        <f>'PCTC-OEPP 27-28'!F77-F174</f>
        <v>1590399</v>
      </c>
    </row>
    <row r="176" spans="1:7" ht="12" customHeight="1" x14ac:dyDescent="0.2">
      <c r="A176" s="1770"/>
      <c r="B176" s="1784"/>
      <c r="C176" s="1785"/>
      <c r="D176" s="1786" t="s">
        <v>1817</v>
      </c>
      <c r="E176" s="1787"/>
      <c r="F176" s="1789">
        <f>'Cap Outlay Deprec 26'!I18</f>
        <v>99175</v>
      </c>
    </row>
    <row r="177" spans="1:7" ht="12" customHeight="1" x14ac:dyDescent="0.2">
      <c r="A177" s="1770"/>
      <c r="B177" s="1784"/>
      <c r="C177" s="1785"/>
      <c r="D177" s="1786" t="s">
        <v>2058</v>
      </c>
      <c r="E177" s="1787"/>
      <c r="F177" s="1789">
        <f>F175+F176</f>
        <v>1689574</v>
      </c>
    </row>
    <row r="178" spans="1:7" ht="12" customHeight="1" x14ac:dyDescent="0.2">
      <c r="A178" s="1770"/>
      <c r="B178" s="1790"/>
      <c r="C178" s="1785"/>
      <c r="D178" s="1786" t="str">
        <f>D78</f>
        <v>9 Month ADA from District Average Daily Attendance/Prior General State Aid Inquiry 2018-2019</v>
      </c>
      <c r="E178" s="1787"/>
      <c r="F178" s="1791">
        <f>'PCTC-OEPP 27-28'!F78</f>
        <v>196.88</v>
      </c>
      <c r="G178" s="930"/>
    </row>
    <row r="179" spans="1:7" ht="12" customHeight="1" thickBot="1" x14ac:dyDescent="0.25">
      <c r="A179" s="1770"/>
      <c r="B179" s="1790"/>
      <c r="C179" s="1785"/>
      <c r="D179" s="1786" t="s">
        <v>2059</v>
      </c>
      <c r="E179" s="1787" t="s">
        <v>1545</v>
      </c>
      <c r="F179" s="1792">
        <f>F177/F178</f>
        <v>8581.7452255180815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2084</v>
      </c>
      <c r="B17" s="2485" t="s">
        <v>2087</v>
      </c>
      <c r="C17" s="1938" t="s">
        <v>2085</v>
      </c>
      <c r="D17" s="1844">
        <v>13849</v>
      </c>
      <c r="E17" s="1540">
        <f t="shared" ref="E17:E141" si="0">IF(D17&lt;=25000,D17,IF(D17&gt;25000,25000,0))</f>
        <v>13849</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13849</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13849</v>
      </c>
      <c r="E141" s="1541">
        <f t="shared" si="0"/>
        <v>13849</v>
      </c>
      <c r="F141" s="1933">
        <f>SUM(F17:F140)</f>
        <v>13849</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99987</v>
      </c>
      <c r="F8" s="974"/>
      <c r="G8" s="975"/>
      <c r="H8" s="162"/>
      <c r="I8" s="162"/>
    </row>
    <row r="9" spans="1:9" s="668" customFormat="1" ht="12" customHeight="1" x14ac:dyDescent="0.2">
      <c r="A9" s="970" t="s">
        <v>130</v>
      </c>
      <c r="B9" s="971"/>
      <c r="C9" s="971"/>
      <c r="D9" s="972"/>
      <c r="E9" s="973">
        <v>75657</v>
      </c>
      <c r="F9" s="974"/>
      <c r="G9" s="975"/>
      <c r="H9" s="162"/>
      <c r="I9" s="162"/>
    </row>
    <row r="10" spans="1:9" s="668" customFormat="1" ht="12" customHeight="1" x14ac:dyDescent="0.2">
      <c r="A10" s="970" t="s">
        <v>1933</v>
      </c>
      <c r="B10" s="971"/>
      <c r="C10" s="976"/>
      <c r="D10" s="972"/>
      <c r="E10" s="973">
        <v>29120</v>
      </c>
      <c r="F10" s="974"/>
      <c r="G10" s="975"/>
      <c r="H10" s="162"/>
      <c r="I10" s="162"/>
    </row>
    <row r="11" spans="1:9" s="668" customFormat="1" ht="22.5" customHeight="1" x14ac:dyDescent="0.2">
      <c r="A11" s="2285" t="s">
        <v>1977</v>
      </c>
      <c r="B11" s="2286"/>
      <c r="C11" s="2286"/>
      <c r="D11" s="2287"/>
      <c r="E11" s="977">
        <v>6231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1206463</v>
      </c>
      <c r="F19" s="1799"/>
      <c r="G19" s="1801">
        <f>'Expenditures 15-22'!K33-SUM('Expenditures 15-22'!G33,'Expenditures 15-22'!I33)+'Expenditures 15-22'!D229</f>
        <v>1206463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40790</v>
      </c>
      <c r="F21" s="1802"/>
      <c r="G21" s="1805">
        <f>'Expenditures 15-22'!K42-SUM('Expenditures 15-22'!G42,'Expenditures 15-22'!I42)+'Expenditures 15-22'!K120-SUM('Expenditures 15-22'!G120,'Expenditures 15-22'!I120)+'Expenditures 15-22'!K180-SUM('Expenditures 15-22'!G180,'Expenditures 15-22'!I180)+'Expenditures 15-22'!D238</f>
        <v>40790</v>
      </c>
      <c r="H21" s="987"/>
      <c r="I21" s="162"/>
    </row>
    <row r="22" spans="1:9" s="668" customFormat="1" ht="12" customHeight="1" x14ac:dyDescent="0.2">
      <c r="A22" s="994" t="s">
        <v>564</v>
      </c>
      <c r="B22" s="995"/>
      <c r="C22" s="993">
        <v>2200</v>
      </c>
      <c r="D22" s="1802"/>
      <c r="E22" s="1804">
        <f>'Expenditures 15-22'!K47-SUM('Expenditures 15-22'!G47,'Expenditures 15-22'!I47)+'Expenditures 15-22'!D243</f>
        <v>25328</v>
      </c>
      <c r="F22" s="1802"/>
      <c r="G22" s="1805">
        <f>'Expenditures 15-22'!K47-SUM('Expenditures 15-22'!G47,'Expenditures 15-22'!I47)+'Expenditures 15-22'!D243</f>
        <v>25328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189342</v>
      </c>
      <c r="F23" s="1802"/>
      <c r="G23" s="1804">
        <f>'Expenditures 15-22'!K53-SUM('Expenditures 15-22'!G53,'Expenditures 15-22'!I53)+'Expenditures 15-22'!D257+'Expenditures 15-22'!K330-SUM('Expenditures 15-22'!G330,'Expenditures 15-22'!I330)</f>
        <v>189342</v>
      </c>
      <c r="H23" s="987"/>
      <c r="I23" s="162"/>
    </row>
    <row r="24" spans="1:9" s="668" customFormat="1" ht="12" customHeight="1" x14ac:dyDescent="0.2">
      <c r="A24" s="994" t="s">
        <v>566</v>
      </c>
      <c r="B24" s="995"/>
      <c r="C24" s="993">
        <v>2400</v>
      </c>
      <c r="D24" s="1802"/>
      <c r="E24" s="1804">
        <f>'Expenditures 15-22'!K57-SUM('Expenditures 15-22'!G57,'Expenditures 15-22'!I57)+'Expenditures 15-22'!D261</f>
        <v>64366</v>
      </c>
      <c r="F24" s="1802"/>
      <c r="G24" s="1805">
        <f>'Expenditures 15-22'!K57-SUM('Expenditures 15-22'!G57,'Expenditures 15-22'!I57)+'Expenditures 15-22'!D261</f>
        <v>64366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20228</v>
      </c>
      <c r="E27" s="1804">
        <f>E8</f>
        <v>99987</v>
      </c>
      <c r="F27" s="1804">
        <f>'Expenditures 15-22'!K60-SUM('Expenditures 15-22'!G60,'Expenditures 15-22'!I60)+'Expenditures 15-22'!D264-E8</f>
        <v>20228</v>
      </c>
      <c r="G27" s="1805">
        <f>E8</f>
        <v>99987</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194540</v>
      </c>
      <c r="F28" s="1806">
        <f>'Expenditures 15-22'!K61-SUM('Expenditures 15-22'!G61,'Expenditures 15-22'!I61)+'Expenditures 15-22'!K124-SUM('Expenditures 15-22'!G124,'Expenditures 15-22'!I124)+'Expenditures 15-22'!D266-E9</f>
        <v>118883</v>
      </c>
      <c r="G28" s="1805">
        <f>E9</f>
        <v>75657</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119398</v>
      </c>
      <c r="F29" s="1802"/>
      <c r="G29" s="1805">
        <f>'Expenditures 15-22'!K62-SUM('Expenditures 15-22'!G62,'Expenditures 15-22'!I62)+'Expenditures 15-22'!K125-SUM('Expenditures 15-22'!G125,'Expenditures 15-22'!I125)+'Expenditures 15-22'!K182-SUM('Expenditures 15-22'!G182,'Expenditures 15-22'!I182)+'Expenditures 15-22'!D267</f>
        <v>119398</v>
      </c>
      <c r="H29" s="985"/>
    </row>
    <row r="30" spans="1:9" ht="12" customHeight="1" x14ac:dyDescent="0.2">
      <c r="A30" s="994" t="s">
        <v>100</v>
      </c>
      <c r="B30" s="997"/>
      <c r="C30" s="993">
        <v>2560</v>
      </c>
      <c r="D30" s="1802"/>
      <c r="E30" s="1804">
        <f>'Expenditures 15-22'!K63-SUM('Expenditures 15-22'!G63,'Expenditures 15-22'!I63)+'Expenditures 15-22'!D268-E10</f>
        <v>52577</v>
      </c>
      <c r="F30" s="1802"/>
      <c r="G30" s="1804">
        <f>'Expenditures 15-22'!K63-SUM('Expenditures 15-22'!G63,'Expenditures 15-22'!I63)+'Expenditures 15-22'!D268-E10</f>
        <v>52577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24658</v>
      </c>
      <c r="E37" s="1804">
        <f>E14</f>
        <v>0</v>
      </c>
      <c r="F37" s="1804">
        <f>'Expenditures 15-22'!K71-SUM('Expenditures 15-22'!G71,'Expenditures 15-22'!I71)+'Expenditures 15-22'!D276-E14</f>
        <v>24658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554</v>
      </c>
      <c r="F38" s="1802"/>
      <c r="G38" s="1804">
        <f>'Expenditures 15-22'!K73-SUM('Expenditures 15-22'!G73,'Expenditures 15-22'!I73)+'Expenditures 15-22'!K128-SUM('Expenditures 15-22'!G128,'Expenditures 15-22'!I128)+'Expenditures 15-22'!K183-SUM('Expenditures 15-22'!G183,'Expenditures 15-22'!I183)+'Expenditures 15-22'!D278</f>
        <v>554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103554</v>
      </c>
      <c r="F39" s="1802"/>
      <c r="G39" s="1804">
        <f>'Expenditures 15-22'!K75-SUM('Expenditures 15-22'!G75,'Expenditures 15-22'!I75)+'Expenditures 15-22'!K130-SUM('Expenditures 15-22'!G130,'Expenditures 15-22'!I130)+'Expenditures 15-22'!K185-SUM('Expenditures 15-22'!G185,'Expenditures 15-22'!I185)+'Expenditures 15-22'!D280</f>
        <v>103554</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44886</v>
      </c>
      <c r="E41" s="1806">
        <f>SUM(E19:E40)</f>
        <v>2096899</v>
      </c>
      <c r="F41" s="1806">
        <f>SUM(F19:F39)</f>
        <v>163769</v>
      </c>
      <c r="G41" s="1806">
        <f>SUM(G19:G40)</f>
        <v>1978016</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44886</v>
      </c>
      <c r="F43" s="1807" t="s">
        <v>473</v>
      </c>
      <c r="G43" s="1808">
        <f>F41</f>
        <v>163769</v>
      </c>
    </row>
    <row r="44" spans="1:7" ht="12" customHeight="1" x14ac:dyDescent="0.2">
      <c r="A44" s="987"/>
      <c r="B44" s="162"/>
      <c r="C44" s="1001"/>
      <c r="D44" s="1807" t="s">
        <v>474</v>
      </c>
      <c r="E44" s="1808">
        <f>E41</f>
        <v>2096899</v>
      </c>
      <c r="F44" s="1807" t="s">
        <v>474</v>
      </c>
      <c r="G44" s="1808">
        <f>G41</f>
        <v>1978016</v>
      </c>
    </row>
    <row r="45" spans="1:7" ht="12" customHeight="1" x14ac:dyDescent="0.2">
      <c r="A45" s="987"/>
      <c r="B45" s="162"/>
      <c r="C45" s="162"/>
      <c r="D45" s="1809" t="s">
        <v>1006</v>
      </c>
      <c r="E45" s="1810">
        <f>(E43/E44)</f>
        <v>2.1405895086029417E-2</v>
      </c>
      <c r="F45" s="1809" t="s">
        <v>1006</v>
      </c>
      <c r="G45" s="1810">
        <f>(G43/G44)</f>
        <v>8.2794578001391297E-2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selection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Giant City CCSD 130</v>
      </c>
      <c r="D6" s="2306"/>
      <c r="E6" s="2306"/>
      <c r="F6" s="1852"/>
    </row>
    <row r="7" spans="1:10" ht="11.25" customHeight="1" thickBot="1" x14ac:dyDescent="0.3">
      <c r="A7" s="1850"/>
      <c r="B7" s="1851"/>
      <c r="C7" s="2307">
        <f>COVER!A13</f>
        <v>30039130004</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2076</v>
      </c>
      <c r="D26" s="1865" t="s">
        <v>2076</v>
      </c>
      <c r="E26" s="1868" t="s">
        <v>2076</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Giant City CCSD 130</v>
      </c>
      <c r="J6" s="2316"/>
      <c r="Q6" s="1664"/>
    </row>
    <row r="7" spans="1:17" x14ac:dyDescent="0.2">
      <c r="A7" s="2317" t="s">
        <v>869</v>
      </c>
      <c r="B7" s="2318"/>
      <c r="C7" s="2318"/>
      <c r="D7" s="2318"/>
      <c r="E7" s="2319"/>
      <c r="F7" s="1017"/>
      <c r="G7" s="1009"/>
      <c r="H7" s="1016" t="s">
        <v>372</v>
      </c>
      <c r="I7" s="2320">
        <f>COVER!A13</f>
        <v>30039130004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71345</v>
      </c>
      <c r="F12" s="1039"/>
      <c r="G12" s="1811">
        <f t="shared" ref="G12:G18" si="0">SUM(E12:F12)</f>
        <v>71345</v>
      </c>
      <c r="H12" s="1040">
        <v>50848</v>
      </c>
      <c r="I12" s="1039"/>
      <c r="J12" s="1811">
        <f t="shared" ref="J12:J18" si="1">SUM(H12:I12)</f>
        <v>50848</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c r="F18" s="1043"/>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71345</v>
      </c>
      <c r="F19" s="1813">
        <f t="shared" si="2"/>
        <v>0</v>
      </c>
      <c r="G19" s="1813">
        <f t="shared" si="2"/>
        <v>71345</v>
      </c>
      <c r="H19" s="1813">
        <f t="shared" si="2"/>
        <v>50848</v>
      </c>
      <c r="I19" s="1813">
        <f t="shared" si="2"/>
        <v>0</v>
      </c>
      <c r="J19" s="1813">
        <f t="shared" si="2"/>
        <v>50848</v>
      </c>
    </row>
    <row r="20" spans="1:10" ht="13.5" thickTop="1" x14ac:dyDescent="0.2">
      <c r="A20" s="1035">
        <v>9</v>
      </c>
      <c r="B20" s="2327" t="s">
        <v>1981</v>
      </c>
      <c r="C20" s="2327"/>
      <c r="D20" s="2328"/>
      <c r="E20" s="1046"/>
      <c r="F20" s="1046"/>
      <c r="G20" s="1046"/>
      <c r="H20" s="1046"/>
      <c r="I20" s="1046"/>
      <c r="J20" s="1814">
        <f>IF(AND(G19&gt;0,J19&gt;0),(((J19-G19)/G19)),"Enter Budget Data")</f>
        <v>-0.28729413413694022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view="pageLayout" zoomScaleNormal="110" workbookViewId="0">
      <selection activeCell="B60" sqref="B6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Giant City CCSD 130</v>
      </c>
    </row>
    <row r="65" spans="2:2" x14ac:dyDescent="0.2">
      <c r="B65" s="1070">
        <f>COVER!A13</f>
        <v>30039130004</v>
      </c>
    </row>
    <row r="66" spans="2:2" x14ac:dyDescent="0.2">
      <c r="B66" s="329" t="s">
        <v>2083</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zoomScalePageLayoutView="125" workbookViewId="0">
      <selection activeCell="B84" sqref="B8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&amp;L"These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53" sqref="C52: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Layout" zoomScaleNormal="110" workbookViewId="0">
      <selection activeCell="B42" sqref="B4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38100</xdr:colOff>
                <xdr:row>0</xdr:row>
                <xdr:rowOff>0</xdr:rowOff>
              </from>
              <to>
                <xdr:col>1</xdr:col>
                <xdr:colOff>819150</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1784443</v>
      </c>
      <c r="C8" s="1815">
        <f>'Acct Summary 7-8'!D8</f>
        <v>147203</v>
      </c>
      <c r="D8" s="1815">
        <f>'Acct Summary 7-8'!F8</f>
        <v>124669</v>
      </c>
      <c r="E8" s="1815">
        <f>'Acct Summary 7-8'!I8</f>
        <v>3292</v>
      </c>
      <c r="F8" s="1815">
        <f>SUM(B8:E8)</f>
        <v>2059607</v>
      </c>
    </row>
    <row r="9" spans="1:8" s="1079" customFormat="1" ht="14.25" customHeight="1" thickBot="1" x14ac:dyDescent="0.25">
      <c r="A9" s="1078" t="s">
        <v>1369</v>
      </c>
      <c r="B9" s="1816">
        <f>'Acct Summary 7-8'!C17</f>
        <v>1781292</v>
      </c>
      <c r="C9" s="1816">
        <f>'Acct Summary 7-8'!D17</f>
        <v>121316</v>
      </c>
      <c r="D9" s="1816">
        <f>'Acct Summary 7-8'!F17</f>
        <v>119398</v>
      </c>
      <c r="E9" s="1815"/>
      <c r="F9" s="1815">
        <f>SUM(B9:E9)</f>
        <v>2022006</v>
      </c>
    </row>
    <row r="10" spans="1:8" s="1079" customFormat="1" ht="14.25" thickTop="1" thickBot="1" x14ac:dyDescent="0.25">
      <c r="A10" s="1080" t="s">
        <v>1370</v>
      </c>
      <c r="B10" s="1817">
        <f>(B8-B9)</f>
        <v>3151</v>
      </c>
      <c r="C10" s="1817">
        <f>(C8-C9)</f>
        <v>25887</v>
      </c>
      <c r="D10" s="1817">
        <f>(D8-D9)</f>
        <v>5271</v>
      </c>
      <c r="E10" s="1816">
        <f>(E8-E9)</f>
        <v>3292</v>
      </c>
      <c r="F10" s="1818">
        <f>SUM(F8-F9)</f>
        <v>37601</v>
      </c>
    </row>
    <row r="11" spans="1:8" s="1079" customFormat="1" ht="14.25" thickTop="1" thickBot="1" x14ac:dyDescent="0.25">
      <c r="A11" s="1081" t="s">
        <v>1985</v>
      </c>
      <c r="B11" s="1819">
        <f>'Acct Summary 7-8'!C81</f>
        <v>707368</v>
      </c>
      <c r="C11" s="1819">
        <f>'Acct Summary 7-8'!D81</f>
        <v>240451</v>
      </c>
      <c r="D11" s="1819">
        <f>'Acct Summary 7-8'!F81</f>
        <v>83254</v>
      </c>
      <c r="E11" s="1819">
        <f>'Acct Summary 7-8'!I81</f>
        <v>101726</v>
      </c>
      <c r="F11" s="1820">
        <f>SUM(B11:E11)</f>
        <v>1132799</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C44" sqref="C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30039130004</v>
      </c>
    </row>
    <row r="3" spans="1:2" x14ac:dyDescent="0.2">
      <c r="A3" t="s">
        <v>956</v>
      </c>
      <c r="B3" s="138" t="str">
        <f>COVER!A15</f>
        <v>Jackson/Williamson</v>
      </c>
    </row>
    <row r="4" spans="1:2" x14ac:dyDescent="0.2">
      <c r="A4" t="s">
        <v>1007</v>
      </c>
      <c r="B4" s="138" t="str">
        <f>COVER!A17</f>
        <v>Giant City CCSD 130</v>
      </c>
    </row>
    <row r="5" spans="1:2" x14ac:dyDescent="0.2">
      <c r="A5" t="s">
        <v>704</v>
      </c>
      <c r="B5" s="138" t="str">
        <f>COVER!A38</f>
        <v>Ms. Belinda Hill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309 S. Walnut Street</v>
      </c>
    </row>
    <row r="19" spans="1:2" x14ac:dyDescent="0.2">
      <c r="A19" t="s">
        <v>886</v>
      </c>
      <c r="B19" s="138" t="str">
        <f>COVER!T25</f>
        <v>kbatteau@kandb-cpa.com</v>
      </c>
    </row>
    <row r="20" spans="1:2" x14ac:dyDescent="0.2">
      <c r="A20" t="s">
        <v>887</v>
      </c>
      <c r="B20" s="138" t="str">
        <f>COVER!T19</f>
        <v>Pinckneyville</v>
      </c>
    </row>
    <row r="21" spans="1:2" x14ac:dyDescent="0.2">
      <c r="A21" t="s">
        <v>479</v>
      </c>
      <c r="B21" s="138" t="str">
        <f>COVER!X19</f>
        <v>IL</v>
      </c>
    </row>
    <row r="22" spans="1:2" x14ac:dyDescent="0.2">
      <c r="A22" t="s">
        <v>888</v>
      </c>
      <c r="B22" s="138">
        <f>COVER!Z19</f>
        <v>62274</v>
      </c>
    </row>
    <row r="23" spans="1:2" x14ac:dyDescent="0.2">
      <c r="A23" t="s">
        <v>1152</v>
      </c>
      <c r="B23" s="138" t="str">
        <f>COVER!T21</f>
        <v>618-357-3000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720501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13133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13133</v>
      </c>
      <c r="C91" s="2" t="s">
        <v>573</v>
      </c>
      <c r="D91" s="2" t="str">
        <f t="shared" si="0"/>
        <v>Error?</v>
      </c>
    </row>
    <row r="92" spans="1:4" x14ac:dyDescent="0.2">
      <c r="A92" s="5">
        <v>31</v>
      </c>
      <c r="B92" s="138">
        <f>'Assets-Liab 5-6'!C39</f>
        <v>707368</v>
      </c>
      <c r="D92" s="2" t="str">
        <f t="shared" si="0"/>
        <v>Error?</v>
      </c>
    </row>
    <row r="93" spans="1:4" x14ac:dyDescent="0.2">
      <c r="A93" s="5">
        <v>32</v>
      </c>
      <c r="B93" s="138">
        <f>'Assets-Liab 5-6'!C41</f>
        <v>720501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240451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240451</v>
      </c>
      <c r="D123" s="2" t="str">
        <f t="shared" si="0"/>
        <v>Error?</v>
      </c>
    </row>
    <row r="124" spans="1:4" x14ac:dyDescent="0.2">
      <c r="A124" s="5">
        <v>63</v>
      </c>
      <c r="B124" s="138">
        <f>'Assets-Liab 5-6'!D41</f>
        <v>240451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11360</v>
      </c>
      <c r="D140" s="2" t="str">
        <f t="shared" si="1"/>
        <v>Error?</v>
      </c>
    </row>
    <row r="141" spans="1:4" x14ac:dyDescent="0.2">
      <c r="A141" s="5">
        <v>80</v>
      </c>
      <c r="B141" s="138">
        <f>'Assets-Liab 5-6'!E41</f>
        <v>11360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85854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2600</v>
      </c>
      <c r="C169" s="2" t="s">
        <v>573</v>
      </c>
      <c r="D169" s="2" t="str">
        <f t="shared" si="1"/>
        <v>Error?</v>
      </c>
    </row>
    <row r="170" spans="1:4" x14ac:dyDescent="0.2">
      <c r="A170" s="5">
        <v>109</v>
      </c>
      <c r="B170" s="138">
        <f>'Assets-Liab 5-6'!F39</f>
        <v>83254</v>
      </c>
      <c r="D170" s="2" t="str">
        <f t="shared" si="1"/>
        <v>Error?</v>
      </c>
    </row>
    <row r="171" spans="1:4" x14ac:dyDescent="0.2">
      <c r="A171" s="5">
        <v>110</v>
      </c>
      <c r="B171" s="138">
        <f>'Assets-Liab 5-6'!F41</f>
        <v>85854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137386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137386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237304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237304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331206</v>
      </c>
      <c r="D273" s="2" t="str">
        <f t="shared" si="3"/>
        <v>Error?</v>
      </c>
    </row>
    <row r="274" spans="1:4" x14ac:dyDescent="0.2">
      <c r="A274" s="5">
        <v>213</v>
      </c>
      <c r="B274" s="138">
        <f>'Assets-Liab 5-6'!M17</f>
        <v>1743164</v>
      </c>
      <c r="D274" s="2" t="str">
        <f t="shared" si="3"/>
        <v>Error?</v>
      </c>
    </row>
    <row r="275" spans="1:4" x14ac:dyDescent="0.2">
      <c r="A275" s="5">
        <v>214</v>
      </c>
      <c r="B275" s="138">
        <f>'Assets-Liab 5-6'!M18</f>
        <v>270498</v>
      </c>
      <c r="D275" s="2" t="str">
        <f t="shared" si="3"/>
        <v>Error?</v>
      </c>
    </row>
    <row r="276" spans="1:4" x14ac:dyDescent="0.2">
      <c r="A276" s="5">
        <v>215</v>
      </c>
      <c r="B276" s="138">
        <f>'Assets-Liab 5-6'!M19</f>
        <v>37908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2382776</v>
      </c>
      <c r="C279" s="2" t="s">
        <v>573</v>
      </c>
      <c r="D279" s="2" t="str">
        <f t="shared" si="3"/>
        <v>Error?</v>
      </c>
    </row>
    <row r="280" spans="1:4" x14ac:dyDescent="0.2">
      <c r="A280" s="5">
        <v>219</v>
      </c>
      <c r="B280" s="138">
        <f>'Assets-Liab 5-6'!M40</f>
        <v>2382776</v>
      </c>
      <c r="D280" s="2" t="str">
        <f t="shared" si="3"/>
        <v>Error?</v>
      </c>
    </row>
    <row r="281" spans="1:4" x14ac:dyDescent="0.2">
      <c r="A281" s="5">
        <v>220</v>
      </c>
      <c r="B281" s="138">
        <f>'Assets-Liab 5-6'!M41</f>
        <v>2382776</v>
      </c>
      <c r="C281" s="2" t="s">
        <v>573</v>
      </c>
      <c r="D281" s="2" t="str">
        <f t="shared" si="3"/>
        <v>Error?</v>
      </c>
    </row>
    <row r="282" spans="1:4" x14ac:dyDescent="0.2">
      <c r="A282" s="5">
        <v>221</v>
      </c>
      <c r="B282" s="138">
        <f>'Assets-Liab 5-6'!N21</f>
        <v>923639</v>
      </c>
      <c r="D282" s="2" t="str">
        <f t="shared" si="3"/>
        <v>Error?</v>
      </c>
    </row>
    <row r="283" spans="1:4" x14ac:dyDescent="0.2">
      <c r="A283" s="5">
        <v>222</v>
      </c>
      <c r="B283" s="138">
        <f>'Assets-Liab 5-6'!N22</f>
        <v>11361</v>
      </c>
      <c r="D283" s="2" t="str">
        <f t="shared" si="3"/>
        <v>Error?</v>
      </c>
    </row>
    <row r="284" spans="1:4" x14ac:dyDescent="0.2">
      <c r="A284" s="5">
        <v>223</v>
      </c>
      <c r="B284" s="138">
        <f>'Assets-Liab 5-6'!N23</f>
        <v>935000</v>
      </c>
      <c r="C284" s="2" t="s">
        <v>573</v>
      </c>
      <c r="D284" s="2" t="str">
        <f t="shared" si="3"/>
        <v>Error?</v>
      </c>
    </row>
    <row r="285" spans="1:4" x14ac:dyDescent="0.2">
      <c r="A285" s="5">
        <v>224</v>
      </c>
      <c r="B285" s="138">
        <f>'Assets-Liab 5-6'!N36</f>
        <v>935000</v>
      </c>
      <c r="D285" s="2" t="str">
        <f t="shared" si="3"/>
        <v>Error?</v>
      </c>
    </row>
    <row r="286" spans="1:4" x14ac:dyDescent="0.2">
      <c r="A286" s="10">
        <v>225</v>
      </c>
      <c r="D286" s="2" t="str">
        <f t="shared" si="3"/>
        <v>OK</v>
      </c>
    </row>
    <row r="287" spans="1:4" x14ac:dyDescent="0.2">
      <c r="A287" s="5">
        <v>226</v>
      </c>
      <c r="B287" s="138">
        <f>'Assets-Liab 5-6'!N37</f>
        <v>935000</v>
      </c>
      <c r="C287" s="2" t="s">
        <v>573</v>
      </c>
      <c r="D287" s="2" t="str">
        <f t="shared" si="3"/>
        <v>Error?</v>
      </c>
    </row>
    <row r="288" spans="1:4" x14ac:dyDescent="0.2">
      <c r="A288" s="5">
        <v>227</v>
      </c>
      <c r="B288" s="138">
        <f>'Assets-Liab 5-6'!N41</f>
        <v>935000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671159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16643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916446</v>
      </c>
      <c r="C720" s="2" t="s">
        <v>573</v>
      </c>
      <c r="D720" s="2" t="str">
        <f t="shared" si="10"/>
        <v>Error?</v>
      </c>
    </row>
    <row r="721" spans="1:4" x14ac:dyDescent="0.2">
      <c r="A721" s="5">
        <v>660</v>
      </c>
      <c r="B721" s="138">
        <f>'Expenditures 15-22'!C36</f>
        <v>8217</v>
      </c>
      <c r="D721" s="2" t="str">
        <f t="shared" si="10"/>
        <v>Error?</v>
      </c>
    </row>
    <row r="722" spans="1:4" x14ac:dyDescent="0.2">
      <c r="A722" s="5">
        <v>661</v>
      </c>
      <c r="B722" s="138">
        <f>'Expenditures 15-22'!C37</f>
        <v>10000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16475</v>
      </c>
      <c r="D726" s="2" t="str">
        <f t="shared" si="10"/>
        <v>Error?</v>
      </c>
    </row>
    <row r="727" spans="1:4" x14ac:dyDescent="0.2">
      <c r="A727" s="5">
        <v>666</v>
      </c>
      <c r="B727" s="138">
        <f>'Expenditures 15-22'!C42</f>
        <v>34692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1373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50000</v>
      </c>
      <c r="D733" s="2" t="str">
        <f t="shared" si="10"/>
        <v>Error?</v>
      </c>
    </row>
    <row r="734" spans="1:4" x14ac:dyDescent="0.2">
      <c r="A734" s="5">
        <v>673</v>
      </c>
      <c r="B734" s="138">
        <f>'Expenditures 15-22'!C53</f>
        <v>50000</v>
      </c>
      <c r="C734" s="2" t="s">
        <v>573</v>
      </c>
      <c r="D734" s="2" t="str">
        <f t="shared" si="10"/>
        <v>Error?</v>
      </c>
    </row>
    <row r="735" spans="1:4" x14ac:dyDescent="0.2">
      <c r="A735" s="5">
        <v>674</v>
      </c>
      <c r="B735" s="138">
        <f>'Expenditures 15-22'!C55</f>
        <v>52266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52266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99987</v>
      </c>
      <c r="D739" s="2" t="str">
        <f t="shared" si="10"/>
        <v>Error?</v>
      </c>
    </row>
    <row r="740" spans="1:4" x14ac:dyDescent="0.2">
      <c r="A740" s="5">
        <v>679</v>
      </c>
      <c r="B740" s="138">
        <f>'Expenditures 15-22'!C61</f>
        <v>35283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29190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164460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302791</v>
      </c>
      <c r="C755" s="2" t="s">
        <v>573</v>
      </c>
      <c r="D755" s="2" t="str">
        <f t="shared" si="10"/>
        <v>Error?</v>
      </c>
    </row>
    <row r="756" spans="1:4" x14ac:dyDescent="0.2">
      <c r="A756" s="5">
        <v>695</v>
      </c>
      <c r="B756" s="138">
        <f>'Expenditures 15-22'!C75</f>
        <v>78645</v>
      </c>
      <c r="D756" s="2" t="str">
        <f t="shared" si="10"/>
        <v>Error?</v>
      </c>
    </row>
    <row r="757" spans="1:4" x14ac:dyDescent="0.2">
      <c r="A757" s="5">
        <v>696</v>
      </c>
      <c r="B757" s="138">
        <f>'Expenditures 15-22'!C114</f>
        <v>1297882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121878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157898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1930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579</v>
      </c>
      <c r="D784" s="2" t="str">
        <f t="shared" si="11"/>
        <v>Error?</v>
      </c>
    </row>
    <row r="785" spans="1:4" x14ac:dyDescent="0.2">
      <c r="A785" s="5">
        <v>724</v>
      </c>
      <c r="B785" s="138">
        <f>'Expenditures 15-22'!D42</f>
        <v>2509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18963</v>
      </c>
      <c r="D791" s="2" t="str">
        <f t="shared" si="11"/>
        <v>Error?</v>
      </c>
    </row>
    <row r="792" spans="1:4" x14ac:dyDescent="0.2">
      <c r="A792" s="5">
        <v>731</v>
      </c>
      <c r="B792" s="138">
        <f>'Expenditures 15-22'!D53</f>
        <v>18963</v>
      </c>
      <c r="C792" s="2" t="s">
        <v>573</v>
      </c>
      <c r="D792" s="2" t="str">
        <f t="shared" si="11"/>
        <v>Error?</v>
      </c>
    </row>
    <row r="793" spans="1:4" x14ac:dyDescent="0.2">
      <c r="A793" s="5">
        <v>732</v>
      </c>
      <c r="B793" s="138">
        <f>'Expenditures 15-22'!D55</f>
        <v>5131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5131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5848</v>
      </c>
      <c r="D797" s="2" t="str">
        <f t="shared" si="11"/>
        <v>Error?</v>
      </c>
    </row>
    <row r="798" spans="1:4" x14ac:dyDescent="0.2">
      <c r="A798" s="5">
        <v>737</v>
      </c>
      <c r="B798" s="138">
        <f>'Expenditures 15-22'!D61</f>
        <v>467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3588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9903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36506</v>
      </c>
      <c r="C813" s="2" t="s">
        <v>573</v>
      </c>
      <c r="D813" s="2" t="str">
        <f t="shared" si="11"/>
        <v>Error?</v>
      </c>
    </row>
    <row r="814" spans="1:4" x14ac:dyDescent="0.2">
      <c r="A814" s="5">
        <v>753</v>
      </c>
      <c r="B814" s="138">
        <f>'Expenditures 15-22'!D75</f>
        <v>2304</v>
      </c>
      <c r="D814" s="2" t="str">
        <f t="shared" si="11"/>
        <v>Error?</v>
      </c>
    </row>
    <row r="815" spans="1:4" x14ac:dyDescent="0.2">
      <c r="A815" s="5">
        <v>754</v>
      </c>
      <c r="B815" s="138">
        <f>'Expenditures 15-22'!D114</f>
        <v>196708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24208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60381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18707</v>
      </c>
      <c r="D844" s="2" t="str">
        <f t="shared" si="12"/>
        <v>Error?</v>
      </c>
    </row>
    <row r="845" spans="1:4" x14ac:dyDescent="0.2">
      <c r="A845" s="5">
        <v>784</v>
      </c>
      <c r="B845" s="138">
        <f>'Expenditures 15-22'!E45</f>
        <v>511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19218</v>
      </c>
      <c r="C847" s="2" t="s">
        <v>573</v>
      </c>
      <c r="D847" s="2" t="str">
        <f t="shared" si="12"/>
        <v>Error?</v>
      </c>
    </row>
    <row r="848" spans="1:4" x14ac:dyDescent="0.2">
      <c r="A848" s="5">
        <v>787</v>
      </c>
      <c r="B848" s="138">
        <f>'Expenditures 15-22'!E49</f>
        <v>514</v>
      </c>
      <c r="D848" s="2" t="str">
        <f t="shared" si="12"/>
        <v>Error?</v>
      </c>
    </row>
    <row r="849" spans="1:4" x14ac:dyDescent="0.2">
      <c r="A849" s="5">
        <v>788</v>
      </c>
      <c r="B849" s="138">
        <f>'Expenditures 15-22'!E50</f>
        <v>1573</v>
      </c>
      <c r="D849" s="2" t="str">
        <f t="shared" si="12"/>
        <v>Error?</v>
      </c>
    </row>
    <row r="850" spans="1:4" x14ac:dyDescent="0.2">
      <c r="A850" s="5">
        <v>789</v>
      </c>
      <c r="B850" s="138">
        <f>'Expenditures 15-22'!E53</f>
        <v>2087</v>
      </c>
      <c r="C850" s="2" t="s">
        <v>573</v>
      </c>
      <c r="D850" s="2" t="str">
        <f t="shared" si="12"/>
        <v>Error?</v>
      </c>
    </row>
    <row r="851" spans="1:4" x14ac:dyDescent="0.2">
      <c r="A851" s="5">
        <v>790</v>
      </c>
      <c r="B851" s="138">
        <f>'Expenditures 15-22'!E55</f>
        <v>1920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1920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19409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19409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24658</v>
      </c>
      <c r="D867" s="2" t="str">
        <f t="shared" si="12"/>
        <v>Error?</v>
      </c>
    </row>
    <row r="868" spans="1:4" x14ac:dyDescent="0.2">
      <c r="A868" s="10">
        <v>807</v>
      </c>
      <c r="D868" s="2" t="str">
        <f t="shared" si="12"/>
        <v>OK</v>
      </c>
    </row>
    <row r="869" spans="1:4" x14ac:dyDescent="0.2">
      <c r="A869" s="5">
        <v>808</v>
      </c>
      <c r="B869" s="138">
        <f>'Expenditures 15-22'!E72</f>
        <v>24658</v>
      </c>
      <c r="C869" s="2" t="s">
        <v>573</v>
      </c>
      <c r="D869" s="2" t="str">
        <f t="shared" si="12"/>
        <v>Error?</v>
      </c>
    </row>
    <row r="870" spans="1:4" x14ac:dyDescent="0.2">
      <c r="A870" s="5">
        <v>809</v>
      </c>
      <c r="B870" s="138">
        <f>'Expenditures 15-22'!E73</f>
        <v>554</v>
      </c>
      <c r="D870" s="2" t="str">
        <f t="shared" si="12"/>
        <v>Error?</v>
      </c>
    </row>
    <row r="871" spans="1:4" x14ac:dyDescent="0.2">
      <c r="A871" s="5">
        <v>810</v>
      </c>
      <c r="B871" s="138">
        <f>'Expenditures 15-22'!E74</f>
        <v>67846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164787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28103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5589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34360</v>
      </c>
      <c r="C894" s="2" t="s">
        <v>573</v>
      </c>
      <c r="D894" s="2" t="str">
        <f t="shared" si="12"/>
        <v>Error?</v>
      </c>
    </row>
    <row r="895" spans="1:4" x14ac:dyDescent="0.2">
      <c r="A895" s="5">
        <v>834</v>
      </c>
      <c r="B895" s="138">
        <f>'Expenditures 15-22'!F36</f>
        <v>124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386</v>
      </c>
      <c r="D900" s="2" t="str">
        <f t="shared" si="13"/>
        <v>Error?</v>
      </c>
    </row>
    <row r="901" spans="1:4" x14ac:dyDescent="0.2">
      <c r="A901" s="5">
        <v>840</v>
      </c>
      <c r="B901" s="138">
        <f>'Expenditures 15-22'!F42</f>
        <v>510</v>
      </c>
      <c r="C901" s="2" t="s">
        <v>573</v>
      </c>
      <c r="D901" s="2" t="str">
        <f t="shared" si="13"/>
        <v>Error?</v>
      </c>
    </row>
    <row r="902" spans="1:4" x14ac:dyDescent="0.2">
      <c r="A902" s="5">
        <v>841</v>
      </c>
      <c r="B902" s="138">
        <f>'Expenditures 15-22'!F44</f>
        <v>2362</v>
      </c>
      <c r="D902" s="2" t="str">
        <f t="shared" si="13"/>
        <v>Error?</v>
      </c>
    </row>
    <row r="903" spans="1:4" x14ac:dyDescent="0.2">
      <c r="A903" s="5">
        <v>842</v>
      </c>
      <c r="B903" s="138">
        <f>'Expenditures 15-22'!F45</f>
        <v>904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3266</v>
      </c>
      <c r="C905" s="2" t="s">
        <v>573</v>
      </c>
      <c r="D905" s="2" t="str">
        <f t="shared" si="13"/>
        <v>Error?</v>
      </c>
    </row>
    <row r="906" spans="1:4" x14ac:dyDescent="0.2">
      <c r="A906" s="5">
        <v>845</v>
      </c>
      <c r="B906" s="138">
        <f>'Expenditures 15-22'!F49</f>
        <v>72</v>
      </c>
      <c r="D906" s="2" t="str">
        <f t="shared" si="13"/>
        <v>Error?</v>
      </c>
    </row>
    <row r="907" spans="1:4" x14ac:dyDescent="0.2">
      <c r="A907" s="5">
        <v>846</v>
      </c>
      <c r="B907" s="138">
        <f>'Expenditures 15-22'!F50</f>
        <v>496</v>
      </c>
      <c r="D907" s="2" t="str">
        <f t="shared" si="13"/>
        <v>Error?</v>
      </c>
    </row>
    <row r="908" spans="1:4" x14ac:dyDescent="0.2">
      <c r="A908" s="5">
        <v>847</v>
      </c>
      <c r="B908" s="138">
        <f>'Expenditures 15-22'!F53</f>
        <v>568</v>
      </c>
      <c r="C908" s="2" t="s">
        <v>573</v>
      </c>
      <c r="D908" s="2" t="str">
        <f t="shared" si="13"/>
        <v>Error?</v>
      </c>
    </row>
    <row r="909" spans="1:4" x14ac:dyDescent="0.2">
      <c r="A909" s="5">
        <v>848</v>
      </c>
      <c r="B909" s="138">
        <f>'Expenditures 15-22'!F55</f>
        <v>4311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4311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8643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44398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53041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61696</v>
      </c>
      <c r="C929" s="2" t="s">
        <v>573</v>
      </c>
      <c r="D929" s="2" t="str">
        <f t="shared" si="13"/>
        <v>Error?</v>
      </c>
    </row>
    <row r="930" spans="1:4" x14ac:dyDescent="0.2">
      <c r="A930" s="5">
        <v>869</v>
      </c>
      <c r="B930" s="138">
        <f>'Expenditures 15-22'!F75</f>
        <v>12347</v>
      </c>
      <c r="D930" s="2" t="str">
        <f t="shared" si="13"/>
        <v>Error?</v>
      </c>
    </row>
    <row r="931" spans="1:4" x14ac:dyDescent="0.2">
      <c r="A931" s="5">
        <v>870</v>
      </c>
      <c r="B931" s="138">
        <f>'Expenditures 15-22'!F114</f>
        <v>108403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9579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12283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313</v>
      </c>
      <c r="D1023" s="2" t="str">
        <f t="shared" ref="D1023:D1086" si="15">IF(ISBLANK(B1023),"OK",IF(A1023-B1023=0,"OK","Error?"))</f>
        <v>Error?</v>
      </c>
    </row>
    <row r="1024" spans="1:4" x14ac:dyDescent="0.2">
      <c r="A1024" s="5">
        <v>963</v>
      </c>
      <c r="B1024" s="138">
        <f>'Expenditures 15-22'!H53</f>
        <v>313</v>
      </c>
      <c r="C1024" s="2" t="s">
        <v>573</v>
      </c>
      <c r="D1024" s="2" t="str">
        <f t="shared" si="15"/>
        <v>Error?</v>
      </c>
    </row>
    <row r="1025" spans="1:4" x14ac:dyDescent="0.2">
      <c r="A1025" s="5">
        <v>964</v>
      </c>
      <c r="B1025" s="138">
        <f>'Expenditures 15-22'!H55</f>
        <v>349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1091</v>
      </c>
      <c r="C1045" s="2" t="s">
        <v>573</v>
      </c>
      <c r="D1045" s="2" t="str">
        <f t="shared" si="15"/>
        <v>Error?</v>
      </c>
    </row>
    <row r="1046" spans="1:4" x14ac:dyDescent="0.2">
      <c r="A1046" s="5">
        <v>985</v>
      </c>
      <c r="B1046" s="138">
        <f>'Expenditures 15-22'!H75</f>
        <v>138</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13512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854927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29954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1181368</v>
      </c>
      <c r="C1108" s="2" t="s">
        <v>573</v>
      </c>
      <c r="D1108" s="2" t="str">
        <f t="shared" si="16"/>
        <v>Error?</v>
      </c>
    </row>
    <row r="1109" spans="1:4" x14ac:dyDescent="0.2">
      <c r="A1109" s="5">
        <v>1048</v>
      </c>
      <c r="B1109" s="138">
        <f>'Expenditures 15-22'!K36</f>
        <v>8341</v>
      </c>
      <c r="C1109" s="2" t="s">
        <v>573</v>
      </c>
      <c r="D1109" s="2" t="str">
        <f t="shared" si="16"/>
        <v>Error?</v>
      </c>
    </row>
    <row r="1110" spans="1:4" x14ac:dyDescent="0.2">
      <c r="A1110" s="5">
        <v>1049</v>
      </c>
      <c r="B1110" s="138">
        <f>'Expenditures 15-22'!K37</f>
        <v>11930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17440</v>
      </c>
      <c r="C1114" s="2" t="s">
        <v>573</v>
      </c>
      <c r="D1114" s="2" t="str">
        <f t="shared" si="16"/>
        <v>Error?</v>
      </c>
    </row>
    <row r="1115" spans="1:4" x14ac:dyDescent="0.2">
      <c r="A1115" s="5">
        <v>1054</v>
      </c>
      <c r="B1115" s="138">
        <f>'Expenditures 15-22'!K42</f>
        <v>37711</v>
      </c>
      <c r="C1115" s="2" t="s">
        <v>573</v>
      </c>
      <c r="D1115" s="2" t="str">
        <f t="shared" si="16"/>
        <v>Error?</v>
      </c>
    </row>
    <row r="1116" spans="1:4" x14ac:dyDescent="0.2">
      <c r="A1116" s="5">
        <v>1055</v>
      </c>
      <c r="B1116" s="138">
        <f>'Expenditures 15-22'!K44</f>
        <v>21069</v>
      </c>
      <c r="C1116" s="2" t="s">
        <v>573</v>
      </c>
      <c r="D1116" s="2" t="str">
        <f t="shared" si="16"/>
        <v>Error?</v>
      </c>
    </row>
    <row r="1117" spans="1:4" x14ac:dyDescent="0.2">
      <c r="A1117" s="5">
        <v>1056</v>
      </c>
      <c r="B1117" s="138">
        <f>'Expenditures 15-22'!K45</f>
        <v>2788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23857</v>
      </c>
      <c r="C1119" s="2" t="s">
        <v>573</v>
      </c>
      <c r="D1119" s="2" t="str">
        <f t="shared" si="16"/>
        <v>Error?</v>
      </c>
    </row>
    <row r="1120" spans="1:4" x14ac:dyDescent="0.2">
      <c r="A1120" s="5">
        <v>1059</v>
      </c>
      <c r="B1120" s="138">
        <f>'Expenditures 15-22'!K49</f>
        <v>586</v>
      </c>
      <c r="C1120" s="2" t="s">
        <v>573</v>
      </c>
      <c r="D1120" s="2" t="str">
        <f t="shared" si="16"/>
        <v>Error?</v>
      </c>
    </row>
    <row r="1121" spans="1:4" x14ac:dyDescent="0.2">
      <c r="A1121" s="5">
        <v>1060</v>
      </c>
      <c r="B1121" s="138">
        <f>'Expenditures 15-22'!K50</f>
        <v>71345</v>
      </c>
      <c r="C1121" s="2" t="s">
        <v>573</v>
      </c>
      <c r="D1121" s="2" t="str">
        <f t="shared" si="16"/>
        <v>Error?</v>
      </c>
    </row>
    <row r="1122" spans="1:4" x14ac:dyDescent="0.2">
      <c r="A1122" s="5">
        <v>1061</v>
      </c>
      <c r="B1122" s="138">
        <f>'Expenditures 15-22'!K53</f>
        <v>71931</v>
      </c>
      <c r="C1122" s="2" t="s">
        <v>573</v>
      </c>
      <c r="D1122" s="2" t="str">
        <f t="shared" si="16"/>
        <v>Error?</v>
      </c>
    </row>
    <row r="1123" spans="1:4" x14ac:dyDescent="0.2">
      <c r="A1123" s="5">
        <v>1062</v>
      </c>
      <c r="B1123" s="138">
        <f>'Expenditures 15-22'!K55</f>
        <v>63977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63977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105835</v>
      </c>
      <c r="C1127" s="2" t="s">
        <v>573</v>
      </c>
      <c r="D1127" s="2" t="str">
        <f t="shared" si="16"/>
        <v>Error?</v>
      </c>
    </row>
    <row r="1128" spans="1:4" x14ac:dyDescent="0.2">
      <c r="A1128" s="5">
        <v>1067</v>
      </c>
      <c r="B1128" s="138">
        <f>'Expenditures 15-22'!K61</f>
        <v>63802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77605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247242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24658</v>
      </c>
      <c r="C1139" s="2" t="s">
        <v>573</v>
      </c>
      <c r="D1139" s="2" t="str">
        <f t="shared" si="16"/>
        <v>Error?</v>
      </c>
    </row>
    <row r="1140" spans="1:4" x14ac:dyDescent="0.2">
      <c r="A1140" s="10">
        <v>1079</v>
      </c>
      <c r="D1140" s="2" t="str">
        <f t="shared" si="16"/>
        <v>OK</v>
      </c>
    </row>
    <row r="1141" spans="1:4" x14ac:dyDescent="0.2">
      <c r="A1141" s="5">
        <v>1080</v>
      </c>
      <c r="B1141" s="138">
        <f>'Expenditures 15-22'!K72</f>
        <v>24658</v>
      </c>
      <c r="C1141" s="2" t="s">
        <v>573</v>
      </c>
      <c r="D1141" s="2" t="str">
        <f t="shared" si="16"/>
        <v>Error?</v>
      </c>
    </row>
    <row r="1142" spans="1:4" x14ac:dyDescent="0.2">
      <c r="A1142" s="5">
        <v>1081</v>
      </c>
      <c r="B1142" s="138">
        <f>'Expenditures 15-22'!K73</f>
        <v>554</v>
      </c>
      <c r="C1142" s="2" t="s">
        <v>573</v>
      </c>
      <c r="D1142" s="2" t="str">
        <f t="shared" si="16"/>
        <v>Error?</v>
      </c>
    </row>
    <row r="1143" spans="1:4" x14ac:dyDescent="0.2">
      <c r="A1143" s="5">
        <v>1082</v>
      </c>
      <c r="B1143" s="138">
        <f>'Expenditures 15-22'!K74</f>
        <v>469930</v>
      </c>
      <c r="C1143" s="2" t="s">
        <v>573</v>
      </c>
      <c r="D1143" s="2" t="str">
        <f t="shared" si="16"/>
        <v>Error?</v>
      </c>
    </row>
    <row r="1144" spans="1:4" x14ac:dyDescent="0.2">
      <c r="A1144" s="5">
        <v>1083</v>
      </c>
      <c r="B1144" s="138">
        <f>'Expenditures 15-22'!K75</f>
        <v>93434</v>
      </c>
      <c r="C1144" s="2" t="s">
        <v>573</v>
      </c>
      <c r="D1144" s="2" t="str">
        <f t="shared" si="16"/>
        <v>Error?</v>
      </c>
    </row>
    <row r="1145" spans="1:4" x14ac:dyDescent="0.2">
      <c r="A1145" s="5">
        <v>1084</v>
      </c>
      <c r="B1145" s="138">
        <f>'Expenditures 15-22'!K102</f>
        <v>36560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1781292</v>
      </c>
      <c r="C1152" s="2" t="s">
        <v>573</v>
      </c>
      <c r="D1152" s="2" t="str">
        <f t="shared" si="17"/>
        <v>Error?</v>
      </c>
    </row>
    <row r="1153" spans="1:4" x14ac:dyDescent="0.2">
      <c r="A1153" s="5">
        <v>1092</v>
      </c>
      <c r="B1153" s="138">
        <f>'Expenditures 15-22'!K115</f>
        <v>3151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30952</v>
      </c>
      <c r="D1221" s="2" t="str">
        <f t="shared" si="18"/>
        <v>Error?</v>
      </c>
    </row>
    <row r="1222" spans="1:4" x14ac:dyDescent="0.2">
      <c r="A1222" s="10">
        <v>1161</v>
      </c>
      <c r="D1222" s="2" t="str">
        <f t="shared" si="18"/>
        <v>OK</v>
      </c>
    </row>
    <row r="1223" spans="1:4" x14ac:dyDescent="0.2">
      <c r="A1223" s="5">
        <v>1162</v>
      </c>
      <c r="B1223" s="138">
        <f>'Expenditures 15-22'!C127</f>
        <v>30952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30952</v>
      </c>
      <c r="C1225" s="2" t="s">
        <v>573</v>
      </c>
      <c r="D1225" s="2" t="str">
        <f t="shared" si="18"/>
        <v>Error?</v>
      </c>
    </row>
    <row r="1226" spans="1:4" x14ac:dyDescent="0.2">
      <c r="A1226" s="5">
        <v>1165</v>
      </c>
      <c r="B1226" s="138">
        <f>'Expenditures 15-22'!C151</f>
        <v>30952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4450</v>
      </c>
      <c r="D1229" s="2" t="str">
        <f t="shared" si="18"/>
        <v>Error?</v>
      </c>
    </row>
    <row r="1230" spans="1:4" x14ac:dyDescent="0.2">
      <c r="A1230" s="10">
        <v>1169</v>
      </c>
      <c r="D1230" s="2" t="str">
        <f t="shared" si="18"/>
        <v>OK</v>
      </c>
    </row>
    <row r="1231" spans="1:4" x14ac:dyDescent="0.2">
      <c r="A1231" s="5">
        <v>1170</v>
      </c>
      <c r="B1231" s="138">
        <f>'Expenditures 15-22'!D127</f>
        <v>4450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4450</v>
      </c>
      <c r="C1233" s="2" t="s">
        <v>573</v>
      </c>
      <c r="D1233" s="2" t="str">
        <f t="shared" si="18"/>
        <v>Error?</v>
      </c>
    </row>
    <row r="1234" spans="1:4" x14ac:dyDescent="0.2">
      <c r="A1234" s="5">
        <v>1173</v>
      </c>
      <c r="B1234" s="138">
        <f>'Expenditures 15-22'!D151</f>
        <v>4450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7544</v>
      </c>
      <c r="D1237" s="2" t="str">
        <f t="shared" si="18"/>
        <v>Error?</v>
      </c>
    </row>
    <row r="1238" spans="1:4" x14ac:dyDescent="0.2">
      <c r="A1238" s="10">
        <v>1177</v>
      </c>
      <c r="D1238" s="2" t="str">
        <f t="shared" si="18"/>
        <v>OK</v>
      </c>
    </row>
    <row r="1239" spans="1:4" x14ac:dyDescent="0.2">
      <c r="A1239" s="5">
        <v>1178</v>
      </c>
      <c r="B1239" s="138">
        <f>'Expenditures 15-22'!E127</f>
        <v>7544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7544</v>
      </c>
      <c r="C1241" s="2" t="s">
        <v>573</v>
      </c>
      <c r="D1241" s="2" t="str">
        <f t="shared" si="18"/>
        <v>Error?</v>
      </c>
    </row>
    <row r="1242" spans="1:4" x14ac:dyDescent="0.2">
      <c r="A1242" s="5">
        <v>1181</v>
      </c>
      <c r="B1242" s="138">
        <f>'Expenditures 15-22'!E151</f>
        <v>7544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77951</v>
      </c>
      <c r="D1245" s="2" t="str">
        <f t="shared" si="18"/>
        <v>Error?</v>
      </c>
    </row>
    <row r="1246" spans="1:4" x14ac:dyDescent="0.2">
      <c r="A1246" s="10">
        <v>1185</v>
      </c>
      <c r="D1246" s="2" t="str">
        <f t="shared" si="18"/>
        <v>OK</v>
      </c>
    </row>
    <row r="1247" spans="1:4" x14ac:dyDescent="0.2">
      <c r="A1247" s="5">
        <v>1186</v>
      </c>
      <c r="B1247" s="138">
        <f>'Expenditures 15-22'!F127</f>
        <v>77951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77951</v>
      </c>
      <c r="C1249" s="2" t="s">
        <v>573</v>
      </c>
      <c r="D1249" s="2" t="str">
        <f t="shared" si="18"/>
        <v>Error?</v>
      </c>
    </row>
    <row r="1250" spans="1:4" x14ac:dyDescent="0.2">
      <c r="A1250" s="5">
        <v>1189</v>
      </c>
      <c r="B1250" s="138">
        <f>'Expenditures 15-22'!F151</f>
        <v>77951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419</v>
      </c>
      <c r="D1262" s="2" t="str">
        <f t="shared" si="18"/>
        <v>Error?</v>
      </c>
    </row>
    <row r="1263" spans="1:4" x14ac:dyDescent="0.2">
      <c r="A1263" s="10">
        <v>1202</v>
      </c>
      <c r="D1263" s="2" t="str">
        <f t="shared" si="18"/>
        <v>OK</v>
      </c>
    </row>
    <row r="1264" spans="1:4" x14ac:dyDescent="0.2">
      <c r="A1264" s="5">
        <v>1203</v>
      </c>
      <c r="B1264" s="138">
        <f>'Expenditures 15-22'!H127</f>
        <v>419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419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419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121316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121316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121316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121316</v>
      </c>
      <c r="C1288" s="2" t="s">
        <v>573</v>
      </c>
      <c r="D1288" s="2" t="str">
        <f t="shared" si="19"/>
        <v>Error?</v>
      </c>
    </row>
    <row r="1289" spans="1:4" x14ac:dyDescent="0.2">
      <c r="A1289" s="5">
        <v>1228</v>
      </c>
      <c r="B1289" s="138">
        <f>'Expenditures 15-22'!K152</f>
        <v>25887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20008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371</v>
      </c>
      <c r="C1314" s="2" t="s">
        <v>573</v>
      </c>
      <c r="D1314" s="2" t="str">
        <f t="shared" si="19"/>
        <v>Error?</v>
      </c>
    </row>
    <row r="1315" spans="1:4" x14ac:dyDescent="0.2">
      <c r="A1315" s="5">
        <v>1254</v>
      </c>
      <c r="B1315" s="138">
        <f>'Expenditures 15-22'!H170</f>
        <v>125000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145379</v>
      </c>
      <c r="C1317" s="2" t="s">
        <v>573</v>
      </c>
      <c r="D1317" s="2" t="str">
        <f t="shared" si="19"/>
        <v>Error?</v>
      </c>
    </row>
    <row r="1318" spans="1:4" x14ac:dyDescent="0.2">
      <c r="A1318" s="5">
        <v>1257</v>
      </c>
      <c r="B1318" s="138">
        <f>'Expenditures 15-22'!H174</f>
        <v>145379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20008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371</v>
      </c>
      <c r="C1328" s="2" t="s">
        <v>573</v>
      </c>
      <c r="D1328" s="2" t="str">
        <f t="shared" si="19"/>
        <v>Error?</v>
      </c>
    </row>
    <row r="1329" spans="1:4" x14ac:dyDescent="0.2">
      <c r="A1329" s="5">
        <v>1268</v>
      </c>
      <c r="B1329" s="138">
        <f>'Expenditures 15-22'!K170</f>
        <v>125000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145379</v>
      </c>
      <c r="C1331" s="2" t="s">
        <v>573</v>
      </c>
      <c r="D1331" s="2" t="str">
        <f t="shared" si="19"/>
        <v>Error?</v>
      </c>
    </row>
    <row r="1332" spans="1:4" x14ac:dyDescent="0.2">
      <c r="A1332" s="5">
        <v>1271</v>
      </c>
      <c r="B1332" s="138">
        <f>'Expenditures 15-22'!K174</f>
        <v>145379</v>
      </c>
      <c r="C1332" s="2" t="s">
        <v>573</v>
      </c>
      <c r="D1332" s="2" t="str">
        <f t="shared" si="19"/>
        <v>Error?</v>
      </c>
    </row>
    <row r="1333" spans="1:4" x14ac:dyDescent="0.2">
      <c r="A1333" s="5">
        <v>1272</v>
      </c>
      <c r="B1333" s="138">
        <f>'Expenditures 15-22'!K175</f>
        <v>-3589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119398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119398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119398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119398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119398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119398</v>
      </c>
      <c r="C1388" s="2" t="s">
        <v>573</v>
      </c>
      <c r="D1388" s="2" t="str">
        <f t="shared" si="20"/>
        <v>Error?</v>
      </c>
    </row>
    <row r="1389" spans="1:4" x14ac:dyDescent="0.2">
      <c r="A1389" s="5">
        <v>1328</v>
      </c>
      <c r="B1389" s="138">
        <f>'Expenditures 15-22'!K211</f>
        <v>5271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25095</v>
      </c>
      <c r="C1410" s="2" t="s">
        <v>573</v>
      </c>
      <c r="D1410" s="2" t="str">
        <f t="shared" si="21"/>
        <v>Error?</v>
      </c>
    </row>
    <row r="1411" spans="1:4" x14ac:dyDescent="0.2">
      <c r="A1411" s="5">
        <v>1350</v>
      </c>
      <c r="B1411" s="138">
        <f>'Expenditures 15-22'!D232</f>
        <v>1220</v>
      </c>
      <c r="D1411" s="2" t="str">
        <f t="shared" si="21"/>
        <v>Error?</v>
      </c>
    </row>
    <row r="1412" spans="1:4" x14ac:dyDescent="0.2">
      <c r="A1412" s="5">
        <v>1351</v>
      </c>
      <c r="B1412" s="138">
        <f>'Expenditures 15-22'!D233</f>
        <v>145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1714</v>
      </c>
      <c r="D1416" s="2" t="str">
        <f t="shared" si="21"/>
        <v>Error?</v>
      </c>
    </row>
    <row r="1417" spans="1:4" x14ac:dyDescent="0.2">
      <c r="A1417" s="5">
        <v>1356</v>
      </c>
      <c r="B1417" s="138">
        <f>'Expenditures 15-22'!D238</f>
        <v>3079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188</v>
      </c>
      <c r="D1419" s="2" t="str">
        <f t="shared" si="21"/>
        <v>Error?</v>
      </c>
    </row>
    <row r="1420" spans="1:4" x14ac:dyDescent="0.2">
      <c r="A1420" s="5">
        <v>1359</v>
      </c>
      <c r="B1420" s="138">
        <f>'Expenditures 15-22'!D242</f>
        <v>1283</v>
      </c>
      <c r="D1420" s="2" t="str">
        <f t="shared" si="21"/>
        <v>Error?</v>
      </c>
    </row>
    <row r="1421" spans="1:4" x14ac:dyDescent="0.2">
      <c r="A1421" s="5">
        <v>1360</v>
      </c>
      <c r="B1421" s="138">
        <f>'Expenditures 15-22'!D243</f>
        <v>1471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389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14380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9422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4092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27894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32833</v>
      </c>
      <c r="C1446" s="2" t="s">
        <v>573</v>
      </c>
      <c r="D1446" s="2" t="str">
        <f t="shared" si="21"/>
        <v>Error?</v>
      </c>
    </row>
    <row r="1447" spans="1:4" x14ac:dyDescent="0.2">
      <c r="A1447" s="5">
        <v>1386</v>
      </c>
      <c r="B1447" s="138">
        <f>'Expenditures 15-22'!D280</f>
        <v>10120</v>
      </c>
      <c r="D1447" s="2" t="str">
        <f t="shared" si="21"/>
        <v>Error?</v>
      </c>
    </row>
    <row r="1448" spans="1:4" x14ac:dyDescent="0.2">
      <c r="A1448" s="5">
        <v>1387</v>
      </c>
      <c r="B1448" s="138">
        <f>'Expenditures 15-22'!D295</f>
        <v>72888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1297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25095</v>
      </c>
      <c r="C1474" s="2" t="s">
        <v>573</v>
      </c>
      <c r="D1474" s="2" t="str">
        <f t="shared" si="22"/>
        <v>Error?</v>
      </c>
    </row>
    <row r="1475" spans="1:4" x14ac:dyDescent="0.2">
      <c r="A1475" s="5">
        <v>1414</v>
      </c>
      <c r="B1475" s="138">
        <f>'Expenditures 15-22'!K232</f>
        <v>1220</v>
      </c>
      <c r="C1475" s="2" t="s">
        <v>573</v>
      </c>
      <c r="D1475" s="2" t="str">
        <f t="shared" si="22"/>
        <v>Error?</v>
      </c>
    </row>
    <row r="1476" spans="1:4" x14ac:dyDescent="0.2">
      <c r="A1476" s="5">
        <v>1415</v>
      </c>
      <c r="B1476" s="138">
        <f>'Expenditures 15-22'!K233</f>
        <v>145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1714</v>
      </c>
      <c r="C1480" s="2" t="s">
        <v>573</v>
      </c>
      <c r="D1480" s="2" t="str">
        <f t="shared" si="22"/>
        <v>Error?</v>
      </c>
    </row>
    <row r="1481" spans="1:4" x14ac:dyDescent="0.2">
      <c r="A1481" s="5">
        <v>1420</v>
      </c>
      <c r="B1481" s="138">
        <f>'Expenditures 15-22'!K238</f>
        <v>3079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188</v>
      </c>
      <c r="C1483" s="2" t="s">
        <v>573</v>
      </c>
      <c r="D1483" s="2" t="str">
        <f t="shared" si="22"/>
        <v>Error?</v>
      </c>
    </row>
    <row r="1484" spans="1:4" x14ac:dyDescent="0.2">
      <c r="A1484" s="5">
        <v>1423</v>
      </c>
      <c r="B1484" s="138">
        <f>'Expenditures 15-22'!K242</f>
        <v>1283</v>
      </c>
      <c r="C1484" s="2" t="s">
        <v>573</v>
      </c>
      <c r="D1484" s="2" t="str">
        <f t="shared" si="22"/>
        <v>Error?</v>
      </c>
    </row>
    <row r="1485" spans="1:4" x14ac:dyDescent="0.2">
      <c r="A1485" s="5">
        <v>1424</v>
      </c>
      <c r="B1485" s="138">
        <f>'Expenditures 15-22'!K243</f>
        <v>1471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389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389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14380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9422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4092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27894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32833</v>
      </c>
      <c r="C1510" s="2" t="s">
        <v>573</v>
      </c>
      <c r="D1510" s="2" t="str">
        <f t="shared" si="22"/>
        <v>Error?</v>
      </c>
    </row>
    <row r="1511" spans="1:4" x14ac:dyDescent="0.2">
      <c r="A1511" s="5">
        <v>1450</v>
      </c>
      <c r="B1511" s="138">
        <f>'Expenditures 15-22'!K280</f>
        <v>10120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72888</v>
      </c>
      <c r="C1517" s="2" t="s">
        <v>573</v>
      </c>
      <c r="D1517" s="2" t="str">
        <f t="shared" si="22"/>
        <v>Error?</v>
      </c>
    </row>
    <row r="1518" spans="1:4" x14ac:dyDescent="0.2">
      <c r="A1518" s="5">
        <v>1457</v>
      </c>
      <c r="B1518" s="138">
        <f>'Expenditures 15-22'!K296</f>
        <v>7910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19485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19485</v>
      </c>
      <c r="C1535" s="2" t="s">
        <v>573</v>
      </c>
      <c r="D1535" s="2" t="str">
        <f t="shared" ref="D1535:D1598" si="23">IF(ISBLANK(B1535),"OK",IF(A1535-B1535=0,"OK","Error?"))</f>
        <v>Error?</v>
      </c>
    </row>
    <row r="1536" spans="1:4" x14ac:dyDescent="0.2">
      <c r="A1536" s="5">
        <v>1475</v>
      </c>
      <c r="B1536" s="138">
        <f>'Expenditures 15-22'!E312</f>
        <v>19485</v>
      </c>
      <c r="C1536" s="2" t="s">
        <v>573</v>
      </c>
      <c r="D1536" s="2" t="str">
        <f t="shared" si="23"/>
        <v>Error?</v>
      </c>
    </row>
    <row r="1537" spans="1:4" x14ac:dyDescent="0.2">
      <c r="A1537" s="5">
        <v>1476</v>
      </c>
      <c r="B1537" s="138">
        <f>'Expenditures 15-22'!F301</f>
        <v>2334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2334</v>
      </c>
      <c r="C1541" s="2" t="s">
        <v>573</v>
      </c>
      <c r="D1541" s="2" t="str">
        <f t="shared" si="23"/>
        <v>Error?</v>
      </c>
    </row>
    <row r="1542" spans="1:4" x14ac:dyDescent="0.2">
      <c r="A1542" s="5">
        <v>1481</v>
      </c>
      <c r="B1542" s="138">
        <f>'Expenditures 15-22'!F312</f>
        <v>2334</v>
      </c>
      <c r="C1542" s="2" t="s">
        <v>573</v>
      </c>
      <c r="D1542" s="2" t="str">
        <f t="shared" si="23"/>
        <v>Error?</v>
      </c>
    </row>
    <row r="1543" spans="1:4" x14ac:dyDescent="0.2">
      <c r="A1543" s="5">
        <v>1482</v>
      </c>
      <c r="B1543" s="138">
        <f>'Expenditures 15-22'!G301</f>
        <v>1000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1000</v>
      </c>
      <c r="C1547" s="2" t="s">
        <v>573</v>
      </c>
      <c r="D1547" s="2" t="str">
        <f t="shared" si="23"/>
        <v>Error?</v>
      </c>
    </row>
    <row r="1548" spans="1:4" x14ac:dyDescent="0.2">
      <c r="A1548" s="5">
        <v>1487</v>
      </c>
      <c r="B1548" s="138">
        <f>'Expenditures 15-22'!G312</f>
        <v>1000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22819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22819</v>
      </c>
      <c r="C1559" s="2" t="s">
        <v>573</v>
      </c>
      <c r="D1559" s="2" t="str">
        <f t="shared" si="23"/>
        <v>Error?</v>
      </c>
    </row>
    <row r="1560" spans="1:4" x14ac:dyDescent="0.2">
      <c r="A1560" s="5">
        <v>1499</v>
      </c>
      <c r="B1560" s="138">
        <f>'Expenditures 15-22'!K312</f>
        <v>22819</v>
      </c>
      <c r="C1560" s="2" t="s">
        <v>573</v>
      </c>
      <c r="D1560" s="2" t="str">
        <f t="shared" si="23"/>
        <v>Error?</v>
      </c>
    </row>
    <row r="1561" spans="1:4" x14ac:dyDescent="0.2">
      <c r="A1561" s="5">
        <v>1500</v>
      </c>
      <c r="B1561" s="138">
        <f>'Expenditures 15-22'!K313</f>
        <v>133372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704217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707368</v>
      </c>
      <c r="C1630" s="2" t="s">
        <v>573</v>
      </c>
      <c r="D1630" s="2" t="str">
        <f t="shared" si="24"/>
        <v>Error?</v>
      </c>
    </row>
    <row r="1631" spans="1:4" x14ac:dyDescent="0.2">
      <c r="A1631" s="5">
        <v>1570</v>
      </c>
      <c r="B1631" s="138">
        <f>'Acct Summary 7-8'!D79</f>
        <v>214564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240451</v>
      </c>
      <c r="C1644" s="2" t="s">
        <v>573</v>
      </c>
      <c r="D1644" s="2" t="str">
        <f t="shared" si="24"/>
        <v>Error?</v>
      </c>
    </row>
    <row r="1645" spans="1:4" x14ac:dyDescent="0.2">
      <c r="A1645" s="5">
        <v>1584</v>
      </c>
      <c r="B1645" s="138">
        <f>'Acct Summary 7-8'!E79</f>
        <v>14949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11360</v>
      </c>
      <c r="C1658" s="2" t="s">
        <v>573</v>
      </c>
      <c r="D1658" s="2" t="str">
        <f t="shared" si="24"/>
        <v>Error?</v>
      </c>
    </row>
    <row r="1659" spans="1:4" x14ac:dyDescent="0.2">
      <c r="A1659" s="5">
        <v>1598</v>
      </c>
      <c r="B1659" s="138">
        <f>'Acct Summary 7-8'!F79</f>
        <v>77983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83254</v>
      </c>
      <c r="C1672" s="2" t="s">
        <v>573</v>
      </c>
      <c r="D1672" s="2" t="str">
        <f t="shared" si="25"/>
        <v>Error?</v>
      </c>
    </row>
    <row r="1673" spans="1:4" x14ac:dyDescent="0.2">
      <c r="A1673" s="5">
        <v>1612</v>
      </c>
      <c r="B1673" s="138">
        <f>'Acct Summary 7-8'!G79</f>
        <v>129476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137386</v>
      </c>
      <c r="C1686" s="2" t="s">
        <v>573</v>
      </c>
      <c r="D1686" s="2" t="str">
        <f t="shared" si="25"/>
        <v>Error?</v>
      </c>
    </row>
    <row r="1687" spans="1:4" x14ac:dyDescent="0.2">
      <c r="A1687" s="5">
        <v>1626</v>
      </c>
      <c r="B1687" s="138">
        <f>'Acct Summary 7-8'!H79</f>
        <v>103932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237304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703904</v>
      </c>
      <c r="C1744" s="2" t="s">
        <v>573</v>
      </c>
      <c r="D1744" s="2" t="str">
        <f t="shared" si="26"/>
        <v>Error?</v>
      </c>
    </row>
    <row r="1745" spans="1:5" x14ac:dyDescent="0.2">
      <c r="A1745" s="5">
        <v>1684</v>
      </c>
      <c r="B1745" s="138">
        <f>'Tax Sched 23'!B5</f>
        <v>130277</v>
      </c>
      <c r="C1745" s="2" t="s">
        <v>573</v>
      </c>
      <c r="D1745" s="2" t="str">
        <f t="shared" si="26"/>
        <v>Error?</v>
      </c>
    </row>
    <row r="1746" spans="1:5" x14ac:dyDescent="0.2">
      <c r="A1746" s="5">
        <v>1685</v>
      </c>
      <c r="B1746" s="138">
        <f>'Tax Sched 23'!B6</f>
        <v>141451</v>
      </c>
      <c r="C1746" s="2" t="s">
        <v>573</v>
      </c>
      <c r="D1746" s="2" t="str">
        <f t="shared" si="26"/>
        <v>Error?</v>
      </c>
    </row>
    <row r="1747" spans="1:5" x14ac:dyDescent="0.2">
      <c r="A1747" s="5">
        <v>1686</v>
      </c>
      <c r="B1747" s="138">
        <f>'Tax Sched 23'!B7</f>
        <v>79652</v>
      </c>
      <c r="C1747" s="2" t="s">
        <v>573</v>
      </c>
      <c r="D1747" s="2" t="str">
        <f t="shared" si="26"/>
        <v>Error?</v>
      </c>
    </row>
    <row r="1748" spans="1:5" x14ac:dyDescent="0.2">
      <c r="A1748" s="5">
        <v>1687</v>
      </c>
      <c r="B1748" s="138">
        <f>'Tax Sched 23'!B8</f>
        <v>30180</v>
      </c>
      <c r="C1748" s="2" t="s">
        <v>573</v>
      </c>
      <c r="D1748" s="2" t="str">
        <f t="shared" si="26"/>
        <v>Error?</v>
      </c>
    </row>
    <row r="1749" spans="1:5" x14ac:dyDescent="0.2">
      <c r="A1749" s="5">
        <v>1688</v>
      </c>
      <c r="B1749" s="138">
        <f>'Tax Sched 23'!B10</f>
        <v>2376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148257</v>
      </c>
      <c r="C1752" s="2" t="s">
        <v>573</v>
      </c>
      <c r="D1752" s="2" t="str">
        <f t="shared" si="26"/>
        <v>Error?</v>
      </c>
    </row>
    <row r="1753" spans="1:5" x14ac:dyDescent="0.2">
      <c r="A1753" s="5">
        <v>1692</v>
      </c>
      <c r="B1753" s="138">
        <f>'Tax Sched 23'!B12</f>
        <v>21530</v>
      </c>
      <c r="C1753" s="2" t="s">
        <v>573</v>
      </c>
      <c r="D1753" s="2" t="str">
        <f t="shared" si="26"/>
        <v>Error?</v>
      </c>
    </row>
    <row r="1754" spans="1:5" x14ac:dyDescent="0.2">
      <c r="A1754" s="5">
        <v>1693</v>
      </c>
      <c r="B1754" s="138">
        <f>'Tax Sched 23'!B14</f>
        <v>16697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1337579</v>
      </c>
      <c r="C1759" s="2" t="s">
        <v>573</v>
      </c>
      <c r="D1759" s="2" t="str">
        <f t="shared" si="26"/>
        <v>Error?</v>
      </c>
    </row>
    <row r="1760" spans="1:5" x14ac:dyDescent="0.2">
      <c r="A1760" s="5">
        <v>1699</v>
      </c>
      <c r="B1760" s="138">
        <f>'Tax Sched 23'!D4</f>
        <v>703904</v>
      </c>
      <c r="C1760" s="2" t="s">
        <v>573</v>
      </c>
      <c r="D1760" s="2" t="str">
        <f t="shared" si="26"/>
        <v>Error?</v>
      </c>
    </row>
    <row r="1761" spans="1:5" x14ac:dyDescent="0.2">
      <c r="A1761" s="5">
        <v>1700</v>
      </c>
      <c r="B1761" s="138">
        <f>'Tax Sched 23'!D5</f>
        <v>130277</v>
      </c>
      <c r="C1761" s="2" t="s">
        <v>573</v>
      </c>
      <c r="D1761" s="2" t="str">
        <f t="shared" si="26"/>
        <v>Error?</v>
      </c>
    </row>
    <row r="1762" spans="1:5" s="8" customFormat="1" x14ac:dyDescent="0.2">
      <c r="A1762" s="5">
        <v>1701</v>
      </c>
      <c r="B1762" s="138">
        <f>'Tax Sched 23'!D6</f>
        <v>141451</v>
      </c>
      <c r="C1762" s="2" t="s">
        <v>573</v>
      </c>
      <c r="D1762" s="2" t="str">
        <f t="shared" si="26"/>
        <v>Error?</v>
      </c>
      <c r="E1762" s="9"/>
    </row>
    <row r="1763" spans="1:5" x14ac:dyDescent="0.2">
      <c r="A1763" s="5">
        <v>1702</v>
      </c>
      <c r="B1763" s="138">
        <f>'Tax Sched 23'!D7</f>
        <v>79652</v>
      </c>
      <c r="C1763" s="2" t="s">
        <v>573</v>
      </c>
      <c r="D1763" s="2" t="str">
        <f t="shared" si="26"/>
        <v>Error?</v>
      </c>
    </row>
    <row r="1764" spans="1:5" x14ac:dyDescent="0.2">
      <c r="A1764" s="5">
        <v>1703</v>
      </c>
      <c r="B1764" s="138">
        <f>'Tax Sched 23'!D8</f>
        <v>30180</v>
      </c>
      <c r="C1764" s="2" t="s">
        <v>573</v>
      </c>
      <c r="D1764" s="2" t="str">
        <f t="shared" si="26"/>
        <v>Error?</v>
      </c>
    </row>
    <row r="1765" spans="1:5" x14ac:dyDescent="0.2">
      <c r="A1765" s="5">
        <v>1704</v>
      </c>
      <c r="B1765" s="138">
        <f>'Tax Sched 23'!D10</f>
        <v>2376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148257</v>
      </c>
      <c r="C1768" s="2" t="s">
        <v>573</v>
      </c>
      <c r="D1768" s="2" t="str">
        <f t="shared" si="26"/>
        <v>Error?</v>
      </c>
    </row>
    <row r="1769" spans="1:5" x14ac:dyDescent="0.2">
      <c r="A1769" s="5">
        <v>1708</v>
      </c>
      <c r="B1769" s="138">
        <f>'Tax Sched 23'!D12</f>
        <v>21530</v>
      </c>
      <c r="C1769" s="2" t="s">
        <v>573</v>
      </c>
      <c r="D1769" s="2" t="str">
        <f t="shared" si="26"/>
        <v>Error?</v>
      </c>
    </row>
    <row r="1770" spans="1:5" x14ac:dyDescent="0.2">
      <c r="A1770" s="5">
        <v>1709</v>
      </c>
      <c r="B1770" s="138">
        <f>'Tax Sched 23'!D14</f>
        <v>16697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1337579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684593</v>
      </c>
      <c r="C1792" s="2" t="s">
        <v>573</v>
      </c>
      <c r="D1792" s="2" t="str">
        <f t="shared" si="27"/>
        <v>Error?</v>
      </c>
    </row>
    <row r="1793" spans="1:4" x14ac:dyDescent="0.2">
      <c r="A1793" s="5">
        <v>1732</v>
      </c>
      <c r="B1793" s="138">
        <f>'Tax Sched 23'!F5</f>
        <v>136570</v>
      </c>
      <c r="C1793" s="2" t="s">
        <v>573</v>
      </c>
      <c r="D1793" s="2" t="str">
        <f t="shared" si="27"/>
        <v>Error?</v>
      </c>
    </row>
    <row r="1794" spans="1:4" x14ac:dyDescent="0.2">
      <c r="A1794" s="5">
        <v>1733</v>
      </c>
      <c r="B1794" s="138">
        <f>'Tax Sched 23'!F6</f>
        <v>89575</v>
      </c>
      <c r="C1794" s="2" t="s">
        <v>573</v>
      </c>
      <c r="D1794" s="2" t="str">
        <f t="shared" si="27"/>
        <v>Error?</v>
      </c>
    </row>
    <row r="1795" spans="1:4" x14ac:dyDescent="0.2">
      <c r="A1795" s="5">
        <v>1734</v>
      </c>
      <c r="B1795" s="138">
        <f>'Tax Sched 23'!F7</f>
        <v>82589</v>
      </c>
      <c r="C1795" s="2" t="s">
        <v>573</v>
      </c>
      <c r="D1795" s="2" t="str">
        <f t="shared" si="27"/>
        <v>Error?</v>
      </c>
    </row>
    <row r="1796" spans="1:4" x14ac:dyDescent="0.2">
      <c r="A1796" s="5">
        <v>1735</v>
      </c>
      <c r="B1796" s="138">
        <f>'Tax Sched 23'!F8</f>
        <v>31638</v>
      </c>
      <c r="C1796" s="2" t="s">
        <v>573</v>
      </c>
      <c r="D1796" s="2" t="str">
        <f t="shared" si="27"/>
        <v>Error?</v>
      </c>
    </row>
    <row r="1797" spans="1:4" x14ac:dyDescent="0.2">
      <c r="A1797" s="5">
        <v>1736</v>
      </c>
      <c r="B1797" s="138">
        <f>'Tax Sched 23'!F10</f>
        <v>19956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155420</v>
      </c>
      <c r="C1800" s="2" t="s">
        <v>573</v>
      </c>
      <c r="D1800" s="2" t="str">
        <f t="shared" si="27"/>
        <v>Error?</v>
      </c>
    </row>
    <row r="1801" spans="1:4" x14ac:dyDescent="0.2">
      <c r="A1801" s="5">
        <v>1740</v>
      </c>
      <c r="B1801" s="138">
        <f>'Tax Sched 23'!F12</f>
        <v>22572</v>
      </c>
      <c r="C1801" s="2" t="s">
        <v>573</v>
      </c>
      <c r="D1801" s="2" t="str">
        <f t="shared" si="27"/>
        <v>Error?</v>
      </c>
    </row>
    <row r="1802" spans="1:4" x14ac:dyDescent="0.2">
      <c r="A1802" s="5">
        <v>1741</v>
      </c>
      <c r="B1802" s="138">
        <f>'Tax Sched 23'!F14</f>
        <v>14770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1311502</v>
      </c>
      <c r="C1807" s="2" t="s">
        <v>573</v>
      </c>
      <c r="D1807" s="2" t="str">
        <f t="shared" si="27"/>
        <v>Error?</v>
      </c>
    </row>
    <row r="1808" spans="1:4" x14ac:dyDescent="0.2">
      <c r="A1808" s="5">
        <v>1747</v>
      </c>
      <c r="B1808" s="138">
        <f>'Tax Sched 23'!E4</f>
        <v>684593</v>
      </c>
      <c r="D1808" s="2" t="str">
        <f t="shared" si="27"/>
        <v>Error?</v>
      </c>
    </row>
    <row r="1809" spans="1:4" x14ac:dyDescent="0.2">
      <c r="A1809" s="5">
        <v>1748</v>
      </c>
      <c r="B1809" s="138">
        <f>'Tax Sched 23'!E5</f>
        <v>136570</v>
      </c>
      <c r="D1809" s="2" t="str">
        <f t="shared" si="27"/>
        <v>Error?</v>
      </c>
    </row>
    <row r="1810" spans="1:4" x14ac:dyDescent="0.2">
      <c r="A1810" s="5">
        <v>1749</v>
      </c>
      <c r="B1810" s="138">
        <f>'Tax Sched 23'!E6</f>
        <v>89575</v>
      </c>
      <c r="D1810" s="2" t="str">
        <f t="shared" si="27"/>
        <v>Error?</v>
      </c>
    </row>
    <row r="1811" spans="1:4" x14ac:dyDescent="0.2">
      <c r="A1811" s="5">
        <v>1750</v>
      </c>
      <c r="B1811" s="138">
        <f>'Tax Sched 23'!E7</f>
        <v>82589</v>
      </c>
      <c r="D1811" s="2" t="str">
        <f t="shared" si="27"/>
        <v>Error?</v>
      </c>
    </row>
    <row r="1812" spans="1:4" x14ac:dyDescent="0.2">
      <c r="A1812" s="5">
        <v>1751</v>
      </c>
      <c r="B1812" s="138">
        <f>'Tax Sched 23'!E8</f>
        <v>31638</v>
      </c>
      <c r="D1812" s="2" t="str">
        <f t="shared" si="27"/>
        <v>Error?</v>
      </c>
    </row>
    <row r="1813" spans="1:4" x14ac:dyDescent="0.2">
      <c r="A1813" s="5">
        <v>1752</v>
      </c>
      <c r="B1813" s="138">
        <f>'Tax Sched 23'!E10</f>
        <v>19956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155420</v>
      </c>
      <c r="D1816" s="2" t="str">
        <f t="shared" si="27"/>
        <v>Error?</v>
      </c>
    </row>
    <row r="1817" spans="1:4" x14ac:dyDescent="0.2">
      <c r="A1817" s="5">
        <v>1756</v>
      </c>
      <c r="B1817" s="138">
        <f>'Tax Sched 23'!E12</f>
        <v>22572</v>
      </c>
      <c r="D1817" s="2" t="str">
        <f t="shared" si="27"/>
        <v>Error?</v>
      </c>
    </row>
    <row r="1818" spans="1:4" x14ac:dyDescent="0.2">
      <c r="A1818" s="5">
        <v>1757</v>
      </c>
      <c r="B1818" s="138">
        <f>'Tax Sched 23'!E14</f>
        <v>14770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1311502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16697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16697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16697</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331206</v>
      </c>
      <c r="D2008" s="2" t="str">
        <f t="shared" si="30"/>
        <v>Error?</v>
      </c>
    </row>
    <row r="2009" spans="1:4" x14ac:dyDescent="0.2">
      <c r="A2009" s="5">
        <v>1948</v>
      </c>
      <c r="B2009" s="138">
        <f>'Cap Outlay Deprec 26'!C8</f>
        <v>2983251</v>
      </c>
      <c r="D2009" s="2" t="str">
        <f t="shared" si="30"/>
        <v>Error?</v>
      </c>
    </row>
    <row r="2010" spans="1:4" x14ac:dyDescent="0.2">
      <c r="A2010" s="5">
        <v>1949</v>
      </c>
      <c r="B2010" s="138">
        <f>'Cap Outlay Deprec 26'!C10</f>
        <v>394306</v>
      </c>
      <c r="D2010" s="2" t="str">
        <f t="shared" si="30"/>
        <v>Error?</v>
      </c>
    </row>
    <row r="2011" spans="1:4" x14ac:dyDescent="0.2">
      <c r="A2011" s="5">
        <v>1950</v>
      </c>
      <c r="B2011" s="138">
        <f>'Cap Outlay Deprec 26'!C12</f>
        <v>278977</v>
      </c>
      <c r="D2011" s="2" t="str">
        <f t="shared" si="30"/>
        <v>Error?</v>
      </c>
    </row>
    <row r="2012" spans="1:4" x14ac:dyDescent="0.2">
      <c r="A2012" s="5">
        <v>1951</v>
      </c>
      <c r="B2012" s="138">
        <f>'Cap Outlay Deprec 26'!C13</f>
        <v>115753</v>
      </c>
      <c r="D2012" s="2" t="str">
        <f t="shared" si="30"/>
        <v>Error?</v>
      </c>
    </row>
    <row r="2013" spans="1:4" x14ac:dyDescent="0.2">
      <c r="A2013" s="5">
        <v>1952</v>
      </c>
      <c r="B2013" s="138">
        <f>'Cap Outlay Deprec 26'!C16</f>
        <v>4103493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4621</v>
      </c>
      <c r="D2018" s="2" t="str">
        <f t="shared" si="30"/>
        <v>Error?</v>
      </c>
    </row>
    <row r="2019" spans="1:4" x14ac:dyDescent="0.2">
      <c r="A2019" s="5">
        <v>1958</v>
      </c>
      <c r="B2019" s="138">
        <f>'Cap Outlay Deprec 26'!D16</f>
        <v>4621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331206</v>
      </c>
      <c r="C2026" s="2" t="s">
        <v>573</v>
      </c>
      <c r="D2026" s="2" t="str">
        <f t="shared" si="30"/>
        <v>Error?</v>
      </c>
    </row>
    <row r="2027" spans="1:4" x14ac:dyDescent="0.2">
      <c r="A2027" s="5">
        <v>1966</v>
      </c>
      <c r="B2027" s="138">
        <f>'Cap Outlay Deprec 26'!F8</f>
        <v>2983251</v>
      </c>
      <c r="C2027" s="2" t="s">
        <v>573</v>
      </c>
      <c r="D2027" s="2" t="str">
        <f t="shared" si="30"/>
        <v>Error?</v>
      </c>
    </row>
    <row r="2028" spans="1:4" x14ac:dyDescent="0.2">
      <c r="A2028" s="5">
        <v>1967</v>
      </c>
      <c r="B2028" s="138">
        <f>'Cap Outlay Deprec 26'!F10</f>
        <v>394306</v>
      </c>
      <c r="C2028" s="2" t="s">
        <v>573</v>
      </c>
      <c r="D2028" s="2" t="str">
        <f t="shared" si="30"/>
        <v>Error?</v>
      </c>
    </row>
    <row r="2029" spans="1:4" x14ac:dyDescent="0.2">
      <c r="A2029" s="5">
        <v>1968</v>
      </c>
      <c r="B2029" s="138">
        <f>'Cap Outlay Deprec 26'!F12</f>
        <v>278977</v>
      </c>
      <c r="C2029" s="2" t="s">
        <v>573</v>
      </c>
      <c r="D2029" s="2" t="str">
        <f t="shared" si="30"/>
        <v>Error?</v>
      </c>
    </row>
    <row r="2030" spans="1:4" x14ac:dyDescent="0.2">
      <c r="A2030" s="5">
        <v>1969</v>
      </c>
      <c r="B2030" s="138">
        <f>'Cap Outlay Deprec 26'!F13</f>
        <v>120374</v>
      </c>
      <c r="C2030" s="2" t="s">
        <v>573</v>
      </c>
      <c r="D2030" s="2" t="str">
        <f t="shared" si="30"/>
        <v>Error?</v>
      </c>
    </row>
    <row r="2031" spans="1:4" x14ac:dyDescent="0.2">
      <c r="A2031" s="5">
        <v>1970</v>
      </c>
      <c r="B2031" s="138">
        <f>'Cap Outlay Deprec 26'!F16</f>
        <v>4108114</v>
      </c>
      <c r="C2031" s="2" t="s">
        <v>573</v>
      </c>
      <c r="D2031" s="2" t="str">
        <f t="shared" si="30"/>
        <v>Error?</v>
      </c>
    </row>
    <row r="2032" spans="1:4" x14ac:dyDescent="0.2">
      <c r="A2032" s="10">
        <v>1971</v>
      </c>
      <c r="D2032" s="2" t="str">
        <f t="shared" si="30"/>
        <v>OK</v>
      </c>
    </row>
    <row r="2033" spans="1:4" x14ac:dyDescent="0.2">
      <c r="A2033" s="5">
        <v>1972</v>
      </c>
      <c r="B2033" s="138">
        <f>'Cap Outlay Deprec 26'!H8</f>
        <v>1180422</v>
      </c>
      <c r="D2033" s="2" t="str">
        <f t="shared" si="30"/>
        <v>Error?</v>
      </c>
    </row>
    <row r="2034" spans="1:4" x14ac:dyDescent="0.2">
      <c r="A2034" s="5">
        <v>1973</v>
      </c>
      <c r="B2034" s="138">
        <f>'Cap Outlay Deprec 26'!H10</f>
        <v>104092</v>
      </c>
      <c r="D2034" s="2" t="str">
        <f t="shared" si="30"/>
        <v>Error?</v>
      </c>
    </row>
    <row r="2035" spans="1:4" x14ac:dyDescent="0.2">
      <c r="A2035" s="5">
        <v>1974</v>
      </c>
      <c r="B2035" s="138">
        <f>'Cap Outlay Deprec 26'!H12</f>
        <v>278977</v>
      </c>
      <c r="D2035" s="2" t="str">
        <f t="shared" si="30"/>
        <v>Error?</v>
      </c>
    </row>
    <row r="2036" spans="1:4" x14ac:dyDescent="0.2">
      <c r="A2036" s="5">
        <v>1975</v>
      </c>
      <c r="B2036" s="138">
        <f>'Cap Outlay Deprec 26'!H13</f>
        <v>62672</v>
      </c>
      <c r="D2036" s="2" t="str">
        <f t="shared" si="30"/>
        <v>Error?</v>
      </c>
    </row>
    <row r="2037" spans="1:4" x14ac:dyDescent="0.2">
      <c r="A2037" s="5">
        <v>1976</v>
      </c>
      <c r="B2037" s="138">
        <f>'Cap Outlay Deprec 26'!H16</f>
        <v>1626163</v>
      </c>
      <c r="C2037" s="2" t="s">
        <v>573</v>
      </c>
      <c r="D2037" s="2" t="str">
        <f t="shared" si="30"/>
        <v>Error?</v>
      </c>
    </row>
    <row r="2038" spans="1:4" x14ac:dyDescent="0.2">
      <c r="A2038" s="10">
        <v>1977</v>
      </c>
      <c r="D2038" s="2" t="str">
        <f t="shared" si="30"/>
        <v>OK</v>
      </c>
    </row>
    <row r="2039" spans="1:4" x14ac:dyDescent="0.2">
      <c r="A2039" s="5">
        <v>1978</v>
      </c>
      <c r="B2039" s="138">
        <f>'Cap Outlay Deprec 26'!I8</f>
        <v>59665</v>
      </c>
      <c r="D2039" s="2" t="str">
        <f t="shared" si="30"/>
        <v>Error?</v>
      </c>
    </row>
    <row r="2040" spans="1:4" x14ac:dyDescent="0.2">
      <c r="A2040" s="5">
        <v>1979</v>
      </c>
      <c r="B2040" s="138">
        <f>'Cap Outlay Deprec 26'!I10</f>
        <v>19715</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19795</v>
      </c>
      <c r="D2042" s="2" t="str">
        <f t="shared" si="30"/>
        <v>Error?</v>
      </c>
    </row>
    <row r="2043" spans="1:4" x14ac:dyDescent="0.2">
      <c r="A2043" s="5">
        <v>1982</v>
      </c>
      <c r="B2043" s="138">
        <f>'Cap Outlay Deprec 26'!I16</f>
        <v>99175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1240087</v>
      </c>
      <c r="C2051" s="2" t="s">
        <v>573</v>
      </c>
      <c r="D2051" s="2" t="str">
        <f t="shared" si="31"/>
        <v>Error?</v>
      </c>
    </row>
    <row r="2052" spans="1:4" x14ac:dyDescent="0.2">
      <c r="A2052" s="5">
        <v>1991</v>
      </c>
      <c r="B2052" s="138">
        <f>'Cap Outlay Deprec 26'!K10</f>
        <v>123807</v>
      </c>
      <c r="C2052" s="2" t="s">
        <v>573</v>
      </c>
      <c r="D2052" s="2" t="str">
        <f t="shared" si="31"/>
        <v>Error?</v>
      </c>
    </row>
    <row r="2053" spans="1:4" x14ac:dyDescent="0.2">
      <c r="A2053" s="5">
        <v>1992</v>
      </c>
      <c r="B2053" s="138">
        <f>'Cap Outlay Deprec 26'!K12</f>
        <v>278977</v>
      </c>
      <c r="C2053" s="2" t="s">
        <v>573</v>
      </c>
      <c r="D2053" s="2" t="str">
        <f t="shared" si="31"/>
        <v>Error?</v>
      </c>
    </row>
    <row r="2054" spans="1:4" x14ac:dyDescent="0.2">
      <c r="A2054" s="5">
        <v>1993</v>
      </c>
      <c r="B2054" s="138">
        <f>'Cap Outlay Deprec 26'!K13</f>
        <v>82467</v>
      </c>
      <c r="C2054" s="2" t="s">
        <v>573</v>
      </c>
      <c r="D2054" s="2" t="str">
        <f t="shared" si="31"/>
        <v>Error?</v>
      </c>
    </row>
    <row r="2055" spans="1:4" x14ac:dyDescent="0.2">
      <c r="A2055" s="5">
        <v>1994</v>
      </c>
      <c r="B2055" s="138">
        <f>'Cap Outlay Deprec 26'!K16</f>
        <v>1725338</v>
      </c>
      <c r="C2055" s="2" t="s">
        <v>573</v>
      </c>
      <c r="D2055" s="2" t="str">
        <f t="shared" si="31"/>
        <v>Error?</v>
      </c>
    </row>
    <row r="2056" spans="1:4" x14ac:dyDescent="0.2">
      <c r="A2056" s="5">
        <v>1995</v>
      </c>
      <c r="B2056" s="138">
        <f>'Cap Outlay Deprec 26'!L5</f>
        <v>331206</v>
      </c>
      <c r="C2056" s="2" t="s">
        <v>573</v>
      </c>
      <c r="D2056" s="2" t="str">
        <f t="shared" si="31"/>
        <v>Error?</v>
      </c>
    </row>
    <row r="2057" spans="1:4" x14ac:dyDescent="0.2">
      <c r="A2057" s="5">
        <v>1996</v>
      </c>
      <c r="B2057" s="138">
        <f>'Cap Outlay Deprec 26'!L8</f>
        <v>1743164</v>
      </c>
      <c r="C2057" s="2" t="s">
        <v>573</v>
      </c>
      <c r="D2057" s="2" t="str">
        <f t="shared" si="31"/>
        <v>Error?</v>
      </c>
    </row>
    <row r="2058" spans="1:4" x14ac:dyDescent="0.2">
      <c r="A2058" s="5">
        <v>1997</v>
      </c>
      <c r="B2058" s="138">
        <f>'Cap Outlay Deprec 26'!L10</f>
        <v>270499</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37907</v>
      </c>
      <c r="C2060" s="2" t="s">
        <v>573</v>
      </c>
      <c r="D2060" s="2" t="str">
        <f t="shared" si="31"/>
        <v>Error?</v>
      </c>
    </row>
    <row r="2061" spans="1:4" x14ac:dyDescent="0.2">
      <c r="A2061" s="5">
        <v>2000</v>
      </c>
      <c r="B2061" s="138">
        <f>'Cap Outlay Deprec 26'!L16</f>
        <v>2382776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36560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137386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237304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958340</v>
      </c>
      <c r="C2551" s="2" t="s">
        <v>573</v>
      </c>
      <c r="D2551" s="2" t="str">
        <f t="shared" si="38"/>
        <v>Error?</v>
      </c>
    </row>
    <row r="2552" spans="1:4" x14ac:dyDescent="0.2">
      <c r="A2552" s="10">
        <v>2491</v>
      </c>
      <c r="D2552" s="2" t="str">
        <f t="shared" si="38"/>
        <v>OK</v>
      </c>
    </row>
    <row r="2553" spans="1:4" x14ac:dyDescent="0.2">
      <c r="A2553" s="5">
        <v>2492</v>
      </c>
      <c r="B2553" s="138">
        <f>'Acct Summary 7-8'!C6</f>
        <v>615363</v>
      </c>
      <c r="C2553" s="2" t="s">
        <v>573</v>
      </c>
      <c r="D2553" s="2" t="str">
        <f t="shared" si="38"/>
        <v>Error?</v>
      </c>
    </row>
    <row r="2554" spans="1:4" x14ac:dyDescent="0.2">
      <c r="A2554" s="5">
        <v>2493</v>
      </c>
      <c r="B2554" s="138">
        <f>'Acct Summary 7-8'!C7</f>
        <v>210740</v>
      </c>
      <c r="C2554" s="2" t="s">
        <v>573</v>
      </c>
      <c r="D2554" s="2" t="str">
        <f t="shared" si="38"/>
        <v>Error?</v>
      </c>
    </row>
    <row r="2555" spans="1:4" x14ac:dyDescent="0.2">
      <c r="A2555" s="5">
        <v>2494</v>
      </c>
      <c r="B2555" s="138">
        <f>'Acct Summary 7-8'!C8</f>
        <v>1784443</v>
      </c>
      <c r="C2555" s="2" t="s">
        <v>573</v>
      </c>
      <c r="D2555" s="2" t="str">
        <f t="shared" si="38"/>
        <v>Error?</v>
      </c>
    </row>
    <row r="2556" spans="1:4" x14ac:dyDescent="0.2">
      <c r="A2556" s="5">
        <v>2495</v>
      </c>
      <c r="B2556" s="138">
        <f>'Acct Summary 7-8'!C12</f>
        <v>1181368</v>
      </c>
      <c r="C2556" s="2" t="s">
        <v>573</v>
      </c>
      <c r="D2556" s="2" t="str">
        <f t="shared" si="38"/>
        <v>Error?</v>
      </c>
    </row>
    <row r="2557" spans="1:4" x14ac:dyDescent="0.2">
      <c r="A2557" s="5">
        <v>2496</v>
      </c>
      <c r="B2557" s="138">
        <f>'Acct Summary 7-8'!C13</f>
        <v>469930</v>
      </c>
      <c r="C2557" s="2" t="s">
        <v>573</v>
      </c>
      <c r="D2557" s="2" t="str">
        <f t="shared" si="38"/>
        <v>Error?</v>
      </c>
    </row>
    <row r="2558" spans="1:4" x14ac:dyDescent="0.2">
      <c r="A2558" s="5">
        <v>2497</v>
      </c>
      <c r="B2558" s="138">
        <f>'Acct Summary 7-8'!C14</f>
        <v>93434</v>
      </c>
      <c r="C2558" s="2" t="s">
        <v>573</v>
      </c>
      <c r="D2558" s="2" t="str">
        <f t="shared" si="38"/>
        <v>Error?</v>
      </c>
    </row>
    <row r="2559" spans="1:4" x14ac:dyDescent="0.2">
      <c r="A2559" s="5">
        <v>2498</v>
      </c>
      <c r="B2559" s="138">
        <f>'Acct Summary 7-8'!C15</f>
        <v>36560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1781292</v>
      </c>
      <c r="C2561" s="2" t="s">
        <v>573</v>
      </c>
      <c r="D2561" s="2" t="str">
        <f t="shared" si="39"/>
        <v>Error?</v>
      </c>
    </row>
    <row r="2562" spans="1:4" x14ac:dyDescent="0.2">
      <c r="A2562" s="5">
        <v>2501</v>
      </c>
      <c r="B2562" s="138">
        <f>'Acct Summary 7-8'!C20</f>
        <v>3151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147203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147203</v>
      </c>
      <c r="C2568" s="2" t="s">
        <v>573</v>
      </c>
      <c r="D2568" s="2" t="str">
        <f t="shared" si="39"/>
        <v>Error?</v>
      </c>
    </row>
    <row r="2569" spans="1:4" x14ac:dyDescent="0.2">
      <c r="A2569" s="5">
        <v>2508</v>
      </c>
      <c r="B2569" s="138">
        <f>'Acct Summary 7-8'!D13</f>
        <v>121316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121316</v>
      </c>
      <c r="C2573" s="2" t="s">
        <v>573</v>
      </c>
      <c r="D2573" s="2" t="str">
        <f t="shared" si="39"/>
        <v>Error?</v>
      </c>
    </row>
    <row r="2574" spans="1:4" x14ac:dyDescent="0.2">
      <c r="A2574" s="5">
        <v>2513</v>
      </c>
      <c r="B2574" s="138">
        <f>'Acct Summary 7-8'!D20</f>
        <v>25887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82746</v>
      </c>
      <c r="C2591" s="2" t="s">
        <v>573</v>
      </c>
      <c r="D2591" s="2" t="str">
        <f t="shared" si="39"/>
        <v>Error?</v>
      </c>
    </row>
    <row r="2592" spans="1:4" x14ac:dyDescent="0.2">
      <c r="A2592" s="10">
        <v>2531</v>
      </c>
      <c r="D2592" s="2" t="str">
        <f t="shared" si="39"/>
        <v>OK</v>
      </c>
    </row>
    <row r="2593" spans="1:4" x14ac:dyDescent="0.2">
      <c r="A2593" s="5">
        <v>2532</v>
      </c>
      <c r="B2593" s="138">
        <f>'Acct Summary 7-8'!F6</f>
        <v>41923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124669</v>
      </c>
      <c r="C2595" s="2" t="s">
        <v>573</v>
      </c>
      <c r="D2595" s="2" t="str">
        <f t="shared" si="39"/>
        <v>Error?</v>
      </c>
    </row>
    <row r="2596" spans="1:4" x14ac:dyDescent="0.2">
      <c r="A2596" s="5">
        <v>2535</v>
      </c>
      <c r="B2596" s="138">
        <f>'Acct Summary 7-8'!F13</f>
        <v>119398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119398</v>
      </c>
      <c r="C2600" s="2" t="s">
        <v>573</v>
      </c>
      <c r="D2600" s="2" t="str">
        <f t="shared" si="39"/>
        <v>Error?</v>
      </c>
    </row>
    <row r="2601" spans="1:4" x14ac:dyDescent="0.2">
      <c r="A2601" s="5">
        <v>2540</v>
      </c>
      <c r="B2601" s="138">
        <f>'Acct Summary 7-8'!F20</f>
        <v>5271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80798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80798</v>
      </c>
      <c r="C2606" s="2" t="s">
        <v>573</v>
      </c>
      <c r="D2606" s="2" t="str">
        <f t="shared" si="39"/>
        <v>Error?</v>
      </c>
    </row>
    <row r="2607" spans="1:4" x14ac:dyDescent="0.2">
      <c r="A2607" s="5">
        <v>2546</v>
      </c>
      <c r="B2607" s="138">
        <f>'Acct Summary 7-8'!G12</f>
        <v>25095</v>
      </c>
      <c r="C2607" s="2" t="s">
        <v>573</v>
      </c>
      <c r="D2607" s="2" t="str">
        <f t="shared" si="39"/>
        <v>Error?</v>
      </c>
    </row>
    <row r="2608" spans="1:4" x14ac:dyDescent="0.2">
      <c r="A2608" s="5">
        <v>2547</v>
      </c>
      <c r="B2608" s="138">
        <f>'Acct Summary 7-8'!G13</f>
        <v>32833</v>
      </c>
      <c r="C2608" s="2" t="s">
        <v>573</v>
      </c>
      <c r="D2608" s="2" t="str">
        <f t="shared" si="39"/>
        <v>Error?</v>
      </c>
    </row>
    <row r="2609" spans="1:4" x14ac:dyDescent="0.2">
      <c r="A2609" s="5">
        <v>2548</v>
      </c>
      <c r="B2609" s="138">
        <f>'Acct Summary 7-8'!G14</f>
        <v>10120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72888</v>
      </c>
      <c r="C2612" s="2" t="s">
        <v>573</v>
      </c>
      <c r="D2612" s="2" t="str">
        <f t="shared" si="39"/>
        <v>Error?</v>
      </c>
    </row>
    <row r="2613" spans="1:4" x14ac:dyDescent="0.2">
      <c r="A2613" s="5">
        <v>2552</v>
      </c>
      <c r="B2613" s="138">
        <f>'Acct Summary 7-8'!G20</f>
        <v>7910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141790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141790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145379</v>
      </c>
      <c r="C2634" s="2" t="s">
        <v>573</v>
      </c>
      <c r="D2634" s="2" t="str">
        <f t="shared" si="40"/>
        <v>Error?</v>
      </c>
    </row>
    <row r="2635" spans="1:4" x14ac:dyDescent="0.2">
      <c r="A2635" s="5">
        <v>2574</v>
      </c>
      <c r="B2635" s="138">
        <f>'Acct Summary 7-8'!E17</f>
        <v>145379</v>
      </c>
      <c r="C2635" s="2" t="s">
        <v>573</v>
      </c>
      <c r="D2635" s="2" t="str">
        <f t="shared" si="40"/>
        <v>Error?</v>
      </c>
    </row>
    <row r="2636" spans="1:4" x14ac:dyDescent="0.2">
      <c r="A2636" s="5">
        <v>2575</v>
      </c>
      <c r="B2636" s="138">
        <f>'Acct Summary 7-8'!E20</f>
        <v>-3589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156191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156191</v>
      </c>
      <c r="C2658" s="2" t="s">
        <v>573</v>
      </c>
      <c r="D2658" s="2" t="str">
        <f t="shared" si="40"/>
        <v>Error?</v>
      </c>
    </row>
    <row r="2659" spans="1:4" x14ac:dyDescent="0.2">
      <c r="A2659" s="5">
        <v>2598</v>
      </c>
      <c r="B2659" s="138">
        <f>'Acct Summary 7-8'!H13</f>
        <v>22819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22819</v>
      </c>
      <c r="C2661" s="2" t="s">
        <v>573</v>
      </c>
      <c r="D2661" s="2" t="str">
        <f t="shared" si="40"/>
        <v>Error?</v>
      </c>
    </row>
    <row r="2662" spans="1:4" x14ac:dyDescent="0.2">
      <c r="A2662" s="5">
        <v>2601</v>
      </c>
      <c r="B2662" s="138">
        <f>'Acct Summary 7-8'!H20</f>
        <v>133372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36560</v>
      </c>
      <c r="C2789" s="2" t="s">
        <v>573</v>
      </c>
      <c r="D2789" s="2" t="str">
        <f t="shared" si="42"/>
        <v>Error?</v>
      </c>
    </row>
    <row r="2790" spans="1:4" x14ac:dyDescent="0.2">
      <c r="A2790" s="5">
        <v>2729</v>
      </c>
      <c r="B2790" s="138">
        <f>'Expenditures 15-22'!E102</f>
        <v>36560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371</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371</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99987</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75657</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101726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101726</v>
      </c>
      <c r="D2912" s="2" t="str">
        <f t="shared" si="44"/>
        <v>Error?</v>
      </c>
    </row>
    <row r="2913" spans="1:4" x14ac:dyDescent="0.2">
      <c r="A2913" s="5">
        <v>2852</v>
      </c>
      <c r="B2913" s="138">
        <f>'Assets-Liab 5-6'!I41</f>
        <v>101726</v>
      </c>
      <c r="C2913" s="2" t="s">
        <v>573</v>
      </c>
      <c r="D2913" s="2" t="str">
        <f t="shared" si="44"/>
        <v>Error?</v>
      </c>
    </row>
    <row r="2914" spans="1:4" x14ac:dyDescent="0.2">
      <c r="A2914" s="5">
        <v>2853</v>
      </c>
      <c r="B2914" s="138">
        <f>'Assets-Liab 5-6'!L33</f>
        <v>21472</v>
      </c>
      <c r="D2914" s="2" t="str">
        <f t="shared" si="44"/>
        <v>Error?</v>
      </c>
    </row>
    <row r="2915" spans="1:4" x14ac:dyDescent="0.2">
      <c r="A2915" s="10">
        <v>2854</v>
      </c>
      <c r="D2915" s="2" t="str">
        <f t="shared" si="44"/>
        <v>OK</v>
      </c>
    </row>
    <row r="2916" spans="1:4" x14ac:dyDescent="0.2">
      <c r="A2916" s="5">
        <v>2855</v>
      </c>
      <c r="B2916" s="138">
        <f>'Assets-Liab 5-6'!L34</f>
        <v>21472</v>
      </c>
      <c r="C2916" s="2" t="s">
        <v>573</v>
      </c>
      <c r="D2916" s="2" t="str">
        <f t="shared" si="44"/>
        <v>Error?</v>
      </c>
    </row>
    <row r="2917" spans="1:4" x14ac:dyDescent="0.2">
      <c r="A2917" s="5">
        <v>2856</v>
      </c>
      <c r="B2917" s="138">
        <f>'Assets-Liab 5-6'!L41</f>
        <v>21472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36560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36560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3292</v>
      </c>
      <c r="C3225" s="2" t="s">
        <v>573</v>
      </c>
      <c r="D3225" s="2" t="str">
        <f t="shared" si="49"/>
        <v>Error?</v>
      </c>
    </row>
    <row r="3226" spans="1:4" x14ac:dyDescent="0.2">
      <c r="A3226" s="5">
        <v>3165</v>
      </c>
      <c r="B3226" s="138">
        <f>'Acct Summary 7-8'!I8</f>
        <v>3292</v>
      </c>
      <c r="C3226" s="2" t="s">
        <v>573</v>
      </c>
      <c r="D3226" s="2" t="str">
        <f t="shared" si="49"/>
        <v>Error?</v>
      </c>
    </row>
    <row r="3227" spans="1:4" x14ac:dyDescent="0.2">
      <c r="A3227" s="5">
        <v>3166</v>
      </c>
      <c r="B3227" s="138">
        <f>'Acct Summary 7-8'!I20</f>
        <v>3292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3151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25887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5271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-3589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133372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3292</v>
      </c>
      <c r="C3320" s="2" t="s">
        <v>573</v>
      </c>
      <c r="D3320" s="2" t="str">
        <f t="shared" si="50"/>
        <v>Error?</v>
      </c>
    </row>
    <row r="3321" spans="1:4" x14ac:dyDescent="0.2">
      <c r="A3321" s="5">
        <v>3260</v>
      </c>
      <c r="B3321" s="138">
        <f>'Acct Summary 7-8'!I79</f>
        <v>98434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101726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228644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35827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29703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296487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10759</v>
      </c>
      <c r="D3387" s="2" t="str">
        <f t="shared" si="51"/>
        <v>Error?</v>
      </c>
    </row>
    <row r="3388" spans="1:4" x14ac:dyDescent="0.2">
      <c r="A3388" s="5">
        <v>3327</v>
      </c>
      <c r="B3388" s="138">
        <f>'Expenditures 15-22'!D217</f>
        <v>13039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10759</v>
      </c>
      <c r="C3390" s="2" t="s">
        <v>573</v>
      </c>
      <c r="D3390" s="2" t="str">
        <f t="shared" si="51"/>
        <v>Error?</v>
      </c>
    </row>
    <row r="3391" spans="1:4" x14ac:dyDescent="0.2">
      <c r="A3391" s="5">
        <v>3330</v>
      </c>
      <c r="B3391" s="138">
        <f>'Expenditures 15-22'!K217</f>
        <v>13039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720501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240369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11360</v>
      </c>
      <c r="D3417" s="2" t="str">
        <f t="shared" si="52"/>
        <v>Error?</v>
      </c>
    </row>
    <row r="3418" spans="1:4" x14ac:dyDescent="0.2">
      <c r="A3418" s="10">
        <v>3357</v>
      </c>
      <c r="D3418" s="2" t="str">
        <f t="shared" si="52"/>
        <v>OK</v>
      </c>
    </row>
    <row r="3419" spans="1:4" x14ac:dyDescent="0.2">
      <c r="A3419" s="5">
        <v>3358</v>
      </c>
      <c r="B3419" s="138">
        <f>'Assets-Liab 5-6'!F4</f>
        <v>83254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137386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237304</v>
      </c>
      <c r="D3425" s="2" t="str">
        <f t="shared" si="52"/>
        <v>Error?</v>
      </c>
    </row>
    <row r="3426" spans="1:4" x14ac:dyDescent="0.2">
      <c r="A3426" s="10">
        <v>3365</v>
      </c>
      <c r="D3426" s="2" t="str">
        <f t="shared" si="52"/>
        <v>OK</v>
      </c>
    </row>
    <row r="3427" spans="1:4" x14ac:dyDescent="0.2">
      <c r="A3427" s="5">
        <v>3366</v>
      </c>
      <c r="B3427" s="138">
        <f>'Assets-Liab 5-6'!I4</f>
        <v>101726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21472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48880</v>
      </c>
      <c r="C3446" s="2" t="s">
        <v>573</v>
      </c>
      <c r="D3446" s="2" t="str">
        <f t="shared" si="52"/>
        <v>Error?</v>
      </c>
    </row>
    <row r="3447" spans="1:4" x14ac:dyDescent="0.2">
      <c r="A3447" s="5">
        <v>3386</v>
      </c>
      <c r="B3447" s="138">
        <f>'Tax Sched 23'!D16</f>
        <v>48880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51247</v>
      </c>
      <c r="C3449" s="2" t="s">
        <v>573</v>
      </c>
      <c r="D3449" s="2" t="str">
        <f t="shared" si="52"/>
        <v>Error?</v>
      </c>
    </row>
    <row r="3450" spans="1:4" x14ac:dyDescent="0.2">
      <c r="A3450" s="5">
        <v>3389</v>
      </c>
      <c r="B3450" s="138">
        <f>'Tax Sched 23'!E16</f>
        <v>51247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84902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84902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84902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84902</v>
      </c>
      <c r="C3568" s="2" t="s">
        <v>573</v>
      </c>
      <c r="D3568" s="2" t="str">
        <f t="shared" si="54"/>
        <v>Error?</v>
      </c>
    </row>
    <row r="3569" spans="1:4" x14ac:dyDescent="0.2">
      <c r="A3569" s="5">
        <v>3508</v>
      </c>
      <c r="B3569" s="138">
        <f>'Acct Summary 7-8'!K4</f>
        <v>22539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22539</v>
      </c>
      <c r="C3571" s="2" t="s">
        <v>573</v>
      </c>
      <c r="D3571" s="2" t="str">
        <f t="shared" si="54"/>
        <v>Error?</v>
      </c>
    </row>
    <row r="3572" spans="1:4" x14ac:dyDescent="0.2">
      <c r="A3572" s="5">
        <v>3511</v>
      </c>
      <c r="B3572" s="138">
        <f>'Acct Summary 7-8'!K13</f>
        <v>21084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21084</v>
      </c>
      <c r="C3575" s="2" t="s">
        <v>573</v>
      </c>
      <c r="D3575" s="2" t="str">
        <f t="shared" si="54"/>
        <v>Error?</v>
      </c>
    </row>
    <row r="3576" spans="1:4" x14ac:dyDescent="0.2">
      <c r="A3576" s="5">
        <v>3515</v>
      </c>
      <c r="B3576" s="138">
        <f>'Acct Summary 7-8'!K20</f>
        <v>1455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1455</v>
      </c>
      <c r="C3588" s="2" t="s">
        <v>573</v>
      </c>
      <c r="D3588" s="2" t="str">
        <f t="shared" si="55"/>
        <v>Error?</v>
      </c>
    </row>
    <row r="3589" spans="1:4" x14ac:dyDescent="0.2">
      <c r="A3589" s="5">
        <v>3528</v>
      </c>
      <c r="B3589" s="138">
        <f>'Acct Summary 7-8'!K79</f>
        <v>83447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84902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21084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21084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21084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21084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21084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21084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21084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4840</v>
      </c>
      <c r="D3721" s="2" t="str">
        <f t="shared" si="57"/>
        <v>Error?</v>
      </c>
    </row>
    <row r="3722" spans="1:4" x14ac:dyDescent="0.2">
      <c r="A3722" s="5">
        <v>3661</v>
      </c>
      <c r="B3722" s="138">
        <f>'Expenditures 15-22'!D285</f>
        <v>4840</v>
      </c>
      <c r="C3722" s="2" t="s">
        <v>573</v>
      </c>
      <c r="D3722" s="2" t="str">
        <f t="shared" si="57"/>
        <v>Error?</v>
      </c>
    </row>
    <row r="3723" spans="1:4" x14ac:dyDescent="0.2">
      <c r="A3723" s="5">
        <v>3662</v>
      </c>
      <c r="B3723" s="138">
        <f>'Expenditures 15-22'!K283</f>
        <v>4840</v>
      </c>
      <c r="C3723" s="2" t="s">
        <v>573</v>
      </c>
      <c r="D3723" s="2" t="str">
        <f t="shared" si="57"/>
        <v>Error?</v>
      </c>
    </row>
    <row r="3724" spans="1:4" x14ac:dyDescent="0.2">
      <c r="A3724" s="5">
        <v>3663</v>
      </c>
      <c r="B3724" s="138">
        <f>'Expenditures 15-22'!K285</f>
        <v>4840</v>
      </c>
      <c r="C3724" s="2" t="s">
        <v>573</v>
      </c>
      <c r="D3724" s="2" t="str">
        <f t="shared" si="57"/>
        <v>Error?</v>
      </c>
    </row>
    <row r="3725" spans="1:4" x14ac:dyDescent="0.2">
      <c r="A3725" s="5">
        <v>3664</v>
      </c>
      <c r="B3725" s="138">
        <f>'Tax Sched 23'!B13</f>
        <v>14375</v>
      </c>
      <c r="C3725" s="2" t="s">
        <v>573</v>
      </c>
      <c r="D3725" s="2" t="str">
        <f t="shared" si="57"/>
        <v>Error?</v>
      </c>
    </row>
    <row r="3726" spans="1:4" x14ac:dyDescent="0.2">
      <c r="A3726" s="5">
        <v>3665</v>
      </c>
      <c r="B3726" s="138">
        <f>'Tax Sched 23'!D13</f>
        <v>14375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22572</v>
      </c>
      <c r="C3728" s="2" t="s">
        <v>573</v>
      </c>
      <c r="D3728" s="2" t="str">
        <f t="shared" si="57"/>
        <v>Error?</v>
      </c>
    </row>
    <row r="3729" spans="1:4" x14ac:dyDescent="0.2">
      <c r="A3729" s="5">
        <v>3668</v>
      </c>
      <c r="B3729" s="138">
        <f>'Tax Sched 23'!E13</f>
        <v>22572</v>
      </c>
      <c r="D3729" s="2" t="str">
        <f t="shared" si="57"/>
        <v>Error?</v>
      </c>
    </row>
    <row r="3730" spans="1:4" x14ac:dyDescent="0.2">
      <c r="A3730" s="5">
        <v>3669</v>
      </c>
      <c r="B3730" s="138">
        <f>'ICR Computation 30'!E10</f>
        <v>29120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104027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1888470</v>
      </c>
      <c r="C4122" s="2" t="s">
        <v>573</v>
      </c>
      <c r="D4122" s="2" t="str">
        <f t="shared" si="63"/>
        <v>Error?</v>
      </c>
    </row>
    <row r="4123" spans="1:4" x14ac:dyDescent="0.2">
      <c r="A4123" s="5">
        <v>4062</v>
      </c>
      <c r="B4123" s="138">
        <f>'Acct Summary 7-8'!D10</f>
        <v>147203</v>
      </c>
      <c r="C4123" s="2" t="s">
        <v>573</v>
      </c>
      <c r="D4123" s="2" t="str">
        <f t="shared" si="63"/>
        <v>Error?</v>
      </c>
    </row>
    <row r="4124" spans="1:4" x14ac:dyDescent="0.2">
      <c r="A4124" s="5">
        <v>4063</v>
      </c>
      <c r="B4124" s="138">
        <f>'Acct Summary 7-8'!E10</f>
        <v>141790</v>
      </c>
      <c r="C4124" s="2" t="s">
        <v>573</v>
      </c>
      <c r="D4124" s="2" t="str">
        <f t="shared" si="63"/>
        <v>Error?</v>
      </c>
    </row>
    <row r="4125" spans="1:4" x14ac:dyDescent="0.2">
      <c r="A4125" s="5">
        <v>4064</v>
      </c>
      <c r="B4125" s="138">
        <f>'Acct Summary 7-8'!F10</f>
        <v>124669</v>
      </c>
      <c r="C4125" s="2" t="s">
        <v>573</v>
      </c>
      <c r="D4125" s="2" t="str">
        <f t="shared" si="63"/>
        <v>Error?</v>
      </c>
    </row>
    <row r="4126" spans="1:4" x14ac:dyDescent="0.2">
      <c r="A4126" s="5">
        <v>4065</v>
      </c>
      <c r="B4126" s="138">
        <f>'Acct Summary 7-8'!G10</f>
        <v>80798</v>
      </c>
      <c r="C4126" s="2" t="s">
        <v>573</v>
      </c>
      <c r="D4126" s="2" t="str">
        <f t="shared" si="63"/>
        <v>Error?</v>
      </c>
    </row>
    <row r="4127" spans="1:4" x14ac:dyDescent="0.2">
      <c r="A4127" s="5">
        <v>4066</v>
      </c>
      <c r="B4127" s="138">
        <f>'Acct Summary 7-8'!H10</f>
        <v>156191</v>
      </c>
      <c r="C4127" s="2" t="s">
        <v>573</v>
      </c>
      <c r="D4127" s="2" t="str">
        <f t="shared" si="63"/>
        <v>Error?</v>
      </c>
    </row>
    <row r="4128" spans="1:4" x14ac:dyDescent="0.2">
      <c r="A4128" s="5">
        <v>4067</v>
      </c>
      <c r="B4128" s="138">
        <f>'Acct Summary 7-8'!I10</f>
        <v>3292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22539</v>
      </c>
      <c r="C4130" s="2" t="s">
        <v>573</v>
      </c>
      <c r="D4130" s="2" t="str">
        <f t="shared" si="63"/>
        <v>Error?</v>
      </c>
    </row>
    <row r="4131" spans="1:4" x14ac:dyDescent="0.2">
      <c r="A4131" s="5">
        <v>4070</v>
      </c>
      <c r="B4131" s="138">
        <f>'Acct Summary 7-8'!C18</f>
        <v>104027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1885319</v>
      </c>
      <c r="C4136" s="2" t="s">
        <v>573</v>
      </c>
      <c r="D4136" s="2" t="str">
        <f t="shared" si="63"/>
        <v>Error?</v>
      </c>
    </row>
    <row r="4137" spans="1:4" x14ac:dyDescent="0.2">
      <c r="A4137" s="5">
        <v>4076</v>
      </c>
      <c r="B4137" s="138">
        <f>'Acct Summary 7-8'!D19</f>
        <v>121316</v>
      </c>
      <c r="C4137" s="2" t="s">
        <v>573</v>
      </c>
      <c r="D4137" s="2" t="str">
        <f t="shared" si="63"/>
        <v>Error?</v>
      </c>
    </row>
    <row r="4138" spans="1:4" x14ac:dyDescent="0.2">
      <c r="A4138" s="5">
        <v>4077</v>
      </c>
      <c r="B4138" s="138">
        <f>'Acct Summary 7-8'!E19</f>
        <v>145379</v>
      </c>
      <c r="C4138" s="2" t="s">
        <v>573</v>
      </c>
      <c r="D4138" s="2" t="str">
        <f t="shared" si="63"/>
        <v>Error?</v>
      </c>
    </row>
    <row r="4139" spans="1:4" x14ac:dyDescent="0.2">
      <c r="A4139" s="5">
        <v>4078</v>
      </c>
      <c r="B4139" s="138">
        <f>'Acct Summary 7-8'!F19</f>
        <v>119398</v>
      </c>
      <c r="C4139" s="2" t="s">
        <v>573</v>
      </c>
      <c r="D4139" s="2" t="str">
        <f t="shared" si="63"/>
        <v>Error?</v>
      </c>
    </row>
    <row r="4140" spans="1:4" x14ac:dyDescent="0.2">
      <c r="A4140" s="5">
        <v>4079</v>
      </c>
      <c r="B4140" s="138">
        <f>'Acct Summary 7-8'!G19</f>
        <v>72888</v>
      </c>
      <c r="C4140" s="2" t="s">
        <v>573</v>
      </c>
      <c r="D4140" s="2" t="str">
        <f t="shared" si="63"/>
        <v>Error?</v>
      </c>
    </row>
    <row r="4141" spans="1:4" x14ac:dyDescent="0.2">
      <c r="A4141" s="5">
        <v>4080</v>
      </c>
      <c r="B4141" s="138">
        <f>'Acct Summary 7-8'!H19</f>
        <v>22819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21084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935000</v>
      </c>
      <c r="C4171" s="2" t="s">
        <v>573</v>
      </c>
      <c r="D4171" s="2" t="str">
        <f t="shared" si="64"/>
        <v>Error?</v>
      </c>
    </row>
    <row r="4172" spans="1:4" x14ac:dyDescent="0.2">
      <c r="A4172" s="5">
        <v>4111</v>
      </c>
      <c r="B4172" s="138">
        <f>'Short-Term Long-Term Debt 24'!J49</f>
        <v>11361</v>
      </c>
      <c r="C4172" s="2" t="s">
        <v>573</v>
      </c>
      <c r="D4172" s="2" t="str">
        <f t="shared" si="64"/>
        <v>Error?</v>
      </c>
    </row>
    <row r="4173" spans="1:4" x14ac:dyDescent="0.2">
      <c r="A4173" s="5">
        <v>4112</v>
      </c>
      <c r="B4173" s="138">
        <f>'Short-Term Long-Term Debt 24'!H49</f>
        <v>125000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1650</v>
      </c>
      <c r="C4265" s="2" t="s">
        <v>573</v>
      </c>
      <c r="D4265" s="2" t="str">
        <f t="shared" si="65"/>
        <v>Error?</v>
      </c>
      <c r="E4265" s="128"/>
    </row>
    <row r="4266" spans="1:5" x14ac:dyDescent="0.2">
      <c r="A4266" s="12">
        <v>4205</v>
      </c>
      <c r="B4266" s="138">
        <f>('FP Info 3'!F10)*100000</f>
        <v>216.98</v>
      </c>
      <c r="C4266" s="2" t="s">
        <v>573</v>
      </c>
      <c r="D4266" s="2" t="str">
        <f t="shared" si="65"/>
        <v>Error?</v>
      </c>
      <c r="E4266" s="128"/>
    </row>
    <row r="4267" spans="1:5" x14ac:dyDescent="0.2">
      <c r="A4267" s="12">
        <v>4206</v>
      </c>
      <c r="B4267" s="138">
        <f>('FP Info 3'!H10)*100000</f>
        <v>199.76</v>
      </c>
      <c r="C4267" s="2" t="s">
        <v>573</v>
      </c>
      <c r="D4267" s="2" t="str">
        <f t="shared" si="65"/>
        <v>Error?</v>
      </c>
      <c r="E4267" s="128"/>
    </row>
    <row r="4268" spans="1:5" x14ac:dyDescent="0.2">
      <c r="A4268" s="12">
        <v>4207</v>
      </c>
      <c r="B4268" s="138">
        <f>('FP Info 3'!J10)*100000</f>
        <v>2067</v>
      </c>
      <c r="C4268" s="2" t="s">
        <v>573</v>
      </c>
      <c r="D4268" s="2" t="str">
        <f t="shared" si="65"/>
        <v>Error?</v>
      </c>
    </row>
    <row r="4269" spans="1:5" x14ac:dyDescent="0.2">
      <c r="A4269" s="12">
        <v>4208</v>
      </c>
      <c r="B4269" s="138">
        <f>'FP Info 3'!J16</f>
        <v>1132799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4255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13540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11592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9517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47.91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13899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41460787</v>
      </c>
      <c r="D4995" s="2" t="str">
        <f t="shared" si="77"/>
        <v>Error?</v>
      </c>
    </row>
    <row r="4996" spans="1:4" x14ac:dyDescent="0.2">
      <c r="A4996" s="12">
        <v>4935</v>
      </c>
      <c r="B4996" s="138">
        <f>'FP Info 3'!H31</f>
        <v>2860794.3030000003</v>
      </c>
      <c r="D4996" s="2" t="str">
        <f t="shared" si="77"/>
        <v>Error?</v>
      </c>
    </row>
    <row r="4997" spans="1:4" x14ac:dyDescent="0.2">
      <c r="A4997" s="12">
        <v>4936</v>
      </c>
      <c r="B4997" s="138">
        <f>'FP Info 3'!H37</f>
        <v>935000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703904</v>
      </c>
      <c r="D5061" s="2" t="str">
        <f t="shared" si="78"/>
        <v>Error?</v>
      </c>
    </row>
    <row r="5062" spans="1:4" x14ac:dyDescent="0.2">
      <c r="A5062" s="10">
        <v>5001</v>
      </c>
      <c r="D5062" s="2" t="str">
        <f t="shared" si="78"/>
        <v>OK</v>
      </c>
    </row>
    <row r="5063" spans="1:4" x14ac:dyDescent="0.2">
      <c r="A5063" s="5">
        <v>5002</v>
      </c>
      <c r="B5063" s="138">
        <f>'Revenues 9-14'!C7</f>
        <v>16697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720601</v>
      </c>
      <c r="C5066" s="2" t="s">
        <v>573</v>
      </c>
      <c r="D5066" s="2" t="str">
        <f t="shared" si="78"/>
        <v>Error?</v>
      </c>
    </row>
    <row r="5067" spans="1:4" x14ac:dyDescent="0.2">
      <c r="A5067" s="5">
        <v>5006</v>
      </c>
      <c r="B5067" s="138">
        <f>'Revenues 9-14'!C14</f>
        <v>4701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6203</v>
      </c>
      <c r="D5069" s="2" t="str">
        <f t="shared" si="78"/>
        <v>Error?</v>
      </c>
    </row>
    <row r="5070" spans="1:4" x14ac:dyDescent="0.2">
      <c r="A5070" s="5">
        <v>5009</v>
      </c>
      <c r="B5070" s="138">
        <f>'Revenues 9-14'!C17</f>
        <v>9822</v>
      </c>
      <c r="D5070" s="2" t="str">
        <f t="shared" si="78"/>
        <v>Error?</v>
      </c>
    </row>
    <row r="5071" spans="1:4" x14ac:dyDescent="0.2">
      <c r="A5071" s="5">
        <v>5010</v>
      </c>
      <c r="B5071" s="138">
        <f>'Revenues 9-14'!C18</f>
        <v>20726</v>
      </c>
      <c r="C5071" s="2" t="s">
        <v>573</v>
      </c>
      <c r="D5071" s="2" t="str">
        <f t="shared" si="78"/>
        <v>Error?</v>
      </c>
    </row>
    <row r="5072" spans="1:4" x14ac:dyDescent="0.2">
      <c r="A5072" s="5">
        <v>5011</v>
      </c>
      <c r="B5072" s="138">
        <f>'Revenues 9-14'!C20</f>
        <v>7839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7839</v>
      </c>
      <c r="C5087" s="2" t="s">
        <v>573</v>
      </c>
      <c r="D5087" s="2" t="str">
        <f t="shared" si="78"/>
        <v>Error?</v>
      </c>
    </row>
    <row r="5088" spans="1:4" x14ac:dyDescent="0.2">
      <c r="A5088" s="5">
        <v>5027</v>
      </c>
      <c r="B5088" s="138">
        <f>'Revenues 9-14'!C65</f>
        <v>8663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8663</v>
      </c>
      <c r="C5090" s="2" t="s">
        <v>573</v>
      </c>
      <c r="D5090" s="2" t="str">
        <f t="shared" si="78"/>
        <v>Error?</v>
      </c>
    </row>
    <row r="5091" spans="1:4" x14ac:dyDescent="0.2">
      <c r="A5091" s="5">
        <v>5030</v>
      </c>
      <c r="B5091" s="138">
        <f>'Revenues 9-14'!C70</f>
        <v>459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666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36754</v>
      </c>
      <c r="C5096" s="2" t="s">
        <v>573</v>
      </c>
      <c r="D5096" s="2" t="str">
        <f t="shared" si="78"/>
        <v>Error?</v>
      </c>
    </row>
    <row r="5097" spans="1:4" x14ac:dyDescent="0.2">
      <c r="A5097" s="5">
        <v>5036</v>
      </c>
      <c r="B5097" s="138">
        <f>'Revenues 9-14'!C77</f>
        <v>10764</v>
      </c>
      <c r="D5097" s="2" t="str">
        <f t="shared" si="78"/>
        <v>Error?</v>
      </c>
    </row>
    <row r="5098" spans="1:4" x14ac:dyDescent="0.2">
      <c r="A5098" s="5">
        <v>5037</v>
      </c>
      <c r="B5098" s="138">
        <f>'Revenues 9-14'!C78</f>
        <v>8211</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18975</v>
      </c>
      <c r="C5102" s="2" t="s">
        <v>573</v>
      </c>
      <c r="D5102" s="2" t="str">
        <f t="shared" si="78"/>
        <v>Error?</v>
      </c>
    </row>
    <row r="5103" spans="1:4" x14ac:dyDescent="0.2">
      <c r="A5103" s="5">
        <v>5042</v>
      </c>
      <c r="B5103" s="138">
        <f>'Revenues 9-14'!C84</f>
        <v>7125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7125</v>
      </c>
      <c r="C5112" s="2" t="s">
        <v>573</v>
      </c>
      <c r="D5112" s="2" t="str">
        <f t="shared" si="78"/>
        <v>Error?</v>
      </c>
    </row>
    <row r="5113" spans="1:4" x14ac:dyDescent="0.2">
      <c r="A5113" s="5">
        <v>5052</v>
      </c>
      <c r="B5113" s="138">
        <f>'Revenues 9-14'!C95</f>
        <v>1050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125272</v>
      </c>
      <c r="D5118" s="2" t="str">
        <f t="shared" si="78"/>
        <v>Error?</v>
      </c>
    </row>
    <row r="5119" spans="1:4" x14ac:dyDescent="0.2">
      <c r="A5119" s="5">
        <v>5058</v>
      </c>
      <c r="B5119" s="138">
        <f>'Revenues 9-14'!C107</f>
        <v>10567</v>
      </c>
      <c r="D5119" s="2" t="str">
        <f t="shared" ref="D5119:D5182" si="79">IF(ISBLANK(B5119),"OK",IF(A5119-B5119=0,"OK","Error?"))</f>
        <v>Error?</v>
      </c>
    </row>
    <row r="5120" spans="1:4" x14ac:dyDescent="0.2">
      <c r="A5120" s="5">
        <v>5059</v>
      </c>
      <c r="B5120" s="138">
        <f>'Revenues 9-14'!C108</f>
        <v>137657</v>
      </c>
      <c r="C5120" s="2" t="s">
        <v>573</v>
      </c>
      <c r="D5120" s="2" t="str">
        <f t="shared" si="79"/>
        <v>Error?</v>
      </c>
    </row>
    <row r="5121" spans="1:4" x14ac:dyDescent="0.2">
      <c r="A5121" s="5">
        <v>5060</v>
      </c>
      <c r="B5121" s="138">
        <f>'Revenues 9-14'!C109</f>
        <v>958340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614029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614029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584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615363</v>
      </c>
      <c r="C5223" s="2" t="s">
        <v>573</v>
      </c>
      <c r="D5223" s="2" t="str">
        <f t="shared" si="80"/>
        <v>Error?</v>
      </c>
    </row>
    <row r="5224" spans="1:4" x14ac:dyDescent="0.2">
      <c r="A5224" s="5">
        <v>5163</v>
      </c>
      <c r="B5224" s="138">
        <f>'Revenues 9-14'!C173</f>
        <v>14619</v>
      </c>
      <c r="D5224" s="2" t="str">
        <f t="shared" si="80"/>
        <v>Error?</v>
      </c>
    </row>
    <row r="5225" spans="1:4" x14ac:dyDescent="0.2">
      <c r="A5225" s="5">
        <v>5164</v>
      </c>
      <c r="B5225" s="138">
        <f>'Revenues 9-14'!C175</f>
        <v>14619</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37935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7717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45652</v>
      </c>
      <c r="C5246" s="2" t="s">
        <v>573</v>
      </c>
      <c r="D5246" s="2" t="str">
        <f t="shared" si="80"/>
        <v>Error?</v>
      </c>
    </row>
    <row r="5247" spans="1:4" x14ac:dyDescent="0.2">
      <c r="A5247" s="5">
        <v>5186</v>
      </c>
      <c r="B5247" s="138">
        <f>'Revenues 9-14'!C200</f>
        <v>97666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11592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97666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196121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210740</v>
      </c>
      <c r="C5326" s="2" t="s">
        <v>573</v>
      </c>
      <c r="D5326" s="2" t="str">
        <f t="shared" si="82"/>
        <v>Error?</v>
      </c>
    </row>
    <row r="5327" spans="1:5" x14ac:dyDescent="0.2">
      <c r="A5327" s="5">
        <v>5266</v>
      </c>
      <c r="B5327" s="138">
        <f>'Revenues 9-14'!C268</f>
        <v>1784443</v>
      </c>
      <c r="C5327" s="2" t="s">
        <v>573</v>
      </c>
      <c r="D5327" s="2" t="str">
        <f t="shared" si="82"/>
        <v>Error?</v>
      </c>
    </row>
    <row r="5328" spans="1:5" x14ac:dyDescent="0.2">
      <c r="A5328" s="5">
        <v>5267</v>
      </c>
      <c r="B5328" s="138">
        <f>'Revenues 9-14'!D5</f>
        <v>130277</v>
      </c>
      <c r="D5328" s="2" t="str">
        <f t="shared" si="82"/>
        <v>Error?</v>
      </c>
    </row>
    <row r="5329" spans="1:4" x14ac:dyDescent="0.2">
      <c r="A5329" s="10">
        <v>5268</v>
      </c>
      <c r="D5329" s="2" t="str">
        <f t="shared" si="82"/>
        <v>OK</v>
      </c>
    </row>
    <row r="5330" spans="1:4" x14ac:dyDescent="0.2">
      <c r="A5330" s="5">
        <v>5269</v>
      </c>
      <c r="B5330" s="138">
        <f>'Revenues 9-14'!D6</f>
        <v>14375</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144652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2551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147203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147203</v>
      </c>
      <c r="C5508" s="2" t="s">
        <v>573</v>
      </c>
      <c r="D5508" s="2" t="str">
        <f t="shared" si="85"/>
        <v>Error?</v>
      </c>
    </row>
    <row r="5509" spans="1:4" x14ac:dyDescent="0.2">
      <c r="A5509" s="5">
        <v>5448</v>
      </c>
      <c r="B5509" s="138">
        <f>'Revenues 9-14'!E5</f>
        <v>141451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141451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141790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141790</v>
      </c>
      <c r="C5552" s="2" t="s">
        <v>573</v>
      </c>
      <c r="D5552" s="2" t="str">
        <f t="shared" si="85"/>
        <v>Error?</v>
      </c>
    </row>
    <row r="5553" spans="1:4" x14ac:dyDescent="0.2">
      <c r="A5553" s="5">
        <v>5492</v>
      </c>
      <c r="B5553" s="138">
        <f>'Revenues 9-14'!F5</f>
        <v>79652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79652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2064</v>
      </c>
      <c r="D5586" s="2" t="str">
        <f t="shared" si="86"/>
        <v>Error?</v>
      </c>
    </row>
    <row r="5587" spans="1:4" x14ac:dyDescent="0.2">
      <c r="A5587" s="5">
        <v>5526</v>
      </c>
      <c r="B5587" s="138">
        <f>'Revenues 9-14'!F108</f>
        <v>2064</v>
      </c>
      <c r="C5587" s="2" t="s">
        <v>573</v>
      </c>
      <c r="D5587" s="2" t="str">
        <f t="shared" si="86"/>
        <v>Error?</v>
      </c>
    </row>
    <row r="5588" spans="1:4" x14ac:dyDescent="0.2">
      <c r="A5588" s="5">
        <v>5527</v>
      </c>
      <c r="B5588" s="138">
        <f>'Revenues 9-14'!F109</f>
        <v>82746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41861</v>
      </c>
      <c r="D5615" s="2" t="str">
        <f t="shared" si="86"/>
        <v>Error?</v>
      </c>
    </row>
    <row r="5616" spans="1:4" x14ac:dyDescent="0.2">
      <c r="A5616" s="10">
        <v>5555</v>
      </c>
      <c r="D5616" s="2" t="str">
        <f t="shared" si="86"/>
        <v>OK</v>
      </c>
    </row>
    <row r="5617" spans="1:5" x14ac:dyDescent="0.2">
      <c r="A5617" s="5">
        <v>5556</v>
      </c>
      <c r="B5617" s="138">
        <f>'Revenues 9-14'!F153</f>
        <v>62</v>
      </c>
      <c r="D5617" s="2" t="str">
        <f t="shared" si="86"/>
        <v>Error?</v>
      </c>
    </row>
    <row r="5618" spans="1:5" x14ac:dyDescent="0.2">
      <c r="A5618" s="5">
        <v>5557</v>
      </c>
      <c r="B5618" s="138">
        <f>'Revenues 9-14'!F155</f>
        <v>41923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41923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41923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124669</v>
      </c>
      <c r="C5720" s="2" t="s">
        <v>573</v>
      </c>
      <c r="D5720" s="2" t="str">
        <f t="shared" si="88"/>
        <v>Error?</v>
      </c>
    </row>
    <row r="5721" spans="1:4" x14ac:dyDescent="0.2">
      <c r="A5721" s="5">
        <v>5660</v>
      </c>
      <c r="B5721" s="138">
        <f>'Revenues 9-14'!G5</f>
        <v>30180</v>
      </c>
      <c r="D5721" s="2" t="str">
        <f t="shared" si="88"/>
        <v>Error?</v>
      </c>
    </row>
    <row r="5722" spans="1:4" x14ac:dyDescent="0.2">
      <c r="A5722" s="5">
        <v>5661</v>
      </c>
      <c r="B5722" s="138">
        <f>'Revenues 9-14'!G7</f>
        <v>0</v>
      </c>
      <c r="D5722" s="2" t="str">
        <f t="shared" si="88"/>
        <v>Error?</v>
      </c>
    </row>
    <row r="5723" spans="1:4" x14ac:dyDescent="0.2">
      <c r="A5723" s="5">
        <v>5662</v>
      </c>
      <c r="B5723" s="138">
        <f>'Revenues 9-14'!G8</f>
        <v>48880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79060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183</v>
      </c>
      <c r="C5730" s="2" t="s">
        <v>573</v>
      </c>
      <c r="D5730" s="2" t="str">
        <f t="shared" si="88"/>
        <v>Error?</v>
      </c>
    </row>
    <row r="5731" spans="1:4" x14ac:dyDescent="0.2">
      <c r="A5731" s="5">
        <v>5670</v>
      </c>
      <c r="B5731" s="138">
        <f>'Revenues 9-14'!G65</f>
        <v>1555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1555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80798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1814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154377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156191</v>
      </c>
      <c r="C5915" s="2" t="s">
        <v>573</v>
      </c>
      <c r="D5915" s="2" t="str">
        <f t="shared" si="91"/>
        <v>Error?</v>
      </c>
    </row>
    <row r="5916" spans="1:4" x14ac:dyDescent="0.2">
      <c r="A5916" s="5">
        <v>5855</v>
      </c>
      <c r="B5916" s="138">
        <f>'Revenues 9-14'!I5</f>
        <v>2376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2376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21530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21530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1009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22539</v>
      </c>
      <c r="C6023" s="2" t="s">
        <v>573</v>
      </c>
      <c r="D6023" s="2" t="str">
        <f t="shared" si="93"/>
        <v>Error?</v>
      </c>
    </row>
    <row r="6024" spans="1:5" x14ac:dyDescent="0.2">
      <c r="A6024" s="5">
        <v>5963</v>
      </c>
      <c r="B6024" s="138">
        <f>'Revenues 9-14'!G109</f>
        <v>80798</v>
      </c>
      <c r="C6024" s="2" t="s">
        <v>573</v>
      </c>
      <c r="D6024" s="2" t="str">
        <f t="shared" si="93"/>
        <v>Error?</v>
      </c>
    </row>
    <row r="6025" spans="1:5" x14ac:dyDescent="0.2">
      <c r="A6025" s="5">
        <v>5964</v>
      </c>
      <c r="B6025" s="138">
        <f>'Revenues 9-14'!H109</f>
        <v>156191</v>
      </c>
      <c r="C6025" s="2" t="s">
        <v>573</v>
      </c>
      <c r="D6025" s="2" t="str">
        <f t="shared" si="93"/>
        <v>Error?</v>
      </c>
    </row>
    <row r="6026" spans="1:5" x14ac:dyDescent="0.2">
      <c r="A6026" s="5">
        <v>5965</v>
      </c>
      <c r="B6026" s="138">
        <f>'Revenues 9-14'!I109</f>
        <v>3292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22539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35629</v>
      </c>
      <c r="D6031" s="2" t="str">
        <f t="shared" si="93"/>
        <v>Error?</v>
      </c>
    </row>
    <row r="6032" spans="1:5" x14ac:dyDescent="0.2">
      <c r="A6032" s="5">
        <v>5971</v>
      </c>
      <c r="B6032" s="138">
        <f>'Acct Summary 7-8'!G15</f>
        <v>4840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6231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196.88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2600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82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231658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2600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231658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231658</v>
      </c>
      <c r="D6216" s="2" t="str">
        <f t="shared" si="96"/>
        <v>Error?</v>
      </c>
      <c r="E6216" s="2" t="s">
        <v>190</v>
      </c>
    </row>
    <row r="6217" spans="1:5" x14ac:dyDescent="0.2">
      <c r="A6217">
        <v>6156</v>
      </c>
      <c r="B6217" s="138">
        <f>'Assets-Liab 5-6'!J4</f>
        <v>231658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150972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150972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150972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117411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117411</v>
      </c>
      <c r="D6229" s="2" t="str">
        <f t="shared" si="96"/>
        <v>Error?</v>
      </c>
      <c r="E6229" s="2" t="s">
        <v>190</v>
      </c>
    </row>
    <row r="6230" spans="1:5" x14ac:dyDescent="0.2">
      <c r="A6230">
        <v>6169</v>
      </c>
      <c r="B6230" s="138">
        <f>'Acct Summary 7-8'!J20</f>
        <v>33561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33561</v>
      </c>
      <c r="D6263" s="2" t="str">
        <f t="shared" si="96"/>
        <v>Error?</v>
      </c>
      <c r="E6263" s="2" t="s">
        <v>190</v>
      </c>
    </row>
    <row r="6264" spans="1:5" x14ac:dyDescent="0.2">
      <c r="A6264">
        <v>6203</v>
      </c>
      <c r="B6264" s="138">
        <f>'Acct Summary 7-8'!J79</f>
        <v>198097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231658</v>
      </c>
      <c r="D6266" s="2" t="str">
        <f t="shared" si="96"/>
        <v>Error?</v>
      </c>
      <c r="E6266" s="2" t="s">
        <v>190</v>
      </c>
    </row>
    <row r="6267" spans="1:5" x14ac:dyDescent="0.2">
      <c r="A6267">
        <v>6206</v>
      </c>
      <c r="B6267" s="138">
        <f>'Acct Summary 7-8'!C82</f>
        <v>3151</v>
      </c>
      <c r="D6267" s="2" t="str">
        <f t="shared" si="96"/>
        <v>Error?</v>
      </c>
      <c r="E6267" s="2" t="s">
        <v>190</v>
      </c>
    </row>
    <row r="6268" spans="1:5" x14ac:dyDescent="0.2">
      <c r="A6268">
        <v>6207</v>
      </c>
      <c r="B6268" s="138">
        <f>'Acct Summary 7-8'!D82</f>
        <v>25887</v>
      </c>
      <c r="D6268" s="2" t="str">
        <f t="shared" si="96"/>
        <v>Error?</v>
      </c>
      <c r="E6268" s="2" t="s">
        <v>190</v>
      </c>
    </row>
    <row r="6269" spans="1:5" x14ac:dyDescent="0.2">
      <c r="A6269">
        <v>6208</v>
      </c>
      <c r="B6269" s="138">
        <f>'Acct Summary 7-8'!E82</f>
        <v>-3589</v>
      </c>
      <c r="D6269" s="2" t="str">
        <f t="shared" si="96"/>
        <v>Error?</v>
      </c>
      <c r="E6269" s="2" t="s">
        <v>190</v>
      </c>
    </row>
    <row r="6270" spans="1:5" x14ac:dyDescent="0.2">
      <c r="A6270">
        <v>6209</v>
      </c>
      <c r="B6270" s="138">
        <f>'Acct Summary 7-8'!F82</f>
        <v>5271</v>
      </c>
      <c r="D6270" s="2" t="str">
        <f t="shared" si="96"/>
        <v>Error?</v>
      </c>
      <c r="E6270" s="2" t="s">
        <v>190</v>
      </c>
    </row>
    <row r="6271" spans="1:5" x14ac:dyDescent="0.2">
      <c r="A6271">
        <v>6210</v>
      </c>
      <c r="B6271" s="138">
        <f>'Acct Summary 7-8'!G82</f>
        <v>7910</v>
      </c>
      <c r="D6271" s="2" t="str">
        <f t="shared" ref="D6271:D6334" si="97">IF(ISBLANK(B6271),"OK",IF(A6271-B6271=0,"OK","Error?"))</f>
        <v>Error?</v>
      </c>
      <c r="E6271" s="2" t="s">
        <v>190</v>
      </c>
    </row>
    <row r="6272" spans="1:5" x14ac:dyDescent="0.2">
      <c r="A6272">
        <v>6211</v>
      </c>
      <c r="B6272" s="138">
        <f>'Acct Summary 7-8'!H82</f>
        <v>133372</v>
      </c>
      <c r="D6272" s="2" t="str">
        <f t="shared" si="97"/>
        <v>Error?</v>
      </c>
      <c r="E6272" s="2" t="s">
        <v>190</v>
      </c>
    </row>
    <row r="6273" spans="1:5" x14ac:dyDescent="0.2">
      <c r="A6273">
        <v>6212</v>
      </c>
      <c r="B6273" s="138">
        <f>'Acct Summary 7-8'!I82</f>
        <v>3292</v>
      </c>
      <c r="D6273" s="2" t="str">
        <f t="shared" si="97"/>
        <v>Error?</v>
      </c>
      <c r="E6273" s="2" t="s">
        <v>190</v>
      </c>
    </row>
    <row r="6274" spans="1:5" x14ac:dyDescent="0.2">
      <c r="A6274">
        <v>6213</v>
      </c>
      <c r="B6274" s="138">
        <f>'Acct Summary 7-8'!J82</f>
        <v>33561</v>
      </c>
      <c r="D6274" s="2" t="str">
        <f t="shared" si="97"/>
        <v>Error?</v>
      </c>
      <c r="E6274" s="2" t="s">
        <v>190</v>
      </c>
    </row>
    <row r="6275" spans="1:5" x14ac:dyDescent="0.2">
      <c r="A6275">
        <v>6214</v>
      </c>
      <c r="B6275" s="138">
        <f>'Acct Summary 7-8'!K82</f>
        <v>1455</v>
      </c>
      <c r="D6275" s="2" t="str">
        <f t="shared" si="97"/>
        <v>Error?</v>
      </c>
      <c r="E6275" s="2" t="s">
        <v>190</v>
      </c>
    </row>
    <row r="6276" spans="1:5" x14ac:dyDescent="0.2">
      <c r="A6276">
        <v>6215</v>
      </c>
      <c r="B6276" s="138">
        <f>'Acct Summary 7-8'!C83</f>
        <v>4.454541341988894E-3</v>
      </c>
      <c r="D6276" s="2" t="str">
        <f t="shared" si="97"/>
        <v>Error?</v>
      </c>
      <c r="E6276" s="2" t="s">
        <v>190</v>
      </c>
    </row>
    <row r="6277" spans="1:5" x14ac:dyDescent="0.2">
      <c r="A6277">
        <v>6216</v>
      </c>
      <c r="B6277" s="138">
        <f>'Acct Summary 7-8'!D83</f>
        <v>0.10766018856232663</v>
      </c>
      <c r="D6277" s="2" t="str">
        <f t="shared" si="97"/>
        <v>Error?</v>
      </c>
      <c r="E6277" s="2" t="s">
        <v>190</v>
      </c>
    </row>
    <row r="6278" spans="1:5" x14ac:dyDescent="0.2">
      <c r="A6278">
        <v>6217</v>
      </c>
      <c r="B6278" s="138">
        <f>'Acct Summary 7-8'!E83</f>
        <v>-0.31593309859154928</v>
      </c>
      <c r="D6278" s="2" t="str">
        <f t="shared" si="97"/>
        <v>Error?</v>
      </c>
      <c r="E6278" s="2" t="s">
        <v>190</v>
      </c>
    </row>
    <row r="6279" spans="1:5" x14ac:dyDescent="0.2">
      <c r="A6279">
        <v>6218</v>
      </c>
      <c r="B6279" s="138">
        <f>'Acct Summary 7-8'!F83</f>
        <v>6.3312273284166526E-2</v>
      </c>
      <c r="D6279" s="2" t="str">
        <f t="shared" si="97"/>
        <v>Error?</v>
      </c>
      <c r="E6279" s="2" t="s">
        <v>190</v>
      </c>
    </row>
    <row r="6280" spans="1:5" x14ac:dyDescent="0.2">
      <c r="A6280">
        <v>6219</v>
      </c>
      <c r="B6280" s="138">
        <f>'Acct Summary 7-8'!G83</f>
        <v>5.7575007642700127E-2</v>
      </c>
      <c r="D6280" s="2" t="str">
        <f t="shared" si="97"/>
        <v>Error?</v>
      </c>
      <c r="E6280" s="2" t="s">
        <v>190</v>
      </c>
    </row>
    <row r="6281" spans="1:5" x14ac:dyDescent="0.2">
      <c r="A6281">
        <v>6220</v>
      </c>
      <c r="B6281" s="138">
        <f>'Acct Summary 7-8'!H83</f>
        <v>0.56203013855645079</v>
      </c>
      <c r="D6281" s="2" t="str">
        <f t="shared" si="97"/>
        <v>Error?</v>
      </c>
      <c r="E6281" s="2" t="s">
        <v>190</v>
      </c>
    </row>
    <row r="6282" spans="1:5" x14ac:dyDescent="0.2">
      <c r="A6282">
        <v>6221</v>
      </c>
      <c r="B6282" s="138">
        <f>'Acct Summary 7-8'!I83</f>
        <v>3.2361441519375575E-2</v>
      </c>
      <c r="D6282" s="2" t="str">
        <f t="shared" si="97"/>
        <v>Error?</v>
      </c>
      <c r="E6282" s="2" t="s">
        <v>190</v>
      </c>
    </row>
    <row r="6283" spans="1:5" x14ac:dyDescent="0.2">
      <c r="A6283">
        <v>6222</v>
      </c>
      <c r="B6283" s="138">
        <f>'Acct Summary 7-8'!J83</f>
        <v>0.14487304561033937</v>
      </c>
      <c r="D6283" s="2" t="str">
        <f t="shared" si="97"/>
        <v>Error?</v>
      </c>
      <c r="E6283" s="2" t="s">
        <v>190</v>
      </c>
    </row>
    <row r="6284" spans="1:5" x14ac:dyDescent="0.2">
      <c r="A6284">
        <v>6223</v>
      </c>
      <c r="B6284" s="138">
        <f>'Acct Summary 7-8'!K83</f>
        <v>1.713740547925844E-2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148257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148257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768</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150972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117411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150972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5081</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5081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52358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52358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5855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5855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23069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11440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17477</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51986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2131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2131</v>
      </c>
      <c r="D7198" s="2" t="str">
        <f t="shared" si="111"/>
        <v>Error?</v>
      </c>
    </row>
    <row r="7199" spans="1:4" x14ac:dyDescent="0.2">
      <c r="A7199">
        <v>7138</v>
      </c>
      <c r="B7199" s="138">
        <f>'Expenditures 15-22'!C330</f>
        <v>23069</v>
      </c>
      <c r="D7199" s="2" t="str">
        <f t="shared" si="111"/>
        <v>Error?</v>
      </c>
    </row>
    <row r="7200" spans="1:4" x14ac:dyDescent="0.2">
      <c r="A7200">
        <v>7139</v>
      </c>
      <c r="B7200" s="138">
        <f>'Expenditures 15-22'!D330</f>
        <v>5081</v>
      </c>
      <c r="D7200" s="2" t="str">
        <f t="shared" si="111"/>
        <v>Error?</v>
      </c>
    </row>
    <row r="7201" spans="1:4" x14ac:dyDescent="0.2">
      <c r="A7201">
        <v>7140</v>
      </c>
      <c r="B7201" s="138">
        <f>'Expenditures 15-22'!E330</f>
        <v>71784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17477</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117411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23069</v>
      </c>
      <c r="D7216" s="2" t="str">
        <f t="shared" si="111"/>
        <v>Error?</v>
      </c>
    </row>
    <row r="7217" spans="1:4" x14ac:dyDescent="0.2">
      <c r="A7217">
        <v>7156</v>
      </c>
      <c r="B7217" s="138">
        <f>'Expenditures 15-22'!D342</f>
        <v>5081</v>
      </c>
      <c r="D7217" s="2" t="str">
        <f t="shared" si="111"/>
        <v>Error?</v>
      </c>
    </row>
    <row r="7218" spans="1:4" x14ac:dyDescent="0.2">
      <c r="A7218">
        <v>7157</v>
      </c>
      <c r="B7218" s="138">
        <f>'Expenditures 15-22'!E342</f>
        <v>71784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17477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117411</v>
      </c>
      <c r="D7224" s="2" t="str">
        <f t="shared" si="111"/>
        <v>Error?</v>
      </c>
    </row>
    <row r="7225" spans="1:4" x14ac:dyDescent="0.2">
      <c r="A7225">
        <v>7164</v>
      </c>
      <c r="B7225" s="138">
        <f>'Expenditures 15-22'!K343</f>
        <v>33561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99175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154377</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16697</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13849</v>
      </c>
      <c r="D7797" s="2" t="str">
        <f t="shared" si="127"/>
        <v>Error?</v>
      </c>
      <c r="E7797" s="4" t="s">
        <v>1904</v>
      </c>
    </row>
    <row r="7798" spans="1:5" x14ac:dyDescent="0.2">
      <c r="A7798">
        <v>7737</v>
      </c>
      <c r="B7798" s="138">
        <f>'Contracts Paid in CY 29'!F141</f>
        <v>13849</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3"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Giant City CCSD 130</v>
      </c>
      <c r="B7" s="2383"/>
      <c r="C7" s="2383"/>
      <c r="D7" s="2420"/>
      <c r="E7" s="2421">
        <f>COVER!A13</f>
        <v>30039130004</v>
      </c>
      <c r="F7" s="2422"/>
      <c r="G7" s="2389">
        <f>COVER!T23</f>
        <v>65.028419999999997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Kujawa &amp; Batteau, P.C.</v>
      </c>
      <c r="H9" s="2396"/>
      <c r="I9" s="2396"/>
      <c r="J9" s="2396"/>
      <c r="K9" s="2396"/>
      <c r="L9" s="2397"/>
    </row>
    <row r="10" spans="1:29" ht="13.5" customHeight="1" x14ac:dyDescent="0.2">
      <c r="A10" s="2379" t="str">
        <f>COVER!A38</f>
        <v>Ms. Belinda Hill</v>
      </c>
      <c r="B10" s="2380"/>
      <c r="C10" s="2380"/>
      <c r="D10" s="2380"/>
      <c r="E10" s="2380"/>
      <c r="F10" s="2381"/>
      <c r="G10" s="2395" t="str">
        <f>COVER!T17</f>
        <v>309 S. Walnut Street</v>
      </c>
      <c r="H10" s="2408"/>
      <c r="I10" s="2408"/>
      <c r="J10" s="2408"/>
      <c r="K10" s="2408"/>
      <c r="L10" s="2409"/>
    </row>
    <row r="11" spans="1:29" ht="13.5" customHeight="1" x14ac:dyDescent="0.2">
      <c r="A11" s="1184" t="s">
        <v>1519</v>
      </c>
      <c r="B11" s="1185"/>
      <c r="C11" s="1186"/>
      <c r="D11" s="1191"/>
      <c r="E11" s="1186"/>
      <c r="F11" s="1190"/>
      <c r="G11" s="2395" t="str">
        <f>COVER!T19</f>
        <v>Pinckneyville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kbatteau@kandb-cpa.com</v>
      </c>
      <c r="J13" s="2417"/>
      <c r="K13" s="2417"/>
      <c r="L13" s="2418"/>
    </row>
    <row r="14" spans="1:29" ht="13.5" customHeight="1" x14ac:dyDescent="0.2">
      <c r="A14" s="2395" t="str">
        <f>COVER!A19</f>
        <v>1062 Boskeydell Road</v>
      </c>
      <c r="B14" s="2408"/>
      <c r="C14" s="2408"/>
      <c r="D14" s="2408"/>
      <c r="E14" s="2408"/>
      <c r="F14" s="2409"/>
      <c r="G14" s="1195" t="s">
        <v>1185</v>
      </c>
      <c r="H14" s="1193"/>
      <c r="I14" s="1193"/>
      <c r="J14" s="1193"/>
      <c r="K14" s="1193"/>
      <c r="L14" s="1194"/>
    </row>
    <row r="15" spans="1:29" ht="13.5" customHeight="1" x14ac:dyDescent="0.2">
      <c r="A15" s="2395" t="str">
        <f>COVER!A21</f>
        <v>Carbondale</v>
      </c>
      <c r="B15" s="2408"/>
      <c r="C15" s="2408"/>
      <c r="D15" s="2408"/>
      <c r="E15" s="2408"/>
      <c r="F15" s="2409"/>
      <c r="G15" s="2405" t="str">
        <f>COVER!T15</f>
        <v>Kevin Batteau</v>
      </c>
      <c r="H15" s="2406"/>
      <c r="I15" s="2406"/>
      <c r="J15" s="2406"/>
      <c r="K15" s="2406"/>
      <c r="L15" s="2407"/>
    </row>
    <row r="16" spans="1:29" ht="12.2" customHeight="1" x14ac:dyDescent="0.2">
      <c r="A16" s="2385">
        <f>COVER!A25</f>
        <v>62902</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618-357-3000</v>
      </c>
      <c r="H18" s="2383"/>
      <c r="I18" s="2383"/>
      <c r="J18" s="2383"/>
      <c r="K18" s="2382" t="str">
        <f>COVER!X21</f>
        <v>618-357-3654</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72"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Giant City CCSD 130</v>
      </c>
      <c r="B1" s="2419"/>
      <c r="C1" s="2419"/>
      <c r="D1" s="2419"/>
    </row>
    <row r="2" spans="1:11" s="1212" customFormat="1" ht="12.75" x14ac:dyDescent="0.2">
      <c r="A2" s="2424">
        <f>'Single Audit Cover'!E7</f>
        <v>30039130004</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oddFooter>&amp;L"the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B53" sqref="B5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Giant City CCSD 130</v>
      </c>
      <c r="B1" s="2427"/>
      <c r="C1" s="2427"/>
      <c r="D1" s="2427"/>
      <c r="E1" s="2427"/>
    </row>
    <row r="2" spans="1:5" x14ac:dyDescent="0.2">
      <c r="A2" s="2428">
        <f>'Single Audit Cover'!E7</f>
        <v>30039130004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210740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6231</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-13540</v>
      </c>
    </row>
    <row r="19" spans="1:4" ht="13.5" thickBot="1" x14ac:dyDescent="0.25">
      <c r="A19" s="1262" t="s">
        <v>1235</v>
      </c>
      <c r="D19" s="1263">
        <f>SUM(D10:D17)</f>
        <v>203431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t="s">
        <v>2077</v>
      </c>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203431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203431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7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Giant City CCSD 130</v>
      </c>
      <c r="C1" s="2431"/>
      <c r="D1" s="2431"/>
      <c r="E1" s="2431"/>
      <c r="F1" s="2431"/>
      <c r="G1" s="2431"/>
      <c r="H1" s="2431"/>
      <c r="I1" s="2431"/>
      <c r="J1" s="2431"/>
      <c r="K1" s="2431"/>
      <c r="L1" s="2431"/>
      <c r="M1" s="2431"/>
    </row>
    <row r="2" spans="2:14" ht="15" x14ac:dyDescent="0.2">
      <c r="B2" s="2432">
        <f>'Single Audit Cover'!E7</f>
        <v>30039130004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2077</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&amp;L"the notes are an integral part of these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21" zoomScaleNormal="120" workbookViewId="0">
      <selection activeCell="B52" sqref="B52:D5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Giant City CCSD 130</v>
      </c>
      <c r="B1" s="2436"/>
      <c r="C1" s="2436"/>
      <c r="D1" s="2436"/>
      <c r="E1" s="2436"/>
      <c r="F1" s="2436"/>
    </row>
    <row r="2" spans="1:7" ht="13.5" customHeight="1" x14ac:dyDescent="0.2">
      <c r="A2" s="2432">
        <f>'Single Audit Cover'!E7</f>
        <v>30039130004</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t="s">
        <v>2077</v>
      </c>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110" zoomScaleNormal="110" workbookViewId="0">
      <selection activeCell="F136" sqref="F13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2076</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2068</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Footer>&amp;L"these notes are an integral part of these statements"</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13" zoomScaleNormal="110" workbookViewId="0">
      <selection activeCell="B84" sqref="B8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Giant City CCSD 130</v>
      </c>
      <c r="C1" s="2452"/>
      <c r="D1" s="2452"/>
      <c r="E1" s="2452"/>
      <c r="F1" s="2452"/>
      <c r="G1" s="2452"/>
      <c r="H1" s="2452"/>
      <c r="I1" s="2452"/>
      <c r="J1" s="1406"/>
    </row>
    <row r="2" spans="2:10" s="317" customFormat="1" ht="12.75" customHeight="1" x14ac:dyDescent="0.2">
      <c r="B2" s="2453">
        <f>'Single Audit Cover'!E7</f>
        <v>30039130004</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t="s">
        <v>2077</v>
      </c>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5" zoomScaleNormal="110" workbookViewId="0">
      <selection activeCell="B43" sqref="B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Giant City CCSD 130</v>
      </c>
      <c r="C1" s="2451"/>
      <c r="D1" s="2451"/>
      <c r="E1" s="2451"/>
      <c r="F1" s="2451"/>
      <c r="G1" s="2451"/>
      <c r="H1" s="2451"/>
      <c r="I1" s="2451"/>
      <c r="J1" s="2451"/>
      <c r="K1" s="2451"/>
      <c r="L1" s="1371"/>
      <c r="M1" s="1371"/>
    </row>
    <row r="2" spans="1:13" ht="12" customHeight="1" x14ac:dyDescent="0.2">
      <c r="B2" s="2453">
        <f>'Single Audit Cover'!E7</f>
        <v>30039130004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2077</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topLeftCell="A31" zoomScaleNormal="110" workbookViewId="0">
      <selection activeCell="B51" sqref="B5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Giant City CCSD 130</v>
      </c>
      <c r="C1" s="2478"/>
      <c r="D1" s="2478"/>
      <c r="E1" s="2478"/>
      <c r="F1" s="2478"/>
      <c r="G1" s="2478"/>
      <c r="H1" s="2478"/>
      <c r="I1" s="2478"/>
      <c r="J1" s="2478"/>
      <c r="K1" s="2478"/>
      <c r="L1" s="1449"/>
    </row>
    <row r="2" spans="1:12" ht="12.75" customHeight="1" x14ac:dyDescent="0.2">
      <c r="B2" s="2479">
        <f>'Single Audit Cover'!E7</f>
        <v>30039130004</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t="s">
        <v>2077</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Giant City CCSD 130</v>
      </c>
      <c r="C1" s="2451"/>
      <c r="D1" s="2451"/>
      <c r="E1" s="1469"/>
    </row>
    <row r="2" spans="2:5" s="1279" customFormat="1" ht="12.75" customHeight="1" x14ac:dyDescent="0.2">
      <c r="B2" s="2453">
        <f>'Single Audit Cover'!E7</f>
        <v>30039130004</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2077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 colorId="8" zoomScale="110" zoomScaleNormal="110" workbookViewId="0">
      <selection activeCell="L15" sqref="L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41460787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1.6500000000000001E-2</v>
      </c>
      <c r="E10" s="356" t="s">
        <v>1005</v>
      </c>
      <c r="F10" s="355">
        <v>2.1697999999999999E-3</v>
      </c>
      <c r="G10" s="356" t="s">
        <v>1005</v>
      </c>
      <c r="H10" s="355">
        <v>1.9976E-3</v>
      </c>
      <c r="I10" s="356" t="s">
        <v>1006</v>
      </c>
      <c r="J10" s="1732">
        <f>ROUND(D10+F10+H10,5)</f>
        <v>2.0670000000000001E-2</v>
      </c>
      <c r="K10" s="222"/>
      <c r="L10" s="355">
        <v>4.7909999999999999E-4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2059607</v>
      </c>
      <c r="E16" s="356"/>
      <c r="F16" s="1733">
        <f>SUM('Acct Summary 7-8'!C17,'Acct Summary 7-8'!D17,'Acct Summary 7-8'!F17)</f>
        <v>2022006</v>
      </c>
      <c r="G16" s="356"/>
      <c r="H16" s="1733">
        <f>SUM(D16-F16)</f>
        <v>37601</v>
      </c>
      <c r="I16" s="222"/>
      <c r="J16" s="1733">
        <f>SUM('Acct Summary 7-8'!C81,'Acct Summary 7-8'!D81,'Acct Summary 7-8'!F81,'Acct Summary 7-8'!I81)</f>
        <v>1132799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586</v>
      </c>
      <c r="D31" s="237" t="s">
        <v>1072</v>
      </c>
      <c r="E31" s="222"/>
      <c r="F31" s="222"/>
      <c r="G31" s="363"/>
      <c r="H31" s="1735">
        <f>IF(B31="X",(J7*0.069),IF(B32="X",(J7*0.138),"Enter x in a.or b."))</f>
        <v>2860794.3030000003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&amp;L&amp;8"These notes are an intrgral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D45" sqref="D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Giant City CCSD 130</v>
      </c>
      <c r="E7" s="391"/>
      <c r="G7" s="252"/>
      <c r="H7" s="387"/>
      <c r="I7" s="387"/>
      <c r="J7" s="387"/>
      <c r="K7" s="387"/>
      <c r="L7" s="329"/>
      <c r="M7" s="329"/>
      <c r="N7" s="329"/>
      <c r="O7" s="329"/>
      <c r="P7" s="329"/>
    </row>
    <row r="8" spans="1:18" ht="12.75" x14ac:dyDescent="0.2">
      <c r="A8" s="329"/>
      <c r="B8" s="329"/>
      <c r="C8" s="389" t="s">
        <v>1125</v>
      </c>
      <c r="D8" s="392">
        <f>COVER!A13</f>
        <v>30039130004</v>
      </c>
      <c r="E8" s="393"/>
      <c r="G8" s="329"/>
      <c r="H8" s="329"/>
      <c r="I8" s="329"/>
      <c r="J8" s="329"/>
      <c r="K8" s="329"/>
      <c r="L8" s="329"/>
      <c r="M8" s="329"/>
      <c r="N8" s="329"/>
      <c r="O8" s="329"/>
      <c r="P8" s="329"/>
    </row>
    <row r="9" spans="1:18" ht="12.75" x14ac:dyDescent="0.2">
      <c r="A9" s="329"/>
      <c r="B9" s="329"/>
      <c r="C9" s="389" t="s">
        <v>713</v>
      </c>
      <c r="D9" s="394" t="str">
        <f>COVER!A15</f>
        <v>Jackson/Williamson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1132799</v>
      </c>
      <c r="I12" s="404"/>
      <c r="J12" s="404"/>
      <c r="K12" s="405">
        <f>TRUNC((H12/H13*100000),5)/100000</f>
        <v>0.55000735569999992</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2059607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2022006</v>
      </c>
      <c r="I17" s="404"/>
      <c r="J17" s="416"/>
      <c r="K17" s="405">
        <f>TRUNC((H17/H18*100000),5)/100000</f>
        <v>0.98174360440000008</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2059607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1145850</v>
      </c>
      <c r="I24" s="422"/>
      <c r="J24" s="422"/>
      <c r="K24" s="423">
        <f>TRUNC(((H24/H25*100000)/100000),2)</f>
        <v>204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5616.6833299999998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728445.29720000003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935000</v>
      </c>
      <c r="I32" s="420"/>
      <c r="J32" s="420"/>
      <c r="K32" s="423">
        <f>TRUNC(100-((((H32/H33*100))*100)/100),2)</f>
        <v>67.31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2860794.3030000003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25" colorId="8" zoomScale="110" zoomScaleNormal="110" workbookViewId="0">
      <selection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720501</v>
      </c>
      <c r="D4" s="466">
        <v>240369</v>
      </c>
      <c r="E4" s="466">
        <v>11360</v>
      </c>
      <c r="F4" s="466">
        <v>83254</v>
      </c>
      <c r="G4" s="466">
        <v>137386</v>
      </c>
      <c r="H4" s="466">
        <v>237304</v>
      </c>
      <c r="I4" s="466">
        <v>101726</v>
      </c>
      <c r="J4" s="467">
        <v>231658</v>
      </c>
      <c r="K4" s="466">
        <v>84902</v>
      </c>
      <c r="L4" s="466">
        <v>21472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v>2600</v>
      </c>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v>82</v>
      </c>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720501</v>
      </c>
      <c r="D13" s="1737">
        <f t="shared" ref="D13:L13" si="0">SUM(D4:D12)</f>
        <v>240451</v>
      </c>
      <c r="E13" s="1737">
        <f t="shared" si="0"/>
        <v>11360</v>
      </c>
      <c r="F13" s="1737">
        <f t="shared" si="0"/>
        <v>85854</v>
      </c>
      <c r="G13" s="1737">
        <f t="shared" si="0"/>
        <v>137386</v>
      </c>
      <c r="H13" s="1737">
        <f t="shared" si="0"/>
        <v>237304</v>
      </c>
      <c r="I13" s="1737">
        <f t="shared" si="0"/>
        <v>101726</v>
      </c>
      <c r="J13" s="1737">
        <f t="shared" si="0"/>
        <v>231658</v>
      </c>
      <c r="K13" s="1737">
        <f t="shared" si="0"/>
        <v>84902</v>
      </c>
      <c r="L13" s="1737">
        <f t="shared" si="0"/>
        <v>21472</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331206</v>
      </c>
      <c r="N16" s="484"/>
    </row>
    <row r="17" spans="1:14" s="485" customFormat="1" ht="12.75" customHeight="1" x14ac:dyDescent="0.2">
      <c r="A17" s="482" t="s">
        <v>1403</v>
      </c>
      <c r="B17" s="483">
        <v>230</v>
      </c>
      <c r="C17" s="477"/>
      <c r="D17" s="477"/>
      <c r="E17" s="477"/>
      <c r="F17" s="477"/>
      <c r="G17" s="477"/>
      <c r="H17" s="477"/>
      <c r="I17" s="477"/>
      <c r="J17" s="477"/>
      <c r="K17" s="477"/>
      <c r="L17" s="477"/>
      <c r="M17" s="467">
        <v>1743164</v>
      </c>
      <c r="N17" s="484"/>
    </row>
    <row r="18" spans="1:14" s="485" customFormat="1" ht="12.75" customHeight="1" x14ac:dyDescent="0.2">
      <c r="A18" s="482" t="s">
        <v>1404</v>
      </c>
      <c r="B18" s="483">
        <v>240</v>
      </c>
      <c r="C18" s="477"/>
      <c r="D18" s="477"/>
      <c r="E18" s="477"/>
      <c r="F18" s="477"/>
      <c r="G18" s="477"/>
      <c r="H18" s="477"/>
      <c r="I18" s="477"/>
      <c r="J18" s="477"/>
      <c r="K18" s="477"/>
      <c r="L18" s="477"/>
      <c r="M18" s="467">
        <v>270498</v>
      </c>
      <c r="N18" s="484"/>
    </row>
    <row r="19" spans="1:14" s="485" customFormat="1" ht="12.75" customHeight="1" x14ac:dyDescent="0.2">
      <c r="A19" s="482" t="s">
        <v>1405</v>
      </c>
      <c r="B19" s="483">
        <v>250</v>
      </c>
      <c r="C19" s="477"/>
      <c r="D19" s="477"/>
      <c r="E19" s="477"/>
      <c r="F19" s="477"/>
      <c r="G19" s="477"/>
      <c r="H19" s="477"/>
      <c r="I19" s="477"/>
      <c r="J19" s="477"/>
      <c r="K19" s="477"/>
      <c r="L19" s="477"/>
      <c r="M19" s="467">
        <v>37908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923639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11361</v>
      </c>
    </row>
    <row r="23" spans="1:14" ht="13.5" customHeight="1" thickBot="1" x14ac:dyDescent="0.25">
      <c r="A23" s="1736" t="s">
        <v>643</v>
      </c>
      <c r="B23" s="1741"/>
      <c r="C23" s="468"/>
      <c r="D23" s="468"/>
      <c r="E23" s="468"/>
      <c r="F23" s="468"/>
      <c r="G23" s="468"/>
      <c r="H23" s="468"/>
      <c r="I23" s="468"/>
      <c r="J23" s="468"/>
      <c r="K23" s="468"/>
      <c r="L23" s="468"/>
      <c r="M23" s="1688">
        <f>SUM(M15:M22)</f>
        <v>2382776</v>
      </c>
      <c r="N23" s="1688">
        <f>SUM(N21:N22)</f>
        <v>935000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2600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13133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21472</v>
      </c>
      <c r="M33" s="468"/>
      <c r="N33" s="469"/>
    </row>
    <row r="34" spans="1:14" ht="13.5" customHeight="1" thickBot="1" x14ac:dyDescent="0.25">
      <c r="A34" s="1738" t="s">
        <v>654</v>
      </c>
      <c r="B34" s="1739"/>
      <c r="C34" s="1740">
        <f>SUM(C25:C33)</f>
        <v>13133</v>
      </c>
      <c r="D34" s="1740">
        <f t="shared" ref="D34:K34" si="1">SUM(D25:D33)</f>
        <v>0</v>
      </c>
      <c r="E34" s="1740">
        <f t="shared" si="1"/>
        <v>0</v>
      </c>
      <c r="F34" s="1740">
        <f t="shared" si="1"/>
        <v>2600</v>
      </c>
      <c r="G34" s="1740">
        <f t="shared" si="1"/>
        <v>0</v>
      </c>
      <c r="H34" s="1740">
        <f t="shared" si="1"/>
        <v>0</v>
      </c>
      <c r="I34" s="1740">
        <f t="shared" si="1"/>
        <v>0</v>
      </c>
      <c r="J34" s="1740">
        <f t="shared" si="1"/>
        <v>0</v>
      </c>
      <c r="K34" s="1740">
        <f t="shared" si="1"/>
        <v>0</v>
      </c>
      <c r="L34" s="1721">
        <f>SUM(L33)</f>
        <v>21472</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935000</v>
      </c>
    </row>
    <row r="37" spans="1:14" ht="13.5" thickBot="1" x14ac:dyDescent="0.25">
      <c r="A37" s="1736" t="s">
        <v>653</v>
      </c>
      <c r="B37" s="1741"/>
      <c r="C37" s="477"/>
      <c r="D37" s="477"/>
      <c r="E37" s="477"/>
      <c r="F37" s="477"/>
      <c r="G37" s="477"/>
      <c r="H37" s="477"/>
      <c r="I37" s="477"/>
      <c r="J37" s="477"/>
      <c r="K37" s="477"/>
      <c r="L37" s="480"/>
      <c r="M37" s="468"/>
      <c r="N37" s="1688">
        <f>SUM(N36:N36)</f>
        <v>935000</v>
      </c>
    </row>
    <row r="38" spans="1:14" s="329" customFormat="1" ht="13.5" customHeight="1" thickTop="1" x14ac:dyDescent="0.2">
      <c r="A38" s="496" t="s">
        <v>420</v>
      </c>
      <c r="B38" s="483">
        <v>714</v>
      </c>
      <c r="C38" s="466"/>
      <c r="D38" s="466"/>
      <c r="E38" s="466"/>
      <c r="F38" s="466"/>
      <c r="G38" s="466">
        <v>137386</v>
      </c>
      <c r="H38" s="466">
        <v>237304</v>
      </c>
      <c r="I38" s="466"/>
      <c r="J38" s="467">
        <v>231658</v>
      </c>
      <c r="K38" s="466">
        <v>84902</v>
      </c>
      <c r="L38" s="481"/>
      <c r="M38" s="497"/>
      <c r="N38" s="497"/>
    </row>
    <row r="39" spans="1:14" s="329" customFormat="1" ht="13.5" customHeight="1" x14ac:dyDescent="0.2">
      <c r="A39" s="496" t="s">
        <v>342</v>
      </c>
      <c r="B39" s="483">
        <v>730</v>
      </c>
      <c r="C39" s="466">
        <v>707368</v>
      </c>
      <c r="D39" s="466">
        <v>240451</v>
      </c>
      <c r="E39" s="466">
        <v>11360</v>
      </c>
      <c r="F39" s="466">
        <v>83254</v>
      </c>
      <c r="G39" s="466"/>
      <c r="H39" s="466">
        <v>0</v>
      </c>
      <c r="I39" s="466">
        <v>101726</v>
      </c>
      <c r="J39" s="467">
        <v>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2382776</v>
      </c>
      <c r="N40" s="497"/>
    </row>
    <row r="41" spans="1:14" ht="13.5" customHeight="1" thickBot="1" x14ac:dyDescent="0.25">
      <c r="A41" s="1736" t="s">
        <v>655</v>
      </c>
      <c r="B41" s="1706"/>
      <c r="C41" s="1688">
        <f>(SUM(C34,C37,C38,C39))</f>
        <v>720501</v>
      </c>
      <c r="D41" s="1688">
        <f t="shared" ref="D41:L41" si="2">SUM(D34,D37,D38:D39)</f>
        <v>240451</v>
      </c>
      <c r="E41" s="1688">
        <f t="shared" si="2"/>
        <v>11360</v>
      </c>
      <c r="F41" s="1688">
        <f t="shared" si="2"/>
        <v>85854</v>
      </c>
      <c r="G41" s="1688">
        <f t="shared" si="2"/>
        <v>137386</v>
      </c>
      <c r="H41" s="1688">
        <f t="shared" si="2"/>
        <v>237304</v>
      </c>
      <c r="I41" s="1688">
        <f t="shared" si="2"/>
        <v>101726</v>
      </c>
      <c r="J41" s="1688">
        <f t="shared" si="2"/>
        <v>231658</v>
      </c>
      <c r="K41" s="1688">
        <f t="shared" si="2"/>
        <v>84902</v>
      </c>
      <c r="L41" s="1688">
        <f t="shared" si="2"/>
        <v>21472</v>
      </c>
      <c r="M41" s="1688">
        <f>SUM(M40)</f>
        <v>2382776</v>
      </c>
      <c r="N41" s="1688">
        <f>SUM(N37)</f>
        <v>935000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&amp;L&amp;8"the notes are an integral part of these financial statements"&amp;C&amp;"Arial,Bold"&amp;9BASIC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67" colorId="8" zoomScale="110" zoomScaleNormal="110" zoomScaleSheetLayoutView="100" workbookViewId="0">
      <selection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958340</v>
      </c>
      <c r="D4" s="1742">
        <f>'Revenues 9-14'!D109</f>
        <v>147203</v>
      </c>
      <c r="E4" s="1742">
        <f>'Revenues 9-14'!E109</f>
        <v>141790</v>
      </c>
      <c r="F4" s="1742">
        <f>'Revenues 9-14'!F109</f>
        <v>82746</v>
      </c>
      <c r="G4" s="1742">
        <f>'Revenues 9-14'!G109</f>
        <v>80798</v>
      </c>
      <c r="H4" s="1742">
        <f>'Revenues 9-14'!H109</f>
        <v>156191</v>
      </c>
      <c r="I4" s="1742">
        <f>'Revenues 9-14'!I109</f>
        <v>3292</v>
      </c>
      <c r="J4" s="1742">
        <f>'Revenues 9-14'!J109</f>
        <v>150972</v>
      </c>
      <c r="K4" s="1742">
        <f>'Revenues 9-14'!K109</f>
        <v>22539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615363</v>
      </c>
      <c r="D6" s="1743">
        <f>'Revenues 9-14'!D170</f>
        <v>0</v>
      </c>
      <c r="E6" s="1743">
        <f>'Revenues 9-14'!E170</f>
        <v>0</v>
      </c>
      <c r="F6" s="1743">
        <f>'Revenues 9-14'!F170</f>
        <v>41923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210740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1784443</v>
      </c>
      <c r="D8" s="1688">
        <f t="shared" ref="D8:K8" si="0">SUM(D4:D7)</f>
        <v>147203</v>
      </c>
      <c r="E8" s="1688">
        <f t="shared" si="0"/>
        <v>141790</v>
      </c>
      <c r="F8" s="1688">
        <f t="shared" si="0"/>
        <v>124669</v>
      </c>
      <c r="G8" s="1688">
        <f t="shared" si="0"/>
        <v>80798</v>
      </c>
      <c r="H8" s="1688">
        <f t="shared" si="0"/>
        <v>156191</v>
      </c>
      <c r="I8" s="1688">
        <f t="shared" si="0"/>
        <v>3292</v>
      </c>
      <c r="J8" s="1688">
        <f t="shared" si="0"/>
        <v>150972</v>
      </c>
      <c r="K8" s="1688">
        <f t="shared" si="0"/>
        <v>22539</v>
      </c>
      <c r="L8" s="347"/>
    </row>
    <row r="9" spans="1:13" ht="15.75" thickTop="1" x14ac:dyDescent="0.2">
      <c r="A9" s="514" t="s">
        <v>1653</v>
      </c>
      <c r="B9" s="515">
        <v>3998</v>
      </c>
      <c r="C9" s="481">
        <v>104027</v>
      </c>
      <c r="D9" s="516"/>
      <c r="E9" s="481"/>
      <c r="F9" s="481"/>
      <c r="G9" s="517"/>
      <c r="H9" s="481"/>
      <c r="I9" s="509" t="s">
        <v>1169</v>
      </c>
      <c r="J9" s="478"/>
      <c r="K9" s="481"/>
      <c r="L9" s="347"/>
    </row>
    <row r="10" spans="1:13" s="519" customFormat="1" ht="13.5" thickBot="1" x14ac:dyDescent="0.25">
      <c r="A10" s="1736" t="s">
        <v>1173</v>
      </c>
      <c r="B10" s="1709"/>
      <c r="C10" s="1688">
        <f>SUM(C8:C9)</f>
        <v>1888470</v>
      </c>
      <c r="D10" s="1688">
        <f t="shared" ref="D10:K10" si="1">SUM(D8:D9)</f>
        <v>147203</v>
      </c>
      <c r="E10" s="1688">
        <f t="shared" si="1"/>
        <v>141790</v>
      </c>
      <c r="F10" s="1688">
        <f t="shared" si="1"/>
        <v>124669</v>
      </c>
      <c r="G10" s="1688">
        <f t="shared" si="1"/>
        <v>80798</v>
      </c>
      <c r="H10" s="1688">
        <f t="shared" si="1"/>
        <v>156191</v>
      </c>
      <c r="I10" s="1688">
        <f t="shared" si="1"/>
        <v>3292</v>
      </c>
      <c r="J10" s="1688">
        <f t="shared" si="1"/>
        <v>150972</v>
      </c>
      <c r="K10" s="1688">
        <f t="shared" si="1"/>
        <v>22539</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1181368</v>
      </c>
      <c r="D12" s="520" t="s">
        <v>1169</v>
      </c>
      <c r="E12" s="468" t="s">
        <v>1169</v>
      </c>
      <c r="F12" s="468" t="s">
        <v>1169</v>
      </c>
      <c r="G12" s="1742">
        <f>'Expenditures 15-22'!K229</f>
        <v>25095</v>
      </c>
      <c r="H12" s="521"/>
      <c r="I12" s="468" t="s">
        <v>1169</v>
      </c>
      <c r="J12" s="468" t="s">
        <v>1169</v>
      </c>
      <c r="K12" s="521" t="s">
        <v>1169</v>
      </c>
      <c r="L12" s="347"/>
    </row>
    <row r="13" spans="1:13" ht="15.75" customHeight="1" x14ac:dyDescent="0.2">
      <c r="A13" s="1576" t="s">
        <v>457</v>
      </c>
      <c r="B13" s="1578">
        <v>2000</v>
      </c>
      <c r="C13" s="1743">
        <f>'Expenditures 15-22'!K74</f>
        <v>469930</v>
      </c>
      <c r="D13" s="1743">
        <f>'Expenditures 15-22'!K129</f>
        <v>121316</v>
      </c>
      <c r="E13" s="469" t="s">
        <v>1169</v>
      </c>
      <c r="F13" s="1743">
        <f>'Expenditures 15-22'!K184</f>
        <v>119398</v>
      </c>
      <c r="G13" s="1743">
        <f>'Expenditures 15-22'!K279</f>
        <v>32833</v>
      </c>
      <c r="H13" s="1743">
        <f>'Expenditures 15-22'!K303</f>
        <v>22819</v>
      </c>
      <c r="I13" s="468" t="s">
        <v>1169</v>
      </c>
      <c r="J13" s="1743">
        <f>'Expenditures 15-22'!K330</f>
        <v>117411</v>
      </c>
      <c r="K13" s="1747">
        <f>'Expenditures 15-22'!K352</f>
        <v>21084</v>
      </c>
      <c r="L13" s="347"/>
    </row>
    <row r="14" spans="1:13" ht="15.75" customHeight="1" x14ac:dyDescent="0.2">
      <c r="A14" s="1576" t="s">
        <v>449</v>
      </c>
      <c r="B14" s="1578">
        <v>3000</v>
      </c>
      <c r="C14" s="1743">
        <f>'Expenditures 15-22'!K75</f>
        <v>93434</v>
      </c>
      <c r="D14" s="1743">
        <f>'Expenditures 15-22'!K130</f>
        <v>0</v>
      </c>
      <c r="E14" s="520" t="s">
        <v>1169</v>
      </c>
      <c r="F14" s="1743">
        <f>'Expenditures 15-22'!K185</f>
        <v>0</v>
      </c>
      <c r="G14" s="1743">
        <f>'Expenditures 15-22'!K280</f>
        <v>10120</v>
      </c>
      <c r="H14" s="512"/>
      <c r="I14" s="468" t="s">
        <v>1169</v>
      </c>
      <c r="J14" s="468" t="s">
        <v>1169</v>
      </c>
      <c r="K14" s="512" t="s">
        <v>1169</v>
      </c>
      <c r="L14" s="347"/>
    </row>
    <row r="15" spans="1:13" ht="15.75" customHeight="1" x14ac:dyDescent="0.2">
      <c r="A15" s="1576" t="s">
        <v>107</v>
      </c>
      <c r="B15" s="1578">
        <v>4000</v>
      </c>
      <c r="C15" s="1743">
        <f>'Expenditures 15-22'!K102</f>
        <v>36560</v>
      </c>
      <c r="D15" s="1743">
        <f>'Expenditures 15-22'!K139</f>
        <v>0</v>
      </c>
      <c r="E15" s="1743">
        <f>'Expenditures 15-22'!K160</f>
        <v>0</v>
      </c>
      <c r="F15" s="1743">
        <f>'Expenditures 15-22'!K196</f>
        <v>0</v>
      </c>
      <c r="G15" s="1743">
        <f>'Expenditures 15-22'!K285</f>
        <v>4840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145379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1781292</v>
      </c>
      <c r="D17" s="1688">
        <f t="shared" si="2"/>
        <v>121316</v>
      </c>
      <c r="E17" s="1688">
        <f t="shared" si="2"/>
        <v>145379</v>
      </c>
      <c r="F17" s="1688">
        <f t="shared" si="2"/>
        <v>119398</v>
      </c>
      <c r="G17" s="1688">
        <f t="shared" si="2"/>
        <v>72888</v>
      </c>
      <c r="H17" s="1688">
        <f t="shared" si="2"/>
        <v>22819</v>
      </c>
      <c r="I17" s="468"/>
      <c r="J17" s="1688">
        <f>SUM(J12:J16)</f>
        <v>117411</v>
      </c>
      <c r="K17" s="1688">
        <f>SUM(K12:K16)</f>
        <v>21084</v>
      </c>
      <c r="L17" s="347"/>
    </row>
    <row r="18" spans="1:12" ht="15" customHeight="1" thickTop="1" x14ac:dyDescent="0.2">
      <c r="A18" s="1744" t="s">
        <v>1654</v>
      </c>
      <c r="B18" s="1745">
        <v>4180</v>
      </c>
      <c r="C18" s="1742">
        <f t="shared" ref="C18:H18" si="3">C9</f>
        <v>104027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1885319</v>
      </c>
      <c r="D19" s="1688">
        <f t="shared" si="4"/>
        <v>121316</v>
      </c>
      <c r="E19" s="1688">
        <f t="shared" si="4"/>
        <v>145379</v>
      </c>
      <c r="F19" s="1688">
        <f t="shared" si="4"/>
        <v>119398</v>
      </c>
      <c r="G19" s="1688">
        <f t="shared" si="4"/>
        <v>72888</v>
      </c>
      <c r="H19" s="1688">
        <f t="shared" si="4"/>
        <v>22819</v>
      </c>
      <c r="I19" s="468"/>
      <c r="J19" s="1688">
        <f>SUM(J17:J18)</f>
        <v>117411</v>
      </c>
      <c r="K19" s="1688">
        <f>SUM(K17:K18)</f>
        <v>21084</v>
      </c>
      <c r="L19" s="347"/>
    </row>
    <row r="20" spans="1:12" ht="16.5" thickTop="1" thickBot="1" x14ac:dyDescent="0.25">
      <c r="A20" s="2124" t="s">
        <v>1655</v>
      </c>
      <c r="B20" s="2125"/>
      <c r="C20" s="1746">
        <f>C8-C17</f>
        <v>3151</v>
      </c>
      <c r="D20" s="1746">
        <f t="shared" ref="D20:K20" si="5">D8-D17</f>
        <v>25887</v>
      </c>
      <c r="E20" s="1746">
        <f t="shared" si="5"/>
        <v>-3589</v>
      </c>
      <c r="F20" s="1746">
        <f t="shared" si="5"/>
        <v>5271</v>
      </c>
      <c r="G20" s="1746">
        <f t="shared" si="5"/>
        <v>7910</v>
      </c>
      <c r="H20" s="1746">
        <f t="shared" si="5"/>
        <v>133372</v>
      </c>
      <c r="I20" s="1746">
        <f t="shared" si="5"/>
        <v>3292</v>
      </c>
      <c r="J20" s="1746">
        <f t="shared" si="5"/>
        <v>33561</v>
      </c>
      <c r="K20" s="1746">
        <f t="shared" si="5"/>
        <v>1455</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3151</v>
      </c>
      <c r="D78" s="1702">
        <f t="shared" si="9"/>
        <v>25887</v>
      </c>
      <c r="E78" s="1702">
        <f t="shared" si="9"/>
        <v>-3589</v>
      </c>
      <c r="F78" s="1702">
        <f t="shared" si="9"/>
        <v>5271</v>
      </c>
      <c r="G78" s="1702">
        <f t="shared" si="9"/>
        <v>7910</v>
      </c>
      <c r="H78" s="1702">
        <f t="shared" si="9"/>
        <v>133372</v>
      </c>
      <c r="I78" s="1702">
        <f t="shared" si="9"/>
        <v>3292</v>
      </c>
      <c r="J78" s="1702">
        <f t="shared" si="9"/>
        <v>33561</v>
      </c>
      <c r="K78" s="1702">
        <f t="shared" si="9"/>
        <v>1455</v>
      </c>
      <c r="L78" s="533"/>
    </row>
    <row r="79" spans="1:12" ht="13.5" thickTop="1" x14ac:dyDescent="0.2">
      <c r="A79" s="1494" t="s">
        <v>1949</v>
      </c>
      <c r="B79" s="534"/>
      <c r="C79" s="478">
        <v>704217</v>
      </c>
      <c r="D79" s="535">
        <v>214564</v>
      </c>
      <c r="E79" s="535">
        <v>14949</v>
      </c>
      <c r="F79" s="535">
        <v>77983</v>
      </c>
      <c r="G79" s="535">
        <v>129476</v>
      </c>
      <c r="H79" s="535">
        <v>103932</v>
      </c>
      <c r="I79" s="535">
        <v>98434</v>
      </c>
      <c r="J79" s="535">
        <v>198097</v>
      </c>
      <c r="K79" s="535">
        <v>83447</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707368</v>
      </c>
      <c r="D81" s="1688">
        <f>SUM(D78:D80)</f>
        <v>240451</v>
      </c>
      <c r="E81" s="1688">
        <f t="shared" ref="E81:K81" si="10">SUM(E78:E80)</f>
        <v>11360</v>
      </c>
      <c r="F81" s="1688">
        <f t="shared" si="10"/>
        <v>83254</v>
      </c>
      <c r="G81" s="1688">
        <f t="shared" si="10"/>
        <v>137386</v>
      </c>
      <c r="H81" s="1688">
        <f t="shared" si="10"/>
        <v>237304</v>
      </c>
      <c r="I81" s="1688">
        <f t="shared" si="10"/>
        <v>101726</v>
      </c>
      <c r="J81" s="1688">
        <f t="shared" si="10"/>
        <v>231658</v>
      </c>
      <c r="K81" s="1688">
        <f t="shared" si="10"/>
        <v>84902</v>
      </c>
      <c r="L81" s="347"/>
    </row>
    <row r="82" spans="1:12" ht="0.75" customHeight="1" thickTop="1" thickBot="1" x14ac:dyDescent="0.25">
      <c r="A82" s="536" t="s">
        <v>343</v>
      </c>
      <c r="B82" s="537"/>
      <c r="C82" s="538">
        <f>(C81-C79)</f>
        <v>3151</v>
      </c>
      <c r="D82" s="538">
        <f t="shared" ref="D82:K82" si="11">(D81-D79)</f>
        <v>25887</v>
      </c>
      <c r="E82" s="538">
        <f t="shared" si="11"/>
        <v>-3589</v>
      </c>
      <c r="F82" s="538">
        <f t="shared" si="11"/>
        <v>5271</v>
      </c>
      <c r="G82" s="538">
        <f t="shared" si="11"/>
        <v>7910</v>
      </c>
      <c r="H82" s="538">
        <f t="shared" si="11"/>
        <v>133372</v>
      </c>
      <c r="I82" s="538">
        <f t="shared" si="11"/>
        <v>3292</v>
      </c>
      <c r="J82" s="538">
        <f t="shared" si="11"/>
        <v>33561</v>
      </c>
      <c r="K82" s="538">
        <f t="shared" si="11"/>
        <v>1455</v>
      </c>
    </row>
    <row r="83" spans="1:12" ht="14.25" hidden="1" thickTop="1" thickBot="1" x14ac:dyDescent="0.25">
      <c r="A83" s="539" t="s">
        <v>344</v>
      </c>
      <c r="B83" s="464"/>
      <c r="C83" s="540">
        <f>C82/C81</f>
        <v>4.454541341988894E-3</v>
      </c>
      <c r="D83" s="540">
        <f t="shared" ref="D83:K83" si="12">D82/D81</f>
        <v>0.10766018856232663</v>
      </c>
      <c r="E83" s="540">
        <f t="shared" si="12"/>
        <v>-0.31593309859154928</v>
      </c>
      <c r="F83" s="540">
        <f t="shared" si="12"/>
        <v>6.3312273284166526E-2</v>
      </c>
      <c r="G83" s="540">
        <f t="shared" si="12"/>
        <v>5.7575007642700127E-2</v>
      </c>
      <c r="H83" s="540">
        <f t="shared" si="12"/>
        <v>0.56203013855645079</v>
      </c>
      <c r="I83" s="540">
        <f t="shared" si="12"/>
        <v>3.2361441519375575E-2</v>
      </c>
      <c r="J83" s="540">
        <f t="shared" si="12"/>
        <v>0.14487304561033937</v>
      </c>
      <c r="K83" s="540">
        <f t="shared" si="12"/>
        <v>1.713740547925844E-2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33" colorId="8" zoomScale="110" zoomScaleNormal="110" zoomScaleSheetLayoutView="75" workbookViewId="0">
      <selection activeCell="C268" sqref="C26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703904</v>
      </c>
      <c r="D5" s="481">
        <v>130277</v>
      </c>
      <c r="E5" s="466">
        <v>141451</v>
      </c>
      <c r="F5" s="548">
        <v>79652</v>
      </c>
      <c r="G5" s="466">
        <v>30180</v>
      </c>
      <c r="H5" s="466">
        <v>0</v>
      </c>
      <c r="I5" s="466">
        <v>2376</v>
      </c>
      <c r="J5" s="467">
        <v>148257</v>
      </c>
      <c r="K5" s="466">
        <v>21530</v>
      </c>
    </row>
    <row r="6" spans="1:12" ht="15" x14ac:dyDescent="0.2">
      <c r="A6" s="463" t="s">
        <v>1662</v>
      </c>
      <c r="B6" s="470">
        <v>1130</v>
      </c>
      <c r="C6" s="466">
        <v>0</v>
      </c>
      <c r="D6" s="466">
        <v>14375</v>
      </c>
      <c r="E6" s="475"/>
      <c r="F6" s="475"/>
      <c r="G6" s="468"/>
      <c r="H6" s="468"/>
      <c r="I6" s="468"/>
      <c r="J6" s="468"/>
      <c r="K6" s="468"/>
    </row>
    <row r="7" spans="1:12" x14ac:dyDescent="0.2">
      <c r="A7" s="463" t="s">
        <v>110</v>
      </c>
      <c r="B7" s="549">
        <v>1140</v>
      </c>
      <c r="C7" s="466">
        <v>16697</v>
      </c>
      <c r="D7" s="466">
        <v>0</v>
      </c>
      <c r="E7" s="468"/>
      <c r="F7" s="467">
        <v>0</v>
      </c>
      <c r="G7" s="467">
        <v>0</v>
      </c>
      <c r="H7" s="467">
        <v>0</v>
      </c>
      <c r="I7" s="468"/>
      <c r="J7" s="468"/>
      <c r="K7" s="468"/>
    </row>
    <row r="8" spans="1:12" x14ac:dyDescent="0.2">
      <c r="A8" s="463" t="s">
        <v>413</v>
      </c>
      <c r="B8" s="470">
        <v>1150</v>
      </c>
      <c r="C8" s="475"/>
      <c r="D8" s="475"/>
      <c r="E8" s="477"/>
      <c r="F8" s="477"/>
      <c r="G8" s="481">
        <v>48880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720601</v>
      </c>
      <c r="D12" s="1707">
        <f t="shared" si="0"/>
        <v>144652</v>
      </c>
      <c r="E12" s="1707">
        <f t="shared" si="0"/>
        <v>141451</v>
      </c>
      <c r="F12" s="1707">
        <f t="shared" si="0"/>
        <v>79652</v>
      </c>
      <c r="G12" s="1707">
        <f t="shared" si="0"/>
        <v>79060</v>
      </c>
      <c r="H12" s="1707">
        <f t="shared" si="0"/>
        <v>0</v>
      </c>
      <c r="I12" s="1707">
        <f t="shared" si="0"/>
        <v>2376</v>
      </c>
      <c r="J12" s="1707">
        <f t="shared" si="0"/>
        <v>148257</v>
      </c>
      <c r="K12" s="1688">
        <f t="shared" si="0"/>
        <v>21530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4701</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6203</v>
      </c>
      <c r="D16" s="466">
        <v>0</v>
      </c>
      <c r="E16" s="466">
        <v>0</v>
      </c>
      <c r="F16" s="466">
        <v>0</v>
      </c>
      <c r="G16" s="466">
        <v>183</v>
      </c>
      <c r="H16" s="466">
        <v>0</v>
      </c>
      <c r="I16" s="466">
        <v>0</v>
      </c>
      <c r="J16" s="467">
        <v>0</v>
      </c>
      <c r="K16" s="466">
        <v>0</v>
      </c>
    </row>
    <row r="17" spans="1:11" ht="12.75" customHeight="1" x14ac:dyDescent="0.2">
      <c r="A17" s="463" t="s">
        <v>807</v>
      </c>
      <c r="B17" s="470">
        <v>1290</v>
      </c>
      <c r="C17" s="551">
        <v>9822</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20726</v>
      </c>
      <c r="D18" s="1710">
        <f t="shared" ref="D18:K18" si="1">SUM(D14:D17)</f>
        <v>0</v>
      </c>
      <c r="E18" s="1710">
        <f t="shared" si="1"/>
        <v>0</v>
      </c>
      <c r="F18" s="1710">
        <f t="shared" si="1"/>
        <v>0</v>
      </c>
      <c r="G18" s="1710">
        <f t="shared" si="1"/>
        <v>183</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7839</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7839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8663</v>
      </c>
      <c r="D65" s="466">
        <v>2551</v>
      </c>
      <c r="E65" s="466">
        <v>339</v>
      </c>
      <c r="F65" s="467">
        <v>1030</v>
      </c>
      <c r="G65" s="466">
        <v>1555</v>
      </c>
      <c r="H65" s="466">
        <v>1814</v>
      </c>
      <c r="I65" s="466">
        <v>916</v>
      </c>
      <c r="J65" s="467">
        <v>2715</v>
      </c>
      <c r="K65" s="466">
        <v>1009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8663</v>
      </c>
      <c r="D67" s="1688">
        <f t="shared" ref="D67:K67" si="2">SUM(D65:D66)</f>
        <v>2551</v>
      </c>
      <c r="E67" s="1688">
        <f t="shared" si="2"/>
        <v>339</v>
      </c>
      <c r="F67" s="1688">
        <f t="shared" si="2"/>
        <v>1030</v>
      </c>
      <c r="G67" s="1688">
        <f t="shared" si="2"/>
        <v>1555</v>
      </c>
      <c r="H67" s="1688">
        <f t="shared" si="2"/>
        <v>1814</v>
      </c>
      <c r="I67" s="1688">
        <f t="shared" si="2"/>
        <v>916</v>
      </c>
      <c r="J67" s="1688">
        <f t="shared" si="2"/>
        <v>2715</v>
      </c>
      <c r="K67" s="1688">
        <f t="shared" si="2"/>
        <v>1009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35629</v>
      </c>
      <c r="D69" s="468"/>
      <c r="E69" s="468"/>
      <c r="F69" s="468"/>
      <c r="G69" s="468"/>
      <c r="H69" s="468"/>
      <c r="I69" s="468"/>
      <c r="J69" s="468"/>
      <c r="K69" s="468"/>
    </row>
    <row r="70" spans="1:11" ht="12.75" customHeight="1" x14ac:dyDescent="0.2">
      <c r="A70" s="463" t="s">
        <v>997</v>
      </c>
      <c r="B70" s="470">
        <v>1612</v>
      </c>
      <c r="C70" s="551">
        <v>459</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666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36754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10764</v>
      </c>
      <c r="D77" s="466">
        <v>0</v>
      </c>
      <c r="E77" s="468"/>
      <c r="F77" s="468"/>
      <c r="G77" s="468"/>
      <c r="H77" s="468"/>
      <c r="I77" s="468"/>
      <c r="J77" s="468"/>
      <c r="K77" s="468"/>
    </row>
    <row r="78" spans="1:11" ht="12.75" customHeight="1" x14ac:dyDescent="0.2">
      <c r="A78" s="463" t="s">
        <v>76</v>
      </c>
      <c r="B78" s="470">
        <v>1719</v>
      </c>
      <c r="C78" s="551">
        <v>8211</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18975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7125</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7125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1050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768</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154377</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125272</v>
      </c>
      <c r="D106" s="489">
        <v>0</v>
      </c>
      <c r="E106" s="467">
        <v>0</v>
      </c>
      <c r="F106" s="467">
        <v>0</v>
      </c>
      <c r="G106" s="467">
        <v>0</v>
      </c>
      <c r="H106" s="467">
        <v>0</v>
      </c>
      <c r="I106" s="521"/>
      <c r="J106" s="467">
        <v>0</v>
      </c>
      <c r="K106" s="467">
        <v>0</v>
      </c>
    </row>
    <row r="107" spans="1:12" ht="12.75" customHeight="1" x14ac:dyDescent="0.2">
      <c r="A107" s="463" t="s">
        <v>78</v>
      </c>
      <c r="B107" s="470">
        <v>1999</v>
      </c>
      <c r="C107" s="551">
        <v>10567</v>
      </c>
      <c r="D107" s="466">
        <v>0</v>
      </c>
      <c r="E107" s="466">
        <v>0</v>
      </c>
      <c r="F107" s="466">
        <v>2064</v>
      </c>
      <c r="G107" s="466">
        <v>0</v>
      </c>
      <c r="H107" s="466">
        <v>0</v>
      </c>
      <c r="I107" s="466">
        <v>0</v>
      </c>
      <c r="J107" s="467">
        <v>0</v>
      </c>
      <c r="K107" s="466">
        <v>0</v>
      </c>
    </row>
    <row r="108" spans="1:12" ht="12.75" customHeight="1" thickBot="1" x14ac:dyDescent="0.25">
      <c r="A108" s="1708" t="s">
        <v>487</v>
      </c>
      <c r="B108" s="1712"/>
      <c r="C108" s="1707">
        <f>SUM(C95:C107)</f>
        <v>137657</v>
      </c>
      <c r="D108" s="1707">
        <f t="shared" ref="D108:K108" si="3">SUM(D95:D107)</f>
        <v>0</v>
      </c>
      <c r="E108" s="1707">
        <f t="shared" si="3"/>
        <v>0</v>
      </c>
      <c r="F108" s="1707">
        <f t="shared" si="3"/>
        <v>2064</v>
      </c>
      <c r="G108" s="1707">
        <f t="shared" si="3"/>
        <v>0</v>
      </c>
      <c r="H108" s="1707">
        <f t="shared" si="3"/>
        <v>154377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958340</v>
      </c>
      <c r="D109" s="1715">
        <f t="shared" si="4"/>
        <v>147203</v>
      </c>
      <c r="E109" s="1715">
        <f t="shared" si="4"/>
        <v>141790</v>
      </c>
      <c r="F109" s="1715">
        <f t="shared" si="4"/>
        <v>82746</v>
      </c>
      <c r="G109" s="1715">
        <f t="shared" si="4"/>
        <v>80798</v>
      </c>
      <c r="H109" s="1715">
        <f t="shared" si="4"/>
        <v>156191</v>
      </c>
      <c r="I109" s="1715">
        <f t="shared" si="4"/>
        <v>3292</v>
      </c>
      <c r="J109" s="1715">
        <f t="shared" si="4"/>
        <v>150972</v>
      </c>
      <c r="K109" s="1702">
        <f t="shared" si="4"/>
        <v>22539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614029</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614029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584</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41861</v>
      </c>
      <c r="G152" s="467">
        <v>0</v>
      </c>
      <c r="H152" s="468"/>
      <c r="I152" s="468"/>
      <c r="J152" s="468"/>
      <c r="K152" s="468"/>
    </row>
    <row r="153" spans="1:11" ht="12.75" customHeight="1" x14ac:dyDescent="0.2">
      <c r="A153" s="463" t="s">
        <v>1057</v>
      </c>
      <c r="B153" s="562">
        <v>3510</v>
      </c>
      <c r="C153" s="551">
        <v>0</v>
      </c>
      <c r="D153" s="466">
        <v>0</v>
      </c>
      <c r="E153" s="561"/>
      <c r="F153" s="466">
        <v>62</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41923</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42" t="s">
        <v>398</v>
      </c>
      <c r="B169" s="2143"/>
      <c r="C169" s="1722">
        <f t="shared" ref="C169:K169" si="6">SUM(C132,C141,C145,C146:C150,C155,C156:C167,C168)</f>
        <v>1334</v>
      </c>
      <c r="D169" s="1722">
        <f t="shared" si="6"/>
        <v>0</v>
      </c>
      <c r="E169" s="1722">
        <f t="shared" si="6"/>
        <v>0</v>
      </c>
      <c r="F169" s="1722">
        <f t="shared" si="6"/>
        <v>41923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615363</v>
      </c>
      <c r="D170" s="1715">
        <f t="shared" si="7"/>
        <v>0</v>
      </c>
      <c r="E170" s="1715">
        <f t="shared" si="7"/>
        <v>0</v>
      </c>
      <c r="F170" s="1715">
        <f t="shared" si="7"/>
        <v>41923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14619</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8" t="s">
        <v>1665</v>
      </c>
      <c r="B175" s="2149"/>
      <c r="C175" s="1707">
        <f>SUM(C173:C174)</f>
        <v>14619</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37935</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7717</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45652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97666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97666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11592</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11592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9517</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v>0</v>
      </c>
      <c r="D261" s="576">
        <v>0</v>
      </c>
      <c r="E261" s="468"/>
      <c r="F261" s="576">
        <v>0</v>
      </c>
      <c r="G261" s="576">
        <v>0</v>
      </c>
      <c r="H261" s="468"/>
      <c r="I261" s="468"/>
      <c r="J261" s="468"/>
      <c r="K261" s="468"/>
    </row>
    <row r="262" spans="1:11" ht="12.75" customHeight="1" thickTop="1" thickBot="1" x14ac:dyDescent="0.25">
      <c r="A262" s="1931"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4255</v>
      </c>
      <c r="D263" s="576">
        <v>0</v>
      </c>
      <c r="E263" s="468"/>
      <c r="F263" s="576">
        <v>0</v>
      </c>
      <c r="G263" s="576">
        <v>0</v>
      </c>
      <c r="H263" s="468"/>
      <c r="I263" s="468"/>
      <c r="J263" s="468"/>
      <c r="K263" s="468"/>
    </row>
    <row r="264" spans="1:11" ht="12.75" customHeight="1" thickTop="1" thickBot="1" x14ac:dyDescent="0.25">
      <c r="A264" s="463" t="s">
        <v>377</v>
      </c>
      <c r="B264" s="470">
        <v>4992</v>
      </c>
      <c r="C264" s="575">
        <v>13540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13899</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196121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210740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1784443</v>
      </c>
      <c r="D268" s="1715">
        <f t="shared" si="12"/>
        <v>147203</v>
      </c>
      <c r="E268" s="1715">
        <f t="shared" si="12"/>
        <v>141790</v>
      </c>
      <c r="F268" s="1715">
        <f t="shared" si="12"/>
        <v>124669</v>
      </c>
      <c r="G268" s="1715">
        <f t="shared" si="12"/>
        <v>80798</v>
      </c>
      <c r="H268" s="1715">
        <f t="shared" si="12"/>
        <v>156191</v>
      </c>
      <c r="I268" s="1715">
        <f t="shared" si="12"/>
        <v>3292</v>
      </c>
      <c r="J268" s="1715">
        <f t="shared" si="12"/>
        <v>150972</v>
      </c>
      <c r="K268" s="1702">
        <f t="shared" si="12"/>
        <v>22539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selection activeCell="E43" sqref="E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671159</v>
      </c>
      <c r="D5" s="466">
        <v>121878</v>
      </c>
      <c r="E5" s="466">
        <v>24208</v>
      </c>
      <c r="F5" s="466">
        <v>28103</v>
      </c>
      <c r="G5" s="466">
        <v>0</v>
      </c>
      <c r="H5" s="466">
        <v>9579</v>
      </c>
      <c r="I5" s="467">
        <v>0</v>
      </c>
      <c r="J5" s="467">
        <v>0</v>
      </c>
      <c r="K5" s="1671">
        <f>SUM(C5:J5)</f>
        <v>854927</v>
      </c>
      <c r="L5" s="466">
        <v>841182</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228644</v>
      </c>
      <c r="D8" s="466">
        <v>35827</v>
      </c>
      <c r="E8" s="466">
        <v>29703</v>
      </c>
      <c r="F8" s="466">
        <v>668</v>
      </c>
      <c r="G8" s="466">
        <v>0</v>
      </c>
      <c r="H8" s="466">
        <v>1645</v>
      </c>
      <c r="I8" s="467">
        <v>0</v>
      </c>
      <c r="J8" s="467">
        <v>0</v>
      </c>
      <c r="K8" s="1671">
        <f t="shared" si="0"/>
        <v>296487</v>
      </c>
      <c r="L8" s="466">
        <v>294737</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0</v>
      </c>
      <c r="D10" s="466">
        <v>0</v>
      </c>
      <c r="E10" s="466">
        <v>0</v>
      </c>
      <c r="F10" s="466">
        <v>0</v>
      </c>
      <c r="G10" s="466">
        <v>0</v>
      </c>
      <c r="H10" s="466">
        <v>0</v>
      </c>
      <c r="I10" s="467">
        <v>0</v>
      </c>
      <c r="J10" s="467">
        <v>0</v>
      </c>
      <c r="K10" s="1671">
        <f t="shared" si="0"/>
        <v>0</v>
      </c>
      <c r="L10" s="466">
        <v>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16643</v>
      </c>
      <c r="D14" s="466">
        <v>193</v>
      </c>
      <c r="E14" s="466">
        <v>6470</v>
      </c>
      <c r="F14" s="466">
        <v>5589</v>
      </c>
      <c r="G14" s="466">
        <v>0</v>
      </c>
      <c r="H14" s="466">
        <v>1059</v>
      </c>
      <c r="I14" s="467">
        <v>0</v>
      </c>
      <c r="J14" s="467">
        <v>0</v>
      </c>
      <c r="K14" s="1671">
        <f t="shared" si="0"/>
        <v>29954</v>
      </c>
      <c r="L14" s="466">
        <v>32684</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916446</v>
      </c>
      <c r="D33" s="1670">
        <f t="shared" ref="D33:L33" si="1">SUM(D5:D32)</f>
        <v>157898</v>
      </c>
      <c r="E33" s="1670">
        <f t="shared" si="1"/>
        <v>60381</v>
      </c>
      <c r="F33" s="1670">
        <f t="shared" si="1"/>
        <v>34360</v>
      </c>
      <c r="G33" s="1670">
        <f t="shared" si="1"/>
        <v>0</v>
      </c>
      <c r="H33" s="1670">
        <f t="shared" si="1"/>
        <v>12283</v>
      </c>
      <c r="I33" s="1670">
        <f t="shared" si="1"/>
        <v>0</v>
      </c>
      <c r="J33" s="1670">
        <f t="shared" si="1"/>
        <v>0</v>
      </c>
      <c r="K33" s="1670">
        <f t="shared" si="1"/>
        <v>1181368</v>
      </c>
      <c r="L33" s="1670">
        <f t="shared" si="1"/>
        <v>1168603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8217</v>
      </c>
      <c r="D36" s="481">
        <v>0</v>
      </c>
      <c r="E36" s="481">
        <v>0</v>
      </c>
      <c r="F36" s="481">
        <v>124</v>
      </c>
      <c r="G36" s="481">
        <v>0</v>
      </c>
      <c r="H36" s="481">
        <v>0</v>
      </c>
      <c r="I36" s="467">
        <v>0</v>
      </c>
      <c r="J36" s="467">
        <v>0</v>
      </c>
      <c r="K36" s="1671">
        <f t="shared" ref="K36:K41" si="2">SUM(C36:J36)</f>
        <v>8341</v>
      </c>
      <c r="L36" s="466">
        <v>6904</v>
      </c>
    </row>
    <row r="37" spans="1:14" x14ac:dyDescent="0.2">
      <c r="A37" s="1504" t="s">
        <v>1090</v>
      </c>
      <c r="B37" s="614">
        <v>2120</v>
      </c>
      <c r="C37" s="466">
        <v>10000</v>
      </c>
      <c r="D37" s="466">
        <v>1930</v>
      </c>
      <c r="E37" s="466">
        <v>0</v>
      </c>
      <c r="F37" s="466">
        <v>0</v>
      </c>
      <c r="G37" s="466">
        <v>0</v>
      </c>
      <c r="H37" s="466">
        <v>0</v>
      </c>
      <c r="I37" s="467">
        <v>0</v>
      </c>
      <c r="J37" s="467">
        <v>0</v>
      </c>
      <c r="K37" s="1671">
        <f t="shared" si="2"/>
        <v>11930</v>
      </c>
      <c r="L37" s="466">
        <v>12372</v>
      </c>
    </row>
    <row r="38" spans="1:14" x14ac:dyDescent="0.2">
      <c r="A38" s="1504" t="s">
        <v>198</v>
      </c>
      <c r="B38" s="614">
        <v>2130</v>
      </c>
      <c r="C38" s="466">
        <v>0</v>
      </c>
      <c r="D38" s="466">
        <v>0</v>
      </c>
      <c r="E38" s="466">
        <v>0</v>
      </c>
      <c r="F38" s="466">
        <v>0</v>
      </c>
      <c r="G38" s="466">
        <v>0</v>
      </c>
      <c r="H38" s="466">
        <v>0</v>
      </c>
      <c r="I38" s="467">
        <v>0</v>
      </c>
      <c r="J38" s="467">
        <v>0</v>
      </c>
      <c r="K38" s="1671">
        <f t="shared" si="2"/>
        <v>0</v>
      </c>
      <c r="L38" s="466">
        <v>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1669</v>
      </c>
      <c r="B41" s="614">
        <v>2190</v>
      </c>
      <c r="C41" s="466">
        <v>16475</v>
      </c>
      <c r="D41" s="466">
        <v>579</v>
      </c>
      <c r="E41" s="466">
        <v>0</v>
      </c>
      <c r="F41" s="466">
        <v>386</v>
      </c>
      <c r="G41" s="466">
        <v>0</v>
      </c>
      <c r="H41" s="466">
        <v>0</v>
      </c>
      <c r="I41" s="467">
        <v>0</v>
      </c>
      <c r="J41" s="467">
        <v>0</v>
      </c>
      <c r="K41" s="1671">
        <f t="shared" si="2"/>
        <v>17440</v>
      </c>
      <c r="L41" s="466">
        <v>16369</v>
      </c>
    </row>
    <row r="42" spans="1:14" ht="12.75" customHeight="1" thickBot="1" x14ac:dyDescent="0.25">
      <c r="A42" s="1668" t="s">
        <v>560</v>
      </c>
      <c r="B42" s="1669" t="s">
        <v>716</v>
      </c>
      <c r="C42" s="1670">
        <f>SUM(C36:C41)</f>
        <v>34692</v>
      </c>
      <c r="D42" s="1670">
        <f t="shared" ref="D42:L42" si="3">SUM(D36:D41)</f>
        <v>2509</v>
      </c>
      <c r="E42" s="1670">
        <f t="shared" si="3"/>
        <v>0</v>
      </c>
      <c r="F42" s="1670">
        <f t="shared" si="3"/>
        <v>510</v>
      </c>
      <c r="G42" s="1670">
        <f t="shared" si="3"/>
        <v>0</v>
      </c>
      <c r="H42" s="1670">
        <f t="shared" si="3"/>
        <v>0</v>
      </c>
      <c r="I42" s="1670">
        <f t="shared" si="3"/>
        <v>0</v>
      </c>
      <c r="J42" s="1670">
        <f t="shared" si="3"/>
        <v>0</v>
      </c>
      <c r="K42" s="1670">
        <f t="shared" si="3"/>
        <v>37711</v>
      </c>
      <c r="L42" s="1670">
        <f t="shared" si="3"/>
        <v>35645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v>18707</v>
      </c>
      <c r="F44" s="481">
        <v>2362</v>
      </c>
      <c r="G44" s="481">
        <v>0</v>
      </c>
      <c r="H44" s="481">
        <v>0</v>
      </c>
      <c r="I44" s="467">
        <v>0</v>
      </c>
      <c r="J44" s="467">
        <v>0</v>
      </c>
      <c r="K44" s="1672">
        <f>SUM(C44:J44)</f>
        <v>21069</v>
      </c>
      <c r="L44" s="481">
        <v>15410</v>
      </c>
    </row>
    <row r="45" spans="1:14" x14ac:dyDescent="0.2">
      <c r="A45" s="1504" t="s">
        <v>815</v>
      </c>
      <c r="B45" s="614">
        <v>2220</v>
      </c>
      <c r="C45" s="466">
        <v>1373</v>
      </c>
      <c r="D45" s="466">
        <v>0</v>
      </c>
      <c r="E45" s="466">
        <v>511</v>
      </c>
      <c r="F45" s="466">
        <v>904</v>
      </c>
      <c r="G45" s="466">
        <v>0</v>
      </c>
      <c r="H45" s="466">
        <v>0</v>
      </c>
      <c r="I45" s="467">
        <v>0</v>
      </c>
      <c r="J45" s="467">
        <v>0</v>
      </c>
      <c r="K45" s="1672">
        <f>SUM(C45:J45)</f>
        <v>2788</v>
      </c>
      <c r="L45" s="466">
        <v>1997</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1373</v>
      </c>
      <c r="D47" s="1670">
        <f t="shared" ref="D47:K47" si="4">SUM(D44:D46)</f>
        <v>0</v>
      </c>
      <c r="E47" s="1670">
        <f t="shared" si="4"/>
        <v>19218</v>
      </c>
      <c r="F47" s="1670">
        <f t="shared" si="4"/>
        <v>3266</v>
      </c>
      <c r="G47" s="1670">
        <f t="shared" si="4"/>
        <v>0</v>
      </c>
      <c r="H47" s="1670">
        <f t="shared" si="4"/>
        <v>0</v>
      </c>
      <c r="I47" s="1670">
        <f t="shared" si="4"/>
        <v>0</v>
      </c>
      <c r="J47" s="1670">
        <f t="shared" si="4"/>
        <v>0</v>
      </c>
      <c r="K47" s="1670">
        <f t="shared" si="4"/>
        <v>23857</v>
      </c>
      <c r="L47" s="1670">
        <f>SUM(L44:L46)</f>
        <v>17407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514</v>
      </c>
      <c r="F49" s="481">
        <v>72</v>
      </c>
      <c r="G49" s="481">
        <v>0</v>
      </c>
      <c r="H49" s="481">
        <v>0</v>
      </c>
      <c r="I49" s="467">
        <v>0</v>
      </c>
      <c r="J49" s="467">
        <v>0</v>
      </c>
      <c r="K49" s="1672">
        <f>SUM(C49:J49)</f>
        <v>586</v>
      </c>
      <c r="L49" s="481">
        <v>225</v>
      </c>
    </row>
    <row r="50" spans="1:14" x14ac:dyDescent="0.2">
      <c r="A50" s="1504" t="s">
        <v>818</v>
      </c>
      <c r="B50" s="614">
        <v>2320</v>
      </c>
      <c r="C50" s="466">
        <v>50000</v>
      </c>
      <c r="D50" s="466">
        <v>18963</v>
      </c>
      <c r="E50" s="466">
        <v>1573</v>
      </c>
      <c r="F50" s="466">
        <v>496</v>
      </c>
      <c r="G50" s="466">
        <v>0</v>
      </c>
      <c r="H50" s="466">
        <v>313</v>
      </c>
      <c r="I50" s="467">
        <v>0</v>
      </c>
      <c r="J50" s="467">
        <v>0</v>
      </c>
      <c r="K50" s="1672">
        <f>SUM(C50:J50)</f>
        <v>71345</v>
      </c>
      <c r="L50" s="466">
        <v>65269</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717</v>
      </c>
      <c r="B53" s="1669" t="s">
        <v>33</v>
      </c>
      <c r="C53" s="1670">
        <f>SUM(C49:C52)</f>
        <v>50000</v>
      </c>
      <c r="D53" s="1670">
        <f t="shared" ref="D53:L53" si="5">SUM(D49:D52)</f>
        <v>18963</v>
      </c>
      <c r="E53" s="1670">
        <f t="shared" si="5"/>
        <v>2087</v>
      </c>
      <c r="F53" s="1670">
        <f t="shared" si="5"/>
        <v>568</v>
      </c>
      <c r="G53" s="1670">
        <f t="shared" si="5"/>
        <v>0</v>
      </c>
      <c r="H53" s="1670">
        <f t="shared" si="5"/>
        <v>313</v>
      </c>
      <c r="I53" s="1670">
        <f t="shared" si="5"/>
        <v>0</v>
      </c>
      <c r="J53" s="1670">
        <f t="shared" si="5"/>
        <v>0</v>
      </c>
      <c r="K53" s="1670">
        <f t="shared" si="5"/>
        <v>71931</v>
      </c>
      <c r="L53" s="1670">
        <f t="shared" si="5"/>
        <v>65494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52266</v>
      </c>
      <c r="D55" s="481">
        <v>5131</v>
      </c>
      <c r="E55" s="481">
        <v>1920</v>
      </c>
      <c r="F55" s="481">
        <v>4311</v>
      </c>
      <c r="G55" s="481">
        <v>0</v>
      </c>
      <c r="H55" s="481">
        <v>349</v>
      </c>
      <c r="I55" s="467">
        <v>0</v>
      </c>
      <c r="J55" s="467">
        <v>0</v>
      </c>
      <c r="K55" s="1672">
        <f>SUM(C55:J55)</f>
        <v>63977</v>
      </c>
      <c r="L55" s="481">
        <v>69836</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52266</v>
      </c>
      <c r="D57" s="1674">
        <f t="shared" ref="D57:K57" si="6">SUM(D55:D56)</f>
        <v>5131</v>
      </c>
      <c r="E57" s="1674">
        <f t="shared" si="6"/>
        <v>1920</v>
      </c>
      <c r="F57" s="1674">
        <f t="shared" si="6"/>
        <v>4311</v>
      </c>
      <c r="G57" s="1674">
        <f t="shared" si="6"/>
        <v>0</v>
      </c>
      <c r="H57" s="1674">
        <f t="shared" si="6"/>
        <v>349</v>
      </c>
      <c r="I57" s="1674">
        <f t="shared" si="6"/>
        <v>0</v>
      </c>
      <c r="J57" s="1674">
        <f t="shared" si="6"/>
        <v>0</v>
      </c>
      <c r="K57" s="1674">
        <f t="shared" si="6"/>
        <v>63977</v>
      </c>
      <c r="L57" s="1670">
        <f>SUM(L55:L56)</f>
        <v>69836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99987</v>
      </c>
      <c r="D60" s="466">
        <v>5848</v>
      </c>
      <c r="E60" s="466">
        <v>0</v>
      </c>
      <c r="F60" s="466">
        <v>0</v>
      </c>
      <c r="G60" s="466">
        <v>0</v>
      </c>
      <c r="H60" s="466">
        <v>0</v>
      </c>
      <c r="I60" s="467">
        <v>0</v>
      </c>
      <c r="J60" s="467">
        <v>0</v>
      </c>
      <c r="K60" s="1672">
        <f t="shared" si="7"/>
        <v>105835</v>
      </c>
      <c r="L60" s="466">
        <v>69379</v>
      </c>
      <c r="M60" s="609"/>
      <c r="N60" s="609"/>
    </row>
    <row r="61" spans="1:14" s="343" customFormat="1" x14ac:dyDescent="0.2">
      <c r="A61" s="1504" t="s">
        <v>197</v>
      </c>
      <c r="B61" s="614">
        <v>2540</v>
      </c>
      <c r="C61" s="466">
        <v>35283</v>
      </c>
      <c r="D61" s="466">
        <v>467</v>
      </c>
      <c r="E61" s="466">
        <v>19409</v>
      </c>
      <c r="F61" s="466">
        <v>8643</v>
      </c>
      <c r="G61" s="466">
        <v>0</v>
      </c>
      <c r="H61" s="466">
        <v>0</v>
      </c>
      <c r="I61" s="467">
        <v>0</v>
      </c>
      <c r="J61" s="467">
        <v>0</v>
      </c>
      <c r="K61" s="1672">
        <f t="shared" si="7"/>
        <v>63802</v>
      </c>
      <c r="L61" s="466">
        <v>67282</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900</v>
      </c>
      <c r="M62" s="609"/>
      <c r="N62" s="609"/>
    </row>
    <row r="63" spans="1:14" s="609" customFormat="1" x14ac:dyDescent="0.2">
      <c r="A63" s="1504" t="s">
        <v>100</v>
      </c>
      <c r="B63" s="614">
        <v>2560</v>
      </c>
      <c r="C63" s="466">
        <v>29190</v>
      </c>
      <c r="D63" s="466">
        <v>3588</v>
      </c>
      <c r="E63" s="466">
        <v>0</v>
      </c>
      <c r="F63" s="466">
        <v>44398</v>
      </c>
      <c r="G63" s="466">
        <v>0</v>
      </c>
      <c r="H63" s="466">
        <v>429</v>
      </c>
      <c r="I63" s="467">
        <v>0</v>
      </c>
      <c r="J63" s="467">
        <v>0</v>
      </c>
      <c r="K63" s="1672">
        <f t="shared" si="7"/>
        <v>77605</v>
      </c>
      <c r="L63" s="466">
        <v>70533</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164460</v>
      </c>
      <c r="D65" s="1670">
        <f t="shared" ref="D65:L65" si="8">SUM(D59:D64)</f>
        <v>9903</v>
      </c>
      <c r="E65" s="1670">
        <f t="shared" si="8"/>
        <v>19409</v>
      </c>
      <c r="F65" s="1670">
        <f t="shared" si="8"/>
        <v>53041</v>
      </c>
      <c r="G65" s="1670">
        <f t="shared" si="8"/>
        <v>0</v>
      </c>
      <c r="H65" s="1670">
        <f t="shared" si="8"/>
        <v>429</v>
      </c>
      <c r="I65" s="1670">
        <f t="shared" si="8"/>
        <v>0</v>
      </c>
      <c r="J65" s="1670">
        <f t="shared" si="8"/>
        <v>0</v>
      </c>
      <c r="K65" s="1670">
        <f t="shared" si="8"/>
        <v>247242</v>
      </c>
      <c r="L65" s="1670">
        <f t="shared" si="8"/>
        <v>208094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24658</v>
      </c>
      <c r="F71" s="466">
        <v>0</v>
      </c>
      <c r="G71" s="466">
        <v>0</v>
      </c>
      <c r="H71" s="466">
        <v>0</v>
      </c>
      <c r="I71" s="467">
        <v>0</v>
      </c>
      <c r="J71" s="467">
        <v>0</v>
      </c>
      <c r="K71" s="1672">
        <f>SUM(C71:J71)</f>
        <v>24658</v>
      </c>
      <c r="L71" s="466">
        <v>26500</v>
      </c>
      <c r="M71" s="609"/>
      <c r="N71" s="609"/>
    </row>
    <row r="72" spans="1:14" s="343" customFormat="1" ht="12.75" customHeight="1" thickBot="1" x14ac:dyDescent="0.25">
      <c r="A72" s="1668" t="s">
        <v>37</v>
      </c>
      <c r="B72" s="1675" t="s">
        <v>36</v>
      </c>
      <c r="C72" s="1670">
        <f>SUM(C67:C71)</f>
        <v>0</v>
      </c>
      <c r="D72" s="1670">
        <f t="shared" ref="D72:K72" si="9">SUM(D67:D71)</f>
        <v>0</v>
      </c>
      <c r="E72" s="1670">
        <f t="shared" si="9"/>
        <v>24658</v>
      </c>
      <c r="F72" s="1670">
        <f t="shared" si="9"/>
        <v>0</v>
      </c>
      <c r="G72" s="1670">
        <f t="shared" si="9"/>
        <v>0</v>
      </c>
      <c r="H72" s="1670">
        <f t="shared" si="9"/>
        <v>0</v>
      </c>
      <c r="I72" s="1670">
        <f t="shared" si="9"/>
        <v>0</v>
      </c>
      <c r="J72" s="1670">
        <f t="shared" si="9"/>
        <v>0</v>
      </c>
      <c r="K72" s="1670">
        <f t="shared" si="9"/>
        <v>24658</v>
      </c>
      <c r="L72" s="1670">
        <f>SUM(L67:L71)</f>
        <v>26500</v>
      </c>
      <c r="M72" s="609"/>
      <c r="N72" s="609"/>
    </row>
    <row r="73" spans="1:14" s="343" customFormat="1" ht="14.25" thickTop="1" thickBot="1" x14ac:dyDescent="0.25">
      <c r="A73" s="1510" t="s">
        <v>980</v>
      </c>
      <c r="B73" s="632" t="s">
        <v>574</v>
      </c>
      <c r="C73" s="573">
        <v>0</v>
      </c>
      <c r="D73" s="573">
        <v>0</v>
      </c>
      <c r="E73" s="573">
        <v>554</v>
      </c>
      <c r="F73" s="573">
        <v>0</v>
      </c>
      <c r="G73" s="573">
        <v>0</v>
      </c>
      <c r="H73" s="573">
        <v>0</v>
      </c>
      <c r="I73" s="531">
        <v>0</v>
      </c>
      <c r="J73" s="531">
        <v>0</v>
      </c>
      <c r="K73" s="1670">
        <f>SUM(C73:J73)</f>
        <v>554</v>
      </c>
      <c r="L73" s="576">
        <v>900</v>
      </c>
      <c r="M73" s="609"/>
      <c r="N73" s="609"/>
    </row>
    <row r="74" spans="1:14" ht="12.75" customHeight="1" thickTop="1" thickBot="1" x14ac:dyDescent="0.25">
      <c r="A74" s="1668" t="s">
        <v>811</v>
      </c>
      <c r="B74" s="1676">
        <v>2000</v>
      </c>
      <c r="C74" s="1677">
        <f>SUM(C42,C47,C53,C57,C65,C72,C73)</f>
        <v>302791</v>
      </c>
      <c r="D74" s="1677">
        <f t="shared" ref="D74:K74" si="10">SUM(D42,D47,D53,D57,D65,D72,D73)</f>
        <v>36506</v>
      </c>
      <c r="E74" s="1677">
        <f t="shared" si="10"/>
        <v>67846</v>
      </c>
      <c r="F74" s="1677">
        <f t="shared" si="10"/>
        <v>61696</v>
      </c>
      <c r="G74" s="1677">
        <f t="shared" si="10"/>
        <v>0</v>
      </c>
      <c r="H74" s="1677">
        <f t="shared" si="10"/>
        <v>1091</v>
      </c>
      <c r="I74" s="1677">
        <f t="shared" si="10"/>
        <v>0</v>
      </c>
      <c r="J74" s="1677">
        <f t="shared" si="10"/>
        <v>0</v>
      </c>
      <c r="K74" s="1677">
        <f t="shared" si="10"/>
        <v>469930</v>
      </c>
      <c r="L74" s="1677">
        <f>SUM(L42,L47,L53,L57,L65,L72,L73)</f>
        <v>423876</v>
      </c>
    </row>
    <row r="75" spans="1:14" s="259" customFormat="1" ht="15.75" customHeight="1" thickTop="1" thickBot="1" x14ac:dyDescent="0.25">
      <c r="A75" s="1610" t="s">
        <v>47</v>
      </c>
      <c r="B75" s="1611" t="s">
        <v>575</v>
      </c>
      <c r="C75" s="573">
        <v>78645</v>
      </c>
      <c r="D75" s="573">
        <v>2304</v>
      </c>
      <c r="E75" s="573">
        <v>0</v>
      </c>
      <c r="F75" s="573">
        <v>12347</v>
      </c>
      <c r="G75" s="573">
        <v>0</v>
      </c>
      <c r="H75" s="573">
        <v>138</v>
      </c>
      <c r="I75" s="531">
        <v>0</v>
      </c>
      <c r="J75" s="531">
        <v>0</v>
      </c>
      <c r="K75" s="1670">
        <f>SUM(C75:J75)</f>
        <v>93434</v>
      </c>
      <c r="L75" s="576">
        <v>91205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36560</v>
      </c>
      <c r="F79" s="616"/>
      <c r="G79" s="616"/>
      <c r="H79" s="466">
        <v>0</v>
      </c>
      <c r="I79" s="477"/>
      <c r="J79" s="477"/>
      <c r="K79" s="1671">
        <f t="shared" si="11"/>
        <v>36560</v>
      </c>
      <c r="L79" s="466">
        <v>40000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36560</v>
      </c>
      <c r="F84" s="616"/>
      <c r="G84" s="616"/>
      <c r="H84" s="1670">
        <f>SUM(H78:H83)</f>
        <v>0</v>
      </c>
      <c r="I84" s="477"/>
      <c r="J84" s="477"/>
      <c r="K84" s="1670">
        <f>SUM(K78:K83)</f>
        <v>36560</v>
      </c>
      <c r="L84" s="1670">
        <f>SUM(L78:L83)</f>
        <v>40000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36560</v>
      </c>
      <c r="F102" s="616"/>
      <c r="G102" s="616"/>
      <c r="H102" s="1677">
        <f>SUM(H84,H92,H100,H101)</f>
        <v>0</v>
      </c>
      <c r="I102" s="477"/>
      <c r="J102" s="477"/>
      <c r="K102" s="1677">
        <f>SUM(K84,K92,K100,K101)</f>
        <v>36560</v>
      </c>
      <c r="L102" s="1677">
        <f>SUM(L84,L92,L100,L101)</f>
        <v>40000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1297882</v>
      </c>
      <c r="D114" s="1670">
        <f t="shared" ref="D114:K114" si="13">SUM(D33,D74,D75,D102,D112,D113)</f>
        <v>196708</v>
      </c>
      <c r="E114" s="1670">
        <f t="shared" si="13"/>
        <v>164787</v>
      </c>
      <c r="F114" s="1670">
        <f t="shared" si="13"/>
        <v>108403</v>
      </c>
      <c r="G114" s="1670">
        <f t="shared" si="13"/>
        <v>0</v>
      </c>
      <c r="H114" s="1670">
        <f>SUM(H33,H74,H75,H102,H112,H113)</f>
        <v>13512</v>
      </c>
      <c r="I114" s="1670">
        <f t="shared" si="13"/>
        <v>0</v>
      </c>
      <c r="J114" s="1670">
        <f t="shared" si="13"/>
        <v>0</v>
      </c>
      <c r="K114" s="1670">
        <f t="shared" si="13"/>
        <v>1781292</v>
      </c>
      <c r="L114" s="1670">
        <f>SUM(L33,L74,L75,L102,L112,L113)</f>
        <v>1723684</v>
      </c>
    </row>
    <row r="115" spans="1:14" ht="13.5" thickTop="1" x14ac:dyDescent="0.2">
      <c r="A115" s="2154" t="s">
        <v>996</v>
      </c>
      <c r="B115" s="2155"/>
      <c r="C115" s="618"/>
      <c r="D115" s="618"/>
      <c r="E115" s="618"/>
      <c r="F115" s="618"/>
      <c r="G115" s="618"/>
      <c r="H115" s="618"/>
      <c r="I115" s="618"/>
      <c r="J115" s="618"/>
      <c r="K115" s="1684">
        <f>'Revenues 9-14'!C268-'Expenditures 15-22'!K114</f>
        <v>3151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7858</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30952</v>
      </c>
      <c r="D124" s="466">
        <v>4450</v>
      </c>
      <c r="E124" s="466">
        <v>7544</v>
      </c>
      <c r="F124" s="466">
        <v>77951</v>
      </c>
      <c r="G124" s="466">
        <v>0</v>
      </c>
      <c r="H124" s="466">
        <v>419</v>
      </c>
      <c r="I124" s="467">
        <v>0</v>
      </c>
      <c r="J124" s="467">
        <v>0</v>
      </c>
      <c r="K124" s="1670">
        <f>SUM(C124:J124)</f>
        <v>121316</v>
      </c>
      <c r="L124" s="466">
        <v>148552</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30952</v>
      </c>
      <c r="D127" s="1670">
        <f t="shared" ref="D127:L127" si="14">SUM(D122:D126)</f>
        <v>4450</v>
      </c>
      <c r="E127" s="1670">
        <f t="shared" si="14"/>
        <v>7544</v>
      </c>
      <c r="F127" s="1670">
        <f t="shared" si="14"/>
        <v>77951</v>
      </c>
      <c r="G127" s="1670">
        <f t="shared" si="14"/>
        <v>0</v>
      </c>
      <c r="H127" s="1670">
        <f t="shared" si="14"/>
        <v>419</v>
      </c>
      <c r="I127" s="1670">
        <f t="shared" si="14"/>
        <v>0</v>
      </c>
      <c r="J127" s="1670">
        <f t="shared" si="14"/>
        <v>0</v>
      </c>
      <c r="K127" s="1670">
        <f t="shared" si="14"/>
        <v>121316</v>
      </c>
      <c r="L127" s="1670">
        <f t="shared" si="14"/>
        <v>148552</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30952</v>
      </c>
      <c r="D129" s="1677">
        <f t="shared" ref="D129:L129" si="15">SUM(D120,D127,D128)</f>
        <v>4450</v>
      </c>
      <c r="E129" s="1677">
        <f t="shared" si="15"/>
        <v>7544</v>
      </c>
      <c r="F129" s="1677">
        <f t="shared" si="15"/>
        <v>77951</v>
      </c>
      <c r="G129" s="1677">
        <f t="shared" si="15"/>
        <v>0</v>
      </c>
      <c r="H129" s="1677">
        <f t="shared" si="15"/>
        <v>419</v>
      </c>
      <c r="I129" s="1677">
        <f t="shared" si="15"/>
        <v>0</v>
      </c>
      <c r="J129" s="1677">
        <f t="shared" si="15"/>
        <v>0</v>
      </c>
      <c r="K129" s="1677">
        <f t="shared" si="15"/>
        <v>121316</v>
      </c>
      <c r="L129" s="1677">
        <f t="shared" si="15"/>
        <v>156410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30952</v>
      </c>
      <c r="D151" s="1670">
        <f t="shared" ref="D151:K151" si="16">SUM(D129,D130,D139,D149,D150)</f>
        <v>4450</v>
      </c>
      <c r="E151" s="1670">
        <f t="shared" si="16"/>
        <v>7544</v>
      </c>
      <c r="F151" s="1670">
        <f t="shared" si="16"/>
        <v>77951</v>
      </c>
      <c r="G151" s="1670">
        <f t="shared" si="16"/>
        <v>0</v>
      </c>
      <c r="H151" s="1670">
        <f t="shared" si="16"/>
        <v>419</v>
      </c>
      <c r="I151" s="1670">
        <f t="shared" si="16"/>
        <v>0</v>
      </c>
      <c r="J151" s="1670">
        <f t="shared" si="16"/>
        <v>0</v>
      </c>
      <c r="K151" s="1670">
        <f t="shared" si="16"/>
        <v>121316</v>
      </c>
      <c r="L151" s="1670">
        <f>SUM(L129,L130,L139,L149,L150)</f>
        <v>156410</v>
      </c>
    </row>
    <row r="152" spans="1:14" ht="12.75" customHeight="1" thickTop="1" x14ac:dyDescent="0.2">
      <c r="A152" s="2174" t="s">
        <v>1178</v>
      </c>
      <c r="B152" s="2175"/>
      <c r="C152" s="618"/>
      <c r="D152" s="618"/>
      <c r="E152" s="618"/>
      <c r="F152" s="618"/>
      <c r="G152" s="618"/>
      <c r="H152" s="618"/>
      <c r="I152" s="618"/>
      <c r="J152" s="616"/>
      <c r="K152" s="1684">
        <f>'Revenues 9-14'!D268-'Expenditures 15-22'!K151</f>
        <v>25887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371</v>
      </c>
      <c r="I166" s="616"/>
      <c r="J166" s="616"/>
      <c r="K166" s="1671">
        <f>SUM(C166:J166)</f>
        <v>371</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371</v>
      </c>
      <c r="I168" s="616"/>
      <c r="J168" s="616"/>
      <c r="K168" s="1670">
        <f>SUM(K163:K167)</f>
        <v>371</v>
      </c>
      <c r="L168" s="1670">
        <f>SUM(L163:L167)</f>
        <v>0</v>
      </c>
    </row>
    <row r="169" spans="1:14" ht="15.75" customHeight="1" thickTop="1" x14ac:dyDescent="0.2">
      <c r="A169" s="669" t="s">
        <v>83</v>
      </c>
      <c r="B169" s="670" t="s">
        <v>38</v>
      </c>
      <c r="C169" s="616"/>
      <c r="D169" s="616"/>
      <c r="E169" s="616"/>
      <c r="F169" s="616"/>
      <c r="G169" s="616"/>
      <c r="H169" s="656">
        <v>20008</v>
      </c>
      <c r="I169" s="616"/>
      <c r="J169" s="616"/>
      <c r="K169" s="1671">
        <f>SUM(C169:H169)</f>
        <v>20008</v>
      </c>
      <c r="L169" s="656">
        <v>20508</v>
      </c>
    </row>
    <row r="170" spans="1:14" ht="33.75" customHeight="1" x14ac:dyDescent="0.2">
      <c r="A170" s="669" t="s">
        <v>1670</v>
      </c>
      <c r="B170" s="671" t="s">
        <v>31</v>
      </c>
      <c r="C170" s="616"/>
      <c r="D170" s="616"/>
      <c r="E170" s="616"/>
      <c r="F170" s="616"/>
      <c r="G170" s="616"/>
      <c r="H170" s="569">
        <v>125000</v>
      </c>
      <c r="I170" s="616"/>
      <c r="J170" s="616"/>
      <c r="K170" s="1671">
        <f>SUM(C170:J170)</f>
        <v>125000</v>
      </c>
      <c r="L170" s="569">
        <v>125000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145379</v>
      </c>
      <c r="I172" s="638"/>
      <c r="J172" s="616"/>
      <c r="K172" s="1677">
        <f>SUM(K168,K169,K170,K171)</f>
        <v>145379</v>
      </c>
      <c r="L172" s="1677">
        <f>SUM(L168,L169,L170,L171)</f>
        <v>145508</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145379</v>
      </c>
      <c r="I174" s="638"/>
      <c r="J174" s="616"/>
      <c r="K174" s="1677">
        <f>SUM(K160,K172,K173)</f>
        <v>145379</v>
      </c>
      <c r="L174" s="1677">
        <f>SUM(L160,L172,L173)</f>
        <v>145508</v>
      </c>
    </row>
    <row r="175" spans="1:14" ht="13.5" thickTop="1" x14ac:dyDescent="0.2">
      <c r="A175" s="2154" t="s">
        <v>996</v>
      </c>
      <c r="B175" s="2155"/>
      <c r="C175" s="616"/>
      <c r="D175" s="616"/>
      <c r="E175" s="616"/>
      <c r="F175" s="616"/>
      <c r="G175" s="616"/>
      <c r="H175" s="618"/>
      <c r="I175" s="616"/>
      <c r="J175" s="616"/>
      <c r="K175" s="1684">
        <f>'Revenues 9-14'!E268-'Expenditures 15-22'!K174</f>
        <v>-3589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0</v>
      </c>
      <c r="D182" s="466">
        <v>0</v>
      </c>
      <c r="E182" s="466">
        <v>119398</v>
      </c>
      <c r="F182" s="466">
        <v>0</v>
      </c>
      <c r="G182" s="466">
        <v>0</v>
      </c>
      <c r="H182" s="466">
        <v>0</v>
      </c>
      <c r="I182" s="467">
        <v>0</v>
      </c>
      <c r="J182" s="467">
        <v>0</v>
      </c>
      <c r="K182" s="1671">
        <f>SUM(C182:J182)</f>
        <v>119398</v>
      </c>
      <c r="L182" s="466">
        <v>124200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119398</v>
      </c>
      <c r="F184" s="1677">
        <f t="shared" si="17"/>
        <v>0</v>
      </c>
      <c r="G184" s="1677">
        <f t="shared" si="17"/>
        <v>0</v>
      </c>
      <c r="H184" s="1677">
        <f t="shared" si="17"/>
        <v>0</v>
      </c>
      <c r="I184" s="1677">
        <f t="shared" si="17"/>
        <v>0</v>
      </c>
      <c r="J184" s="1677">
        <f t="shared" si="17"/>
        <v>0</v>
      </c>
      <c r="K184" s="1677">
        <f>SUM(K180,K182,K183)</f>
        <v>119398</v>
      </c>
      <c r="L184" s="1677">
        <f>SUM(L180, L182:L183)</f>
        <v>124200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119398</v>
      </c>
      <c r="F210" s="1670">
        <f>SUM(F184,F185)</f>
        <v>0</v>
      </c>
      <c r="G210" s="1670">
        <f>SUM(G184,G185)</f>
        <v>0</v>
      </c>
      <c r="H210" s="1670">
        <f>SUM(H184,H185,H196,H208,H209)</f>
        <v>0</v>
      </c>
      <c r="I210" s="1670">
        <f>SUM(I184,I185)</f>
        <v>0</v>
      </c>
      <c r="J210" s="1670">
        <f>SUM(J184,J185)</f>
        <v>0</v>
      </c>
      <c r="K210" s="1671">
        <f>SUM(K184,K185,K196,K208,K209)</f>
        <v>119398</v>
      </c>
      <c r="L210" s="1670">
        <f>SUM(L184,L185,L196,L208,L209)</f>
        <v>124200</v>
      </c>
    </row>
    <row r="211" spans="1:14" ht="13.5" thickTop="1" x14ac:dyDescent="0.2">
      <c r="A211" s="2154" t="s">
        <v>996</v>
      </c>
      <c r="B211" s="2155"/>
      <c r="C211" s="618"/>
      <c r="D211" s="618"/>
      <c r="E211" s="618"/>
      <c r="F211" s="618"/>
      <c r="G211" s="618"/>
      <c r="H211" s="618"/>
      <c r="I211" s="616"/>
      <c r="J211" s="616"/>
      <c r="K211" s="1684">
        <f>'Revenues 9-14'!F268-'Expenditures 15-22'!K210</f>
        <v>5271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10759</v>
      </c>
      <c r="E215" s="616"/>
      <c r="F215" s="616"/>
      <c r="G215" s="616"/>
      <c r="H215" s="616"/>
      <c r="I215" s="616"/>
      <c r="J215" s="616"/>
      <c r="K215" s="1671">
        <f>D215</f>
        <v>10759</v>
      </c>
      <c r="L215" s="466">
        <v>11026</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13039</v>
      </c>
      <c r="E217" s="616"/>
      <c r="F217" s="616"/>
      <c r="G217" s="616"/>
      <c r="H217" s="616"/>
      <c r="I217" s="616"/>
      <c r="J217" s="616"/>
      <c r="K217" s="1671">
        <f t="shared" si="19"/>
        <v>13039</v>
      </c>
      <c r="L217" s="466">
        <v>11906</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1297</v>
      </c>
      <c r="E223" s="616"/>
      <c r="F223" s="616"/>
      <c r="G223" s="616"/>
      <c r="H223" s="616"/>
      <c r="I223" s="616"/>
      <c r="J223" s="616"/>
      <c r="K223" s="1671">
        <f t="shared" si="19"/>
        <v>1297</v>
      </c>
      <c r="L223" s="466">
        <v>1194</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25095</v>
      </c>
      <c r="E229" s="616"/>
      <c r="F229" s="616"/>
      <c r="G229" s="616"/>
      <c r="H229" s="616"/>
      <c r="I229" s="616"/>
      <c r="J229" s="616"/>
      <c r="K229" s="1670">
        <f>SUM(K215:K228)</f>
        <v>25095</v>
      </c>
      <c r="L229" s="1670">
        <f>SUM(L215:L228)</f>
        <v>24126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1220</v>
      </c>
      <c r="E232" s="616"/>
      <c r="F232" s="616"/>
      <c r="G232" s="616"/>
      <c r="H232" s="616"/>
      <c r="I232" s="616"/>
      <c r="J232" s="616"/>
      <c r="K232" s="1671">
        <f t="shared" ref="K232:K237" si="20">D232</f>
        <v>1220</v>
      </c>
      <c r="L232" s="466">
        <v>951</v>
      </c>
    </row>
    <row r="233" spans="1:12" x14ac:dyDescent="0.2">
      <c r="A233" s="1504" t="s">
        <v>1090</v>
      </c>
      <c r="B233" s="614">
        <v>2120</v>
      </c>
      <c r="C233" s="616"/>
      <c r="D233" s="466">
        <v>145</v>
      </c>
      <c r="E233" s="616"/>
      <c r="F233" s="616"/>
      <c r="G233" s="616"/>
      <c r="H233" s="616"/>
      <c r="I233" s="616"/>
      <c r="J233" s="616"/>
      <c r="K233" s="1671">
        <f t="shared" si="20"/>
        <v>145</v>
      </c>
      <c r="L233" s="466">
        <v>145</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1714</v>
      </c>
      <c r="E237" s="616"/>
      <c r="F237" s="616"/>
      <c r="G237" s="616"/>
      <c r="H237" s="616"/>
      <c r="I237" s="616"/>
      <c r="J237" s="616"/>
      <c r="K237" s="1671">
        <f t="shared" si="20"/>
        <v>1714</v>
      </c>
      <c r="L237" s="466">
        <v>1607</v>
      </c>
    </row>
    <row r="238" spans="1:12" ht="12.75" customHeight="1" thickBot="1" x14ac:dyDescent="0.25">
      <c r="A238" s="1668" t="s">
        <v>560</v>
      </c>
      <c r="B238" s="1675" t="s">
        <v>716</v>
      </c>
      <c r="C238" s="616"/>
      <c r="D238" s="1670">
        <f>SUM(D232:D237)</f>
        <v>3079</v>
      </c>
      <c r="E238" s="616"/>
      <c r="F238" s="616"/>
      <c r="G238" s="616"/>
      <c r="H238" s="616"/>
      <c r="I238" s="616"/>
      <c r="J238" s="616"/>
      <c r="K238" s="1670">
        <f>SUM(K232:K237)</f>
        <v>3079</v>
      </c>
      <c r="L238" s="1670">
        <f>SUM(L232:L237)</f>
        <v>2703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188</v>
      </c>
      <c r="E241" s="616"/>
      <c r="F241" s="616"/>
      <c r="G241" s="616"/>
      <c r="H241" s="616"/>
      <c r="I241" s="616"/>
      <c r="J241" s="616"/>
      <c r="K241" s="1672">
        <f>D241</f>
        <v>188</v>
      </c>
      <c r="L241" s="466">
        <v>202</v>
      </c>
    </row>
    <row r="242" spans="1:12" x14ac:dyDescent="0.2">
      <c r="A242" s="1504" t="s">
        <v>816</v>
      </c>
      <c r="B242" s="614">
        <v>2230</v>
      </c>
      <c r="C242" s="616"/>
      <c r="D242" s="466">
        <v>1283</v>
      </c>
      <c r="E242" s="616"/>
      <c r="F242" s="616"/>
      <c r="G242" s="616"/>
      <c r="H242" s="616"/>
      <c r="I242" s="616"/>
      <c r="J242" s="616"/>
      <c r="K242" s="1672">
        <f>D242</f>
        <v>1283</v>
      </c>
      <c r="L242" s="466">
        <v>0</v>
      </c>
    </row>
    <row r="243" spans="1:12" ht="12.75" customHeight="1" thickBot="1" x14ac:dyDescent="0.25">
      <c r="A243" s="1694" t="s">
        <v>561</v>
      </c>
      <c r="B243" s="1695">
        <v>2200</v>
      </c>
      <c r="C243" s="616"/>
      <c r="D243" s="1670">
        <f>SUM(D240:D242)</f>
        <v>1471</v>
      </c>
      <c r="E243" s="616"/>
      <c r="F243" s="616"/>
      <c r="G243" s="616"/>
      <c r="H243" s="616"/>
      <c r="I243" s="616"/>
      <c r="J243" s="616"/>
      <c r="K243" s="1670">
        <f>SUM(K240:K242)</f>
        <v>1471</v>
      </c>
      <c r="L243" s="1670">
        <f>SUM(L240:L242)</f>
        <v>202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0</v>
      </c>
      <c r="E246" s="616"/>
      <c r="F246" s="616"/>
      <c r="G246" s="616"/>
      <c r="H246" s="616"/>
      <c r="I246" s="616"/>
      <c r="J246" s="616"/>
      <c r="K246" s="1672">
        <f t="shared" ref="K246:K256" si="21">D246</f>
        <v>0</v>
      </c>
      <c r="L246" s="466">
        <v>740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740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389</v>
      </c>
      <c r="E259" s="616"/>
      <c r="F259" s="616"/>
      <c r="G259" s="616"/>
      <c r="H259" s="616"/>
      <c r="I259" s="616"/>
      <c r="J259" s="616"/>
      <c r="K259" s="1672">
        <f>D259</f>
        <v>389</v>
      </c>
      <c r="L259" s="481">
        <v>864</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389</v>
      </c>
      <c r="E261" s="616"/>
      <c r="F261" s="616"/>
      <c r="G261" s="616"/>
      <c r="H261" s="616"/>
      <c r="I261" s="616"/>
      <c r="J261" s="616"/>
      <c r="K261" s="1670">
        <f>SUM(K259:K260)</f>
        <v>389</v>
      </c>
      <c r="L261" s="1670">
        <f>SUM(L259:L260)</f>
        <v>864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14380</v>
      </c>
      <c r="E264" s="616"/>
      <c r="F264" s="616"/>
      <c r="G264" s="616"/>
      <c r="H264" s="616"/>
      <c r="I264" s="616"/>
      <c r="J264" s="616"/>
      <c r="K264" s="1672">
        <f t="shared" ref="K264:K269" si="22">D264</f>
        <v>14380</v>
      </c>
      <c r="L264" s="466">
        <v>9695</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9422</v>
      </c>
      <c r="E266" s="616"/>
      <c r="F266" s="616"/>
      <c r="G266" s="616"/>
      <c r="H266" s="616"/>
      <c r="I266" s="616"/>
      <c r="J266" s="616"/>
      <c r="K266" s="1672">
        <f t="shared" si="22"/>
        <v>9422</v>
      </c>
      <c r="L266" s="466">
        <v>10164</v>
      </c>
    </row>
    <row r="267" spans="1:14" x14ac:dyDescent="0.2">
      <c r="A267" s="1504" t="s">
        <v>953</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4092</v>
      </c>
      <c r="E268" s="616"/>
      <c r="F268" s="616"/>
      <c r="G268" s="616"/>
      <c r="H268" s="616"/>
      <c r="I268" s="616"/>
      <c r="J268" s="616"/>
      <c r="K268" s="1672">
        <f t="shared" si="22"/>
        <v>4092</v>
      </c>
      <c r="L268" s="466">
        <v>3399</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27894</v>
      </c>
      <c r="E270" s="616"/>
      <c r="F270" s="616"/>
      <c r="G270" s="616"/>
      <c r="H270" s="616"/>
      <c r="I270" s="616"/>
      <c r="J270" s="616"/>
      <c r="K270" s="1670">
        <f>SUM(K263:K269)</f>
        <v>27894</v>
      </c>
      <c r="L270" s="1670">
        <f>SUM(L263:L269)</f>
        <v>23258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32833</v>
      </c>
      <c r="E279" s="616"/>
      <c r="F279" s="616"/>
      <c r="G279" s="616"/>
      <c r="H279" s="616"/>
      <c r="I279" s="616"/>
      <c r="J279" s="616"/>
      <c r="K279" s="1677">
        <f>SUM(K238,K243,K257,K261,K270,K277,K278)</f>
        <v>32833</v>
      </c>
      <c r="L279" s="1677">
        <f>SUM(L238,L243,L257,L261,L270,L277,L278)</f>
        <v>27767</v>
      </c>
    </row>
    <row r="280" spans="1:12" ht="15.75" customHeight="1" thickTop="1" thickBot="1" x14ac:dyDescent="0.25">
      <c r="A280" s="1624" t="s">
        <v>875</v>
      </c>
      <c r="B280" s="1613">
        <v>3000</v>
      </c>
      <c r="C280" s="616"/>
      <c r="D280" s="576">
        <v>10120</v>
      </c>
      <c r="E280" s="616"/>
      <c r="F280" s="616"/>
      <c r="G280" s="616"/>
      <c r="H280" s="616"/>
      <c r="I280" s="616"/>
      <c r="J280" s="616"/>
      <c r="K280" s="1679">
        <f>D280</f>
        <v>10120</v>
      </c>
      <c r="L280" s="576">
        <v>10204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v>0</v>
      </c>
      <c r="E282" s="616"/>
      <c r="F282" s="616"/>
      <c r="G282" s="616"/>
      <c r="H282" s="616"/>
      <c r="I282" s="616"/>
      <c r="J282" s="616"/>
      <c r="K282" s="1671">
        <f>D282</f>
        <v>0</v>
      </c>
      <c r="L282" s="467">
        <v>0</v>
      </c>
    </row>
    <row r="283" spans="1:12" x14ac:dyDescent="0.2">
      <c r="A283" s="1504" t="s">
        <v>304</v>
      </c>
      <c r="B283" s="614">
        <v>4120</v>
      </c>
      <c r="C283" s="616"/>
      <c r="D283" s="466">
        <v>4840</v>
      </c>
      <c r="E283" s="616"/>
      <c r="F283" s="616"/>
      <c r="G283" s="616"/>
      <c r="H283" s="616"/>
      <c r="I283" s="616"/>
      <c r="J283" s="616"/>
      <c r="K283" s="1671">
        <f>D283</f>
        <v>4840</v>
      </c>
      <c r="L283" s="466">
        <v>3942</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4840</v>
      </c>
      <c r="E285" s="616"/>
      <c r="F285" s="616"/>
      <c r="G285" s="616"/>
      <c r="H285" s="616"/>
      <c r="I285" s="616"/>
      <c r="J285" s="616"/>
      <c r="K285" s="1670">
        <f>SUM(K282:K284)</f>
        <v>4840</v>
      </c>
      <c r="L285" s="1670">
        <f>SUM(L282:L284)</f>
        <v>3942</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72888</v>
      </c>
      <c r="E295" s="616"/>
      <c r="F295" s="616"/>
      <c r="G295" s="616"/>
      <c r="H295" s="1670">
        <f>H293</f>
        <v>0</v>
      </c>
      <c r="I295" s="616"/>
      <c r="J295" s="616"/>
      <c r="K295" s="1670">
        <f>SUM(K229,K279,K280,K285,K293,K294)</f>
        <v>72888</v>
      </c>
      <c r="L295" s="1670">
        <f>SUM(L229,L279,L280,L285,L293,L294)</f>
        <v>66039</v>
      </c>
    </row>
    <row r="296" spans="1:14" ht="13.5" thickTop="1" x14ac:dyDescent="0.2">
      <c r="A296" s="2154" t="s">
        <v>996</v>
      </c>
      <c r="B296" s="2155"/>
      <c r="C296" s="616"/>
      <c r="D296" s="618"/>
      <c r="E296" s="616"/>
      <c r="F296" s="616"/>
      <c r="G296" s="616"/>
      <c r="H296" s="687"/>
      <c r="I296" s="616"/>
      <c r="J296" s="616"/>
      <c r="K296" s="1684">
        <f>'Revenues 9-14'!G268-'Expenditures 15-22'!K295</f>
        <v>7910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19485</v>
      </c>
      <c r="F301" s="466">
        <v>2334</v>
      </c>
      <c r="G301" s="466">
        <f>1000</f>
        <v>1000</v>
      </c>
      <c r="H301" s="466">
        <v>0</v>
      </c>
      <c r="I301" s="467">
        <v>0</v>
      </c>
      <c r="J301" s="467">
        <v>0</v>
      </c>
      <c r="K301" s="1671">
        <f>SUM(C301:J301)</f>
        <v>22819</v>
      </c>
      <c r="L301" s="467">
        <v>115000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19485</v>
      </c>
      <c r="F303" s="1677">
        <f t="shared" si="23"/>
        <v>2334</v>
      </c>
      <c r="G303" s="1677">
        <f t="shared" si="23"/>
        <v>1000</v>
      </c>
      <c r="H303" s="1677">
        <f t="shared" si="23"/>
        <v>0</v>
      </c>
      <c r="I303" s="1677">
        <f t="shared" si="23"/>
        <v>0</v>
      </c>
      <c r="J303" s="1677">
        <f t="shared" si="23"/>
        <v>0</v>
      </c>
      <c r="K303" s="1677">
        <f t="shared" si="23"/>
        <v>22819</v>
      </c>
      <c r="L303" s="1677">
        <f t="shared" si="23"/>
        <v>115000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19485</v>
      </c>
      <c r="F312" s="1670">
        <f>SUM(F303)</f>
        <v>2334</v>
      </c>
      <c r="G312" s="1670">
        <f>SUM(G303)</f>
        <v>1000</v>
      </c>
      <c r="H312" s="1670">
        <f>SUM(H303,H310)</f>
        <v>0</v>
      </c>
      <c r="I312" s="1670">
        <f>SUM(I303)</f>
        <v>0</v>
      </c>
      <c r="J312" s="1670">
        <f>SUM(J303)</f>
        <v>0</v>
      </c>
      <c r="K312" s="1670">
        <f>SUM(K303,K310,K311)</f>
        <v>22819</v>
      </c>
      <c r="L312" s="1670">
        <f>SUM(L303,L310,L311)</f>
        <v>115000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133372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5081</v>
      </c>
      <c r="E321" s="467">
        <v>0</v>
      </c>
      <c r="F321" s="467">
        <v>0</v>
      </c>
      <c r="G321" s="467">
        <v>0</v>
      </c>
      <c r="H321" s="467">
        <v>0</v>
      </c>
      <c r="I321" s="467">
        <v>0</v>
      </c>
      <c r="J321" s="467">
        <v>0</v>
      </c>
      <c r="K321" s="1671">
        <f t="shared" si="24"/>
        <v>5081</v>
      </c>
      <c r="L321" s="467">
        <v>12000</v>
      </c>
      <c r="M321" s="665"/>
      <c r="N321" s="665"/>
    </row>
    <row r="322" spans="1:14" s="674" customFormat="1" x14ac:dyDescent="0.2">
      <c r="A322" s="1519" t="s">
        <v>238</v>
      </c>
      <c r="B322" s="697" t="s">
        <v>284</v>
      </c>
      <c r="C322" s="467">
        <v>0</v>
      </c>
      <c r="D322" s="467">
        <v>0</v>
      </c>
      <c r="E322" s="467">
        <v>52358</v>
      </c>
      <c r="F322" s="467">
        <v>0</v>
      </c>
      <c r="G322" s="467">
        <v>0</v>
      </c>
      <c r="H322" s="467">
        <v>0</v>
      </c>
      <c r="I322" s="467">
        <v>0</v>
      </c>
      <c r="J322" s="467">
        <v>0</v>
      </c>
      <c r="K322" s="1671">
        <f t="shared" si="24"/>
        <v>52358</v>
      </c>
      <c r="L322" s="467">
        <v>42000</v>
      </c>
      <c r="M322" s="665"/>
      <c r="N322" s="665"/>
    </row>
    <row r="323" spans="1:14" s="674" customFormat="1" x14ac:dyDescent="0.2">
      <c r="A323" s="1519" t="s">
        <v>702</v>
      </c>
      <c r="B323" s="697" t="s">
        <v>285</v>
      </c>
      <c r="C323" s="467">
        <v>0</v>
      </c>
      <c r="D323" s="467">
        <v>0</v>
      </c>
      <c r="E323" s="467">
        <v>5855</v>
      </c>
      <c r="F323" s="467">
        <v>0</v>
      </c>
      <c r="G323" s="467">
        <v>0</v>
      </c>
      <c r="H323" s="467">
        <v>0</v>
      </c>
      <c r="I323" s="467">
        <v>0</v>
      </c>
      <c r="J323" s="467">
        <v>0</v>
      </c>
      <c r="K323" s="1671">
        <f t="shared" si="24"/>
        <v>5855</v>
      </c>
      <c r="L323" s="467">
        <v>5500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23069</v>
      </c>
      <c r="D325" s="467">
        <v>0</v>
      </c>
      <c r="E325" s="467">
        <v>11440</v>
      </c>
      <c r="F325" s="467">
        <v>0</v>
      </c>
      <c r="G325" s="467">
        <v>0</v>
      </c>
      <c r="H325" s="467">
        <v>17477</v>
      </c>
      <c r="I325" s="467">
        <v>0</v>
      </c>
      <c r="J325" s="467">
        <v>0</v>
      </c>
      <c r="K325" s="1671">
        <f t="shared" si="24"/>
        <v>51986</v>
      </c>
      <c r="L325" s="467">
        <v>56869</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2131</v>
      </c>
      <c r="F327" s="467">
        <v>0</v>
      </c>
      <c r="G327" s="467">
        <v>0</v>
      </c>
      <c r="H327" s="467">
        <v>0</v>
      </c>
      <c r="I327" s="467">
        <v>0</v>
      </c>
      <c r="J327" s="467">
        <v>0</v>
      </c>
      <c r="K327" s="1671">
        <f t="shared" si="24"/>
        <v>2131</v>
      </c>
      <c r="L327" s="467">
        <v>3500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23069</v>
      </c>
      <c r="D330" s="1670">
        <f t="shared" ref="D330:J330" si="25">SUM(D319:D329)</f>
        <v>5081</v>
      </c>
      <c r="E330" s="1670">
        <f t="shared" si="25"/>
        <v>71784</v>
      </c>
      <c r="F330" s="1670">
        <f t="shared" si="25"/>
        <v>0</v>
      </c>
      <c r="G330" s="1670">
        <f t="shared" si="25"/>
        <v>0</v>
      </c>
      <c r="H330" s="1670">
        <f t="shared" si="25"/>
        <v>17477</v>
      </c>
      <c r="I330" s="1670">
        <f t="shared" si="25"/>
        <v>0</v>
      </c>
      <c r="J330" s="1670">
        <f t="shared" si="25"/>
        <v>0</v>
      </c>
      <c r="K330" s="1670">
        <f>SUM(K319:K329)</f>
        <v>117411</v>
      </c>
      <c r="L330" s="1670">
        <f>SUM(L319:L329)</f>
        <v>119869</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4100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4100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23069</v>
      </c>
      <c r="D342" s="1670">
        <f>SUM(D330)</f>
        <v>5081</v>
      </c>
      <c r="E342" s="1670">
        <f>SUM(E330)</f>
        <v>71784</v>
      </c>
      <c r="F342" s="1670">
        <f>SUM(F330)</f>
        <v>0</v>
      </c>
      <c r="G342" s="1670">
        <f>SUM(G330)</f>
        <v>0</v>
      </c>
      <c r="H342" s="1670">
        <f>SUM(H330,H334,H340)</f>
        <v>17477</v>
      </c>
      <c r="I342" s="1670">
        <f>SUM(I330)</f>
        <v>0</v>
      </c>
      <c r="J342" s="1670">
        <f>SUM(J330)</f>
        <v>0</v>
      </c>
      <c r="K342" s="1670">
        <f>SUM(K330,K334,K340)</f>
        <v>117411</v>
      </c>
      <c r="L342" s="1677">
        <f>SUM(L330,L340,L341)</f>
        <v>119869</v>
      </c>
    </row>
    <row r="343" spans="1:14" ht="12.75" customHeight="1" thickTop="1" x14ac:dyDescent="0.2">
      <c r="A343" s="2167" t="s">
        <v>996</v>
      </c>
      <c r="B343" s="2168"/>
      <c r="C343" s="616"/>
      <c r="D343" s="616"/>
      <c r="E343" s="616"/>
      <c r="F343" s="616"/>
      <c r="G343" s="616"/>
      <c r="H343" s="616"/>
      <c r="I343" s="616"/>
      <c r="J343" s="616"/>
      <c r="K343" s="1684">
        <f>'Revenues 9-14'!J268-'Expenditures 15-22'!K342</f>
        <v>33561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21084</v>
      </c>
      <c r="F348" s="466">
        <v>0</v>
      </c>
      <c r="G348" s="466">
        <v>0</v>
      </c>
      <c r="H348" s="466">
        <v>0</v>
      </c>
      <c r="I348" s="467">
        <v>0</v>
      </c>
      <c r="J348" s="467">
        <v>0</v>
      </c>
      <c r="K348" s="1671">
        <f>SUM(C348:J348)</f>
        <v>21084</v>
      </c>
      <c r="L348" s="466">
        <v>35000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21084</v>
      </c>
      <c r="F350" s="1670">
        <f t="shared" si="26"/>
        <v>0</v>
      </c>
      <c r="G350" s="1670">
        <f t="shared" si="26"/>
        <v>0</v>
      </c>
      <c r="H350" s="1670">
        <f t="shared" si="26"/>
        <v>0</v>
      </c>
      <c r="I350" s="1670">
        <f t="shared" si="26"/>
        <v>0</v>
      </c>
      <c r="J350" s="1670">
        <f t="shared" si="26"/>
        <v>0</v>
      </c>
      <c r="K350" s="1670">
        <f t="shared" si="26"/>
        <v>21084</v>
      </c>
      <c r="L350" s="1670">
        <f t="shared" si="26"/>
        <v>35000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21084</v>
      </c>
      <c r="F352" s="1670">
        <f t="shared" si="27"/>
        <v>0</v>
      </c>
      <c r="G352" s="1670">
        <f t="shared" si="27"/>
        <v>0</v>
      </c>
      <c r="H352" s="1670">
        <f t="shared" si="27"/>
        <v>0</v>
      </c>
      <c r="I352" s="1670">
        <f t="shared" si="27"/>
        <v>0</v>
      </c>
      <c r="J352" s="1670">
        <f t="shared" si="27"/>
        <v>0</v>
      </c>
      <c r="K352" s="1670">
        <f t="shared" si="27"/>
        <v>21084</v>
      </c>
      <c r="L352" s="1670">
        <f t="shared" si="27"/>
        <v>35000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21084</v>
      </c>
      <c r="F367" s="1670">
        <f t="shared" si="28"/>
        <v>0</v>
      </c>
      <c r="G367" s="1670">
        <f t="shared" si="28"/>
        <v>0</v>
      </c>
      <c r="H367" s="1670">
        <f t="shared" si="28"/>
        <v>0</v>
      </c>
      <c r="I367" s="1670">
        <f t="shared" si="28"/>
        <v>0</v>
      </c>
      <c r="J367" s="1670">
        <f t="shared" si="28"/>
        <v>0</v>
      </c>
      <c r="K367" s="1670">
        <f t="shared" si="28"/>
        <v>21084</v>
      </c>
      <c r="L367" s="1670">
        <f t="shared" si="28"/>
        <v>35000</v>
      </c>
    </row>
    <row r="368" spans="1:14" ht="13.5" thickTop="1" x14ac:dyDescent="0.2">
      <c r="A368" s="2154" t="s">
        <v>996</v>
      </c>
      <c r="B368" s="2155"/>
      <c r="C368" s="654"/>
      <c r="D368" s="654"/>
      <c r="E368" s="626"/>
      <c r="F368" s="626"/>
      <c r="G368" s="626"/>
      <c r="H368" s="626"/>
      <c r="I368" s="626"/>
      <c r="J368" s="623"/>
      <c r="K368" s="1671">
        <f>'Revenues 9-14'!K268-'Expenditures 15-22'!K367</f>
        <v>1455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terms/"/>
    <ds:schemaRef ds:uri="http://schemas.microsoft.com/sharepoint/v3"/>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2019-11-21T19:09:16Z</cp:lastPrinted>
  <dcterms:created xsi:type="dcterms:W3CDTF">2003-10-29T19:06:34Z</dcterms:created>
  <dcterms:modified xsi:type="dcterms:W3CDTF">2020-01-09T15:27:55Z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