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5440" windowHeight="15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 sheetId="186" r:id="rId31"/>
    <sheet name=" SEFA (5)" sheetId="185" r:id="rId32"/>
    <sheet name="SEFA NOTES" sheetId="173" r:id="rId33"/>
    <sheet name="SF&amp;QC Sec-1" sheetId="174" r:id="rId34"/>
    <sheet name="SF&amp;QC Sec-2" sheetId="175" r:id="rId35"/>
    <sheet name="SF&amp;QC Sec-3" sheetId="176" r:id="rId36"/>
    <sheet name="SSPAF" sheetId="177" r:id="rId37"/>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(4 )'!$B$1:$M$46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0" i="185" l="1"/>
  <c r="K20" i="185"/>
  <c r="J20" i="185"/>
  <c r="H20" i="185"/>
  <c r="E20" i="185"/>
  <c r="M18" i="185"/>
  <c r="K18" i="185"/>
  <c r="J18" i="185"/>
  <c r="H18" i="185"/>
  <c r="G18" i="185"/>
  <c r="E18" i="185"/>
  <c r="L15" i="185"/>
  <c r="L16" i="185" s="1"/>
  <c r="L18" i="185" s="1"/>
  <c r="L14" i="185"/>
  <c r="M16" i="185"/>
  <c r="K16" i="185"/>
  <c r="J16" i="185"/>
  <c r="I16" i="185"/>
  <c r="I18" i="185" s="1"/>
  <c r="I20" i="185" s="1"/>
  <c r="H16" i="185"/>
  <c r="G16" i="185"/>
  <c r="F16" i="185"/>
  <c r="F18" i="185" s="1"/>
  <c r="E16" i="185"/>
  <c r="L27" i="186"/>
  <c r="L26" i="186"/>
  <c r="L25" i="186"/>
  <c r="M20" i="186"/>
  <c r="K20" i="186"/>
  <c r="J20" i="186"/>
  <c r="I20" i="186"/>
  <c r="H20" i="186"/>
  <c r="G20" i="186"/>
  <c r="F20" i="186"/>
  <c r="E20" i="186"/>
  <c r="L19" i="186"/>
  <c r="L18" i="186"/>
  <c r="L20" i="186" s="1"/>
  <c r="M15" i="186"/>
  <c r="M22" i="186" s="1"/>
  <c r="K15" i="186"/>
  <c r="K22" i="186" s="1"/>
  <c r="J15" i="186"/>
  <c r="J22" i="186" s="1"/>
  <c r="I15" i="186"/>
  <c r="I22" i="186" s="1"/>
  <c r="H15" i="186"/>
  <c r="H22" i="186" s="1"/>
  <c r="G15" i="186"/>
  <c r="F15" i="186"/>
  <c r="F22" i="186" s="1"/>
  <c r="E15" i="186"/>
  <c r="E22" i="186" s="1"/>
  <c r="L14" i="186"/>
  <c r="L13" i="186"/>
  <c r="L15" i="186" s="1"/>
  <c r="B4" i="186"/>
  <c r="G22" i="186" l="1"/>
  <c r="G20" i="185" s="1"/>
  <c r="M19" i="184"/>
  <c r="K19" i="184"/>
  <c r="J19" i="184"/>
  <c r="I19" i="184"/>
  <c r="H19" i="184"/>
  <c r="G19" i="184"/>
  <c r="F19" i="184"/>
  <c r="E19" i="184"/>
  <c r="M24" i="184"/>
  <c r="L24" i="184"/>
  <c r="K24" i="184"/>
  <c r="J24" i="184"/>
  <c r="I24" i="184"/>
  <c r="H24" i="184"/>
  <c r="G24" i="184"/>
  <c r="F24" i="184"/>
  <c r="E24" i="184"/>
  <c r="L23" i="184"/>
  <c r="L22" i="184"/>
  <c r="M15" i="184"/>
  <c r="L15" i="184"/>
  <c r="K15" i="184"/>
  <c r="J15" i="184"/>
  <c r="I15" i="184"/>
  <c r="H15" i="184"/>
  <c r="G15" i="184"/>
  <c r="F15" i="184"/>
  <c r="E15" i="184"/>
  <c r="M24" i="183"/>
  <c r="L24" i="183"/>
  <c r="K24" i="183"/>
  <c r="J24" i="183"/>
  <c r="I24" i="183"/>
  <c r="H24" i="183"/>
  <c r="G24" i="183"/>
  <c r="F24" i="183"/>
  <c r="E24" i="183"/>
  <c r="M18" i="183"/>
  <c r="L18" i="183"/>
  <c r="K18" i="183"/>
  <c r="J18" i="183"/>
  <c r="I18" i="183"/>
  <c r="H18" i="183"/>
  <c r="G18" i="183"/>
  <c r="F18" i="183"/>
  <c r="E18" i="183"/>
  <c r="M11" i="183"/>
  <c r="L11" i="183"/>
  <c r="K11" i="183"/>
  <c r="J11" i="183"/>
  <c r="I11" i="183"/>
  <c r="H11" i="183"/>
  <c r="G11" i="183"/>
  <c r="E11" i="183"/>
  <c r="M26" i="179"/>
  <c r="K26" i="179"/>
  <c r="J26" i="179"/>
  <c r="H26" i="179"/>
  <c r="M24" i="179"/>
  <c r="K24" i="179"/>
  <c r="J24" i="179"/>
  <c r="I24" i="179"/>
  <c r="I26" i="179" s="1"/>
  <c r="H24" i="179"/>
  <c r="G24" i="179"/>
  <c r="G26" i="179" s="1"/>
  <c r="F24" i="179"/>
  <c r="E24" i="179"/>
  <c r="E26" i="179" s="1"/>
  <c r="M19" i="179"/>
  <c r="L19" i="179"/>
  <c r="K19" i="179"/>
  <c r="J19" i="179"/>
  <c r="I19" i="179"/>
  <c r="H19" i="179"/>
  <c r="G19" i="179"/>
  <c r="F19" i="179"/>
  <c r="F26" i="179" s="1"/>
  <c r="F11" i="183" s="1"/>
  <c r="F20" i="185" s="1"/>
  <c r="E19" i="179"/>
  <c r="M14" i="179"/>
  <c r="L14" i="179"/>
  <c r="K14" i="179"/>
  <c r="J14" i="179"/>
  <c r="I14" i="179"/>
  <c r="H14" i="179"/>
  <c r="G14" i="179"/>
  <c r="F14" i="179"/>
  <c r="E14" i="179"/>
  <c r="B4" i="185" l="1"/>
  <c r="L18" i="184"/>
  <c r="L19" i="184" s="1"/>
  <c r="L22" i="186" s="1"/>
  <c r="L20" i="185" s="1"/>
  <c r="L14" i="184"/>
  <c r="L13" i="184"/>
  <c r="B4" i="184"/>
  <c r="L23" i="183"/>
  <c r="L21" i="183"/>
  <c r="L17" i="183"/>
  <c r="L16" i="183"/>
  <c r="L15" i="183"/>
  <c r="L14" i="183"/>
  <c r="B4" i="183"/>
  <c r="J9" i="12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3" i="179" l="1"/>
  <c r="L22" i="179"/>
  <c r="L18" i="179"/>
  <c r="L17" i="179"/>
  <c r="L13" i="179"/>
  <c r="L12" i="179"/>
  <c r="L24" i="179" l="1"/>
  <c r="L26" i="179" s="1"/>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1" i="184"/>
  <c r="B1" i="183"/>
  <c r="B2" i="179"/>
  <c r="B2" i="186"/>
  <c r="B2" i="183"/>
  <c r="B2" i="184"/>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B5304" i="106" s="1"/>
  <c r="D5304" i="106" s="1"/>
  <c r="C252" i="5"/>
  <c r="B7761" i="106"/>
  <c r="D7761" i="106" s="1"/>
  <c r="L127" i="29"/>
  <c r="L129" i="29" s="1"/>
  <c r="L139" i="29"/>
  <c r="L149" i="29"/>
  <c r="I7" i="145"/>
  <c r="I6" i="145"/>
  <c r="D82" i="36"/>
  <c r="D78" i="36"/>
  <c r="K75" i="29"/>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K251" i="29"/>
  <c r="K252" i="29"/>
  <c r="B7090" i="106" s="1"/>
  <c r="D7090" i="106" s="1"/>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59" i="127"/>
  <c r="B60" i="127"/>
  <c r="E26" i="108"/>
  <c r="G26" i="108"/>
  <c r="D27" i="108"/>
  <c r="E27" i="108"/>
  <c r="F27" i="108"/>
  <c r="G27" i="108"/>
  <c r="F31" i="108"/>
  <c r="F36" i="108"/>
  <c r="F37" i="108"/>
  <c r="G28" i="108"/>
  <c r="E29" i="108"/>
  <c r="G29" i="108"/>
  <c r="D31" i="108"/>
  <c r="D36" i="108"/>
  <c r="D37" i="108"/>
  <c r="E31" i="108"/>
  <c r="G31" i="108"/>
  <c r="E33" i="108"/>
  <c r="G33"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L22" i="37"/>
  <c r="D24" i="37"/>
  <c r="B4270" i="106" s="1"/>
  <c r="D4270" i="106" s="1"/>
  <c r="D9" i="7"/>
  <c r="B1767" i="106" s="1"/>
  <c r="D1767" i="106" s="1"/>
  <c r="D17" i="7"/>
  <c r="B4104" i="106" s="1"/>
  <c r="D4104" i="106" s="1"/>
  <c r="J352" i="29" l="1"/>
  <c r="J367" i="29" s="1"/>
  <c r="B7245" i="106" s="1"/>
  <c r="J77" i="4"/>
  <c r="B6262" i="106" s="1"/>
  <c r="D6262" i="106" s="1"/>
  <c r="B1124" i="106"/>
  <c r="D1124" i="106" s="1"/>
  <c r="F49" i="34"/>
  <c r="H342" i="29"/>
  <c r="B1274" i="106"/>
  <c r="D1274" i="106" s="1"/>
  <c r="F19" i="7"/>
  <c r="B1807" i="106" s="1"/>
  <c r="D1807" i="106" s="1"/>
  <c r="F70" i="34"/>
  <c r="F62" i="34"/>
  <c r="G38" i="108"/>
  <c r="F26" i="108"/>
  <c r="B6995" i="106"/>
  <c r="D6995" i="106" s="1"/>
  <c r="J22" i="37"/>
  <c r="F34" i="34"/>
  <c r="E38" i="108"/>
  <c r="G30" i="108"/>
  <c r="F28" i="108"/>
  <c r="D68" i="36"/>
  <c r="B7235" i="106"/>
  <c r="D7235" i="106" s="1"/>
  <c r="H365" i="29"/>
  <c r="B7242" i="106" s="1"/>
  <c r="D7242" i="106" s="1"/>
  <c r="F77" i="4"/>
  <c r="B3255" i="106" s="1"/>
  <c r="D3255" i="106" s="1"/>
  <c r="I24" i="12"/>
  <c r="L5" i="11"/>
  <c r="B2056" i="106" s="1"/>
  <c r="D2056" i="106" s="1"/>
  <c r="E30" i="108"/>
  <c r="E28" i="108"/>
  <c r="D26" i="108"/>
  <c r="D41" i="108" s="1"/>
  <c r="E43" i="108" s="1"/>
  <c r="D54" i="36"/>
  <c r="H76" i="4"/>
  <c r="B3298" i="106" s="1"/>
  <c r="D3298" i="106" s="1"/>
  <c r="J41" i="3"/>
  <c r="K184" i="29"/>
  <c r="F13" i="4" s="1"/>
  <c r="B2596" i="106" s="1"/>
  <c r="D2596" i="106" s="1"/>
  <c r="G210" i="29"/>
  <c r="G15" i="145"/>
  <c r="K41" i="3"/>
  <c r="C129" i="29"/>
  <c r="C151" i="29" s="1"/>
  <c r="B1226" i="106" s="1"/>
  <c r="D1226" i="106" s="1"/>
  <c r="L367" i="29"/>
  <c r="D7245" i="106"/>
  <c r="D6103" i="106"/>
  <c r="B3647" i="106"/>
  <c r="D3647" i="106" s="1"/>
  <c r="C352" i="29"/>
  <c r="K76" i="4"/>
  <c r="B3586" i="106" s="1"/>
  <c r="D3586" i="106" s="1"/>
  <c r="L13" i="11"/>
  <c r="B2060" i="106" s="1"/>
  <c r="D2060" i="106" s="1"/>
  <c r="B1308" i="106"/>
  <c r="D1308" i="106" s="1"/>
  <c r="E174" i="29"/>
  <c r="B1309" i="106" s="1"/>
  <c r="D1309" i="106" s="1"/>
  <c r="K28" i="118"/>
  <c r="O27" i="118" s="1"/>
  <c r="O29" i="118" s="1"/>
  <c r="L342" i="29"/>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D7255" i="106" l="1"/>
  <c r="D7252" i="106"/>
  <c r="B1381" i="106"/>
  <c r="D1381" i="106" s="1"/>
  <c r="C114" i="29"/>
  <c r="B757" i="106" s="1"/>
  <c r="D757" i="106" s="1"/>
  <c r="F174" i="34"/>
  <c r="B1996" i="106"/>
  <c r="D1996" i="106" s="1"/>
  <c r="I26" i="12"/>
  <c r="B7741" i="106" s="1"/>
  <c r="D7741" i="106" s="1"/>
  <c r="K365" i="29"/>
  <c r="D7253" i="106"/>
  <c r="D7254" i="106"/>
  <c r="J16" i="4"/>
  <c r="B6226" i="106" s="1"/>
  <c r="D6226" i="106" s="1"/>
  <c r="D7250" i="106"/>
  <c r="L16" i="11"/>
  <c r="B2061" i="106" s="1"/>
  <c r="D2061" i="106" s="1"/>
  <c r="L114" i="29"/>
  <c r="B5778" i="106"/>
  <c r="D5778" i="106" s="1"/>
  <c r="G6" i="4"/>
  <c r="B2604" i="106" s="1"/>
  <c r="D2604" i="106" s="1"/>
  <c r="K342" i="29"/>
  <c r="F13" i="34" s="1"/>
  <c r="B1365" i="106"/>
  <c r="D1365" i="106" s="1"/>
  <c r="F65"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6223" i="106"/>
  <c r="D6223" i="106" s="1"/>
  <c r="B5508" i="106"/>
  <c r="D5508" i="106" s="1"/>
  <c r="B2567" i="106"/>
  <c r="D2567" i="106" s="1"/>
  <c r="B6227" i="106" l="1"/>
  <c r="D6227"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<sst xmlns="http://schemas.openxmlformats.org/spreadsheetml/2006/main" count="5386" uniqueCount="2173">
  <si>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</si>
  <si>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</si>
  <si>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</si>
  <si>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</si>
  <si>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</si>
  <si>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</si>
  <si>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</si>
  <si>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</si>
  <si>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</si>
  <si>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</si>
  <si>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</si>
  <si>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</si>
  <si>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</si>
  <si>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</si>
  <si>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</si>
  <si>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</si>
  <si>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</si>
  <si>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</si>
  <si>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</si>
  <si>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</si>
  <si>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</si>
  <si>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</si>
  <si>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</si>
  <si>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</si>
  <si>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</si>
  <si>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</si>
  <si>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</si>
  <si>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</si>
  <si>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</si>
  <si>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</si>
  <si>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</si>
  <si>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</si>
  <si>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</si>
  <si>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</si>
  <si>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</si>
  <si>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</si>
  <si>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</si>
  <si>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</si>
  <si>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</si>
  <si>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</si>
  <si>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</si>
  <si>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</si>
  <si>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</si>
  <si>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</si>
  <si>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</si>
  <si>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</si>
  <si>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</si>
  <si>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</si>
  <si>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</si>
  <si>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</si>
  <si>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</si>
  <si>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</si>
  <si>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</si>
  <si>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</si>
  <si>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</si>
  <si>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</si>
  <si>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</si>
  <si>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</si>
  <si>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</si>
  <si>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</si>
  <si>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</si>
  <si>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</si>
  <si>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</si>
  <si>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</si>
  <si>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</si>
  <si>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</si>
  <si>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</si>
  <si>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</si>
  <si>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</si>
  <si>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</si>
  <si>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</si>
  <si>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</si>
  <si>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</si>
  <si>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</si>
  <si>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</si>
  <si>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</si>
  <si>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</si>
  <si>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</si>
  <si>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</si>
  <si>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</si>
  <si>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</si>
  <si>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</si>
  <si>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</si>
  <si>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</si>
  <si>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</si>
  <si>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</si>
  <si>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</si>
  <si>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</si>
  <si>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</si>
  <si>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</si>
  <si>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</si>
  <si>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</si>
  <si>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</si>
  <si>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</si>
  <si>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</si>
  <si>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</si>
  <si>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</si>
  <si>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</si>
  <si>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</si>
  <si>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</si>
  <si>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</si>
  <si>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</si>
  <si>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</si>
  <si>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</si>
  <si>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</si>
  <si>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</si>
  <si>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</si>
  <si>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</si>
  <si>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</si>
  <si>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</si>
  <si>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</si>
  <si>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</si>
  <si>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</si>
  <si>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</si>
  <si>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</si>
  <si>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</si>
  <si>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</si>
  <si>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</si>
  <si>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</si>
  <si>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</si>
  <si>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</si>
  <si>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</si>
  <si>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</si>
  <si>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</si>
  <si>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</si>
  <si>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</si>
  <si>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</si>
  <si>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</si>
  <si>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</si>
  <si>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</si>
  <si>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</si>
  <si>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</si>
  <si>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</si>
  <si>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</si>
  <si>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</si>
  <si>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</si>
  <si>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</si>
  <si>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</si>
  <si>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</si>
  <si>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</si>
  <si>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</si>
  <si>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</si>
  <si>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</si>
  <si>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</si>
  <si>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</si>
  <si>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</si>
  <si>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</si>
  <si>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</si>
  <si>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</si>
  <si>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</si>
  <si>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</si>
  <si>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</si>
  <si>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</si>
  <si>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</si>
  <si>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</si>
  <si>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</si>
  <si>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</si>
  <si>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</si>
  <si>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</si>
  <si>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</si>
  <si>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</si>
  <si>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</si>
  <si>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</si>
  <si>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</si>
  <si>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</si>
  <si>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</si>
  <si>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</si>
  <si>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</si>
  <si>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</si>
  <si>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</si>
  <si>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</si>
  <si>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</si>
  <si>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</si>
  <si>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</si>
  <si>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</si>
  <si>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</si>
  <si>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</si>
  <si>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</si>
  <si>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</si>
  <si>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</si>
  <si>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</si>
  <si>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</si>
  <si>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</si>
  <si>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</si>
  <si>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</si>
  <si>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</si>
  <si>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</si>
  <si>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</si>
  <si>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</si>
  <si>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</si>
  <si>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</si>
  <si>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</si>
  <si>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</si>
  <si>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</si>
  <si>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</si>
  <si>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</si>
  <si>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</si>
  <si>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</si>
  <si>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</si>
  <si>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</si>
  <si>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</si>
  <si>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</si>
  <si>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</si>
  <si>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</si>
  <si>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</si>
  <si>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</si>
  <si>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</si>
  <si>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</si>
  <si>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</si>
  <si>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</si>
  <si>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</si>
  <si>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</si>
  <si>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</si>
  <si>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</si>
  <si>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</si>
  <si>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</si>
  <si>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</si>
  <si>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</si>
  <si>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</si>
  <si>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</si>
  <si>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</si>
  <si>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</si>
  <si>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</si>
  <si>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</si>
  <si>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</si>
  <si>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</si>
  <si>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</si>
  <si>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</si>
  <si>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</si>
  <si>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</si>
  <si>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</si>
  <si>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</si>
  <si>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</si>
  <si>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</si>
  <si>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</si>
  <si>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</si>
  <si>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</si>
  <si>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</si>
  <si>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</si>
  <si>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</si>
  <si>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</si>
  <si>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</si>
  <si>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</si>
  <si>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</si>
  <si>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</si>
  <si>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</si>
  <si>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</si>
  <si>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</si>
  <si>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</si>
  <si>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</si>
  <si>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</si>
  <si>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</si>
  <si>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</si>
  <si>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</si>
  <si>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</si>
  <si>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</si>
  <si>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</si>
  <si>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</si>
  <si>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</si>
  <si>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</si>
  <si>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</si>
  <si>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</si>
  <si>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</si>
  <si>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</si>
  <si>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</si>
  <si>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</si>
  <si>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</si>
  <si>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</si>
  <si>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</si>
  <si>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</si>
  <si>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</si>
  <si>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</si>
  <si>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</si>
  <si>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</si>
  <si>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</si>
  <si>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</si>
  <si>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</si>
  <si>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</si>
  <si>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</si>
  <si>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</si>
  <si>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</si>
  <si>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</si>
  <si>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</si>
  <si>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</si>
  <si>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</si>
  <si>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</si>
  <si>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</si>
  <si>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</si>
  <si>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</si>
  <si>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</si>
  <si>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</si>
  <si>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</si>
  <si>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</si>
  <si>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</si>
  <si>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</si>
  <si>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</si>
  <si>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</si>
  <si>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</si>
  <si>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</si>
  <si>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</si>
  <si>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</si>
  <si>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</si>
  <si>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</si>
  <si>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</si>
  <si>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</si>
  <si>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</si>
  <si>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</si>
  <si>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</si>
  <si>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</si>
  <si>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</si>
  <si>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</si>
  <si>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</si>
  <si>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</si>
  <si>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</si>
  <si>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</si>
  <si>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</si>
  <si>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</si>
  <si>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</si>
  <si>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</si>
  <si>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</si>
  <si>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</si>
  <si>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</si>
  <si>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</si>
  <si>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</si>
  <si>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</si>
  <si>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</si>
  <si>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</si>
  <si>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</si>
  <si>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</si>
  <si>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</si>
  <si>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</si>
  <si>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</si>
  <si>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</si>
  <si>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</si>
  <si>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</si>
  <si>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</si>
  <si>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</si>
  <si>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</si>
  <si>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</si>
  <si>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</si>
  <si>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</si>
  <si>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</si>
  <si>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</si>
  <si>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</si>
  <si>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</si>
  <si>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</si>
  <si>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</si>
  <si>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</si>
  <si>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</si>
  <si>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</si>
  <si>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</si>
  <si>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</si>
  <si>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</si>
  <si>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</si>
  <si>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</si>
  <si>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</si>
  <si>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</si>
  <si>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</si>
  <si>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</si>
  <si>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</si>
  <si>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</si>
  <si>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</si>
  <si>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</si>
  <si>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</si>
  <si>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</si>
  <si>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</si>
  <si>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</si>
  <si>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</si>
  <si>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</si>
  <si>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</si>
  <si>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</si>
  <si>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</si>
  <si>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</si>
  <si>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</si>
  <si>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</si>
  <si>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</si>
  <si>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</si>
  <si>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</si>
  <si>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</si>
  <si>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</si>
  <si>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</si>
  <si>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</si>
  <si>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</si>
  <si>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</si>
  <si>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</si>
  <si>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</si>
  <si>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</si>
  <si>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</si>
  <si>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</si>
  <si>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</si>
  <si>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</si>
  <si>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</si>
  <si>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</si>
  <si>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</si>
  <si>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</si>
  <si>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</si>
  <si>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</si>
  <si>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</si>
  <si>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</si>
  <si>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</si>
  <si>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</si>
  <si>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</si>
  <si>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</si>
  <si>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</si>
  <si>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</si>
  <si>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</si>
  <si>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</si>
  <si>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</si>
  <si>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</si>
  <si>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</si>
  <si>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</si>
  <si>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</si>
  <si>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</si>
  <si>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</si>
  <si>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</si>
  <si>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</si>
  <si>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</si>
  <si>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</si>
  <si>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</si>
  <si>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</si>
  <si>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</si>
  <si>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</si>
  <si>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</si>
  <si>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</si>
  <si>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</si>
  <si>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</si>
  <si>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</si>
  <si>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</si>
  <si>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</si>
  <si>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</si>
  <si>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</si>
  <si>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</si>
  <si>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</si>
  <si>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</si>
  <si>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</si>
  <si>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</si>
  <si>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</si>
  <si>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</si>
  <si>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</si>
  <si>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</si>
  <si>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</si>
  <si>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</si>
  <si>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</si>
  <si>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</si>
  <si>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</si>
  <si>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</si>
  <si>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</si>
  <si>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</si>
  <si>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</si>
  <si>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</si>
  <si>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</si>
  <si>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</si>
  <si>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</si>
  <si>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</si>
  <si>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</si>
  <si>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</si>
  <si>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</si>
  <si>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</si>
  <si>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</si>
  <si>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</si>
  <si>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</si>
  <si>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</si>
  <si>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</si>
  <si>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</si>
  <si>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</si>
  <si>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</si>
  <si>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</si>
  <si>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</si>
  <si>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</si>
  <si>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</si>
  <si>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</si>
  <si>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</si>
  <si>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</si>
  <si>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</si>
  <si>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</si>
  <si>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</si>
  <si>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</si>
  <si>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</si>
  <si>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</si>
  <si>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</si>
  <si>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</si>
  <si>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</si>
  <si>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</si>
  <si>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</si>
  <si>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</si>
  <si>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</si>
  <si>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</si>
  <si>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</si>
  <si>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</si>
  <si>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</si>
  <si>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</si>
  <si>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</si>
  <si>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</si>
  <si>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</si>
  <si>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</si>
  <si>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</si>
  <si>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</si>
  <si>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</si>
  <si>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</si>
  <si>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</si>
  <si>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</si>
  <si>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</si>
  <si>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</si>
  <si>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</si>
  <si>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</si>
  <si>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</si>
  <si>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</si>
  <si>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</si>
  <si>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</si>
  <si>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</si>
  <si>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</si>
  <si>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</si>
  <si>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</si>
  <si>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</si>
  <si>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</si>
  <si>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</si>
  <si>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</si>
  <si>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</si>
  <si>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</si>
  <si>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</si>
  <si>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</si>
  <si>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</si>
  <si>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</si>
  <si>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</si>
  <si>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</si>
  <si>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</si>
  <si>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</si>
  <si>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</si>
  <si>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</si>
  <si>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</si>
  <si>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</si>
  <si>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</si>
  <si>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</si>
  <si>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</si>
  <si>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</si>
  <si>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</si>
  <si>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</si>
  <si>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</si>
  <si>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</si>
  <si>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</si>
  <si>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</si>
  <si>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</si>
  <si>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</si>
  <si>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</si>
  <si>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</si>
  <si>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</si>
  <si>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</si>
  <si>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</si>
  <si>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</si>
  <si>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</si>
  <si>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</si>
  <si>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</si>
  <si>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</si>
  <si>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</si>
  <si>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</si>
  <si>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</si>
  <si>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</si>
  <si>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</si>
  <si>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</si>
  <si>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</si>
  <si>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</si>
  <si>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</si>
  <si>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</si>
  <si>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</si>
  <si>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</si>
  <si>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</si>
  <si>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</si>
  <si>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</si>
  <si>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</si>
  <si>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</si>
  <si>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</si>
  <si>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</si>
  <si>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</si>
  <si>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</si>
  <si>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</si>
  <si>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</si>
  <si>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</si>
  <si>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</si>
  <si>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</si>
  <si>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</si>
  <si>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</si>
  <si>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</si>
  <si>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</si>
  <si>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</si>
  <si>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</si>
  <si>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</si>
  <si>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</si>
  <si>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</si>
  <si>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</si>
  <si>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</si>
  <si>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</si>
  <si>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</si>
  <si>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</si>
  <si>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</si>
  <si>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</si>
  <si>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</si>
  <si>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</si>
  <si>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</si>
  <si>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</si>
  <si>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</si>
  <si>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</si>
  <si>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</si>
  <si>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</si>
  <si>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</si>
  <si>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</si>
  <si>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</si>
  <si>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</si>
  <si>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</si>
  <si>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</si>
  <si>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</si>
  <si>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</si>
  <si>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</si>
  <si>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</si>
  <si>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</si>
  <si>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</si>
  <si>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</si>
  <si>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</si>
  <si>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</si>
  <si>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</si>
  <si>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</si>
  <si>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</si>
  <si>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</si>
  <si>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</si>
  <si>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</si>
  <si>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</si>
  <si>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</si>
  <si>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</si>
  <si>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</si>
  <si>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</si>
  <si>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</si>
  <si>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</si>
  <si>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</si>
  <si>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</si>
  <si>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</si>
  <si>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</si>
  <si>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</si>
  <si>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</si>
  <si>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</si>
  <si>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</si>
  <si>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</si>
  <si>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</si>
  <si>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</si>
  <si>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</si>
  <si>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</si>
  <si>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</si>
  <si>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</si>
  <si>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</si>
  <si>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</si>
  <si>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</si>
  <si>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</si>
  <si>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</si>
  <si>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</si>
  <si>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</si>
  <si>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</si>
  <si>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</si>
  <si>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</si>
  <si>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</si>
  <si>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</si>
  <si>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</si>
  <si>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</si>
  <si>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</si>
  <si>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</si>
  <si>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</si>
  <si>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</si>
  <si>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</si>
  <si>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</si>
  <si>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</si>
  <si>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</si>
  <si>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</si>
  <si>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</si>
  <si>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</si>
  <si>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</si>
  <si>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</si>
  <si>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</si>
  <si>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</si>
  <si>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</si>
  <si>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</si>
  <si>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</si>
  <si>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</si>
  <si>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</si>
  <si>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</si>
  <si>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</si>
  <si>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</si>
  <si>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</si>
  <si>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</si>
  <si>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</si>
  <si>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</si>
  <si>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</si>
  <si>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</si>
  <si>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</si>
  <si>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</si>
  <si>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</si>
  <si>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</si>
  <si>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</si>
  <si>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</si>
  <si>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</si>
  <si>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</si>
  <si>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</si>
  <si>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</si>
  <si>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</si>
  <si>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</si>
  <si>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</si>
  <si>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</si>
  <si>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</si>
  <si>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</si>
  <si>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</si>
  <si>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</si>
  <si>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</si>
  <si>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</si>
  <si>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</si>
  <si>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</si>
  <si>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</si>
  <si>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</si>
  <si>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</si>
  <si>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</si>
  <si>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</si>
  <si>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</si>
  <si>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</si>
  <si>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</si>
  <si>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</si>
  <si>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</si>
  <si>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</si>
  <si>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</si>
  <si>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</si>
  <si>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</si>
  <si>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</si>
  <si>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</si>
  <si>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</si>
  <si>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</si>
  <si>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</si>
  <si>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</si>
  <si>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</si>
  <si>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</si>
  <si>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</si>
  <si>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</si>
  <si>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</si>
  <si>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</si>
  <si>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</si>
  <si>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</si>
  <si>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</si>
  <si>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</si>
  <si>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</si>
  <si>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</si>
  <si>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</si>
  <si>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</si>
  <si>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</si>
  <si>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</si>
  <si>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</si>
  <si>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</si>
  <si>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</si>
  <si>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</si>
  <si>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</si>
  <si>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</si>
  <si>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</si>
  <si>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</si>
  <si>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</si>
  <si>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</si>
  <si>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</si>
  <si>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</si>
  <si>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</si>
  <si>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</si>
  <si>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</si>
  <si>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</si>
  <si>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</si>
  <si>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</si>
  <si>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</si>
  <si>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</si>
  <si>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</si>
  <si>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</si>
  <si>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</si>
  <si>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</si>
  <si>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</si>
  <si>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</si>
  <si>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</si>
  <si>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</si>
  <si>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</si>
  <si>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</si>
  <si>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</si>
  <si>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</si>
  <si>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</si>
  <si>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</si>
  <si>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</si>
  <si>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</si>
  <si>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</si>
  <si>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</si>
  <si>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</si>
  <si>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</si>
  <si>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</si>
  <si>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</si>
  <si>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</si>
  <si>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</si>
  <si>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</si>
  <si>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</si>
  <si>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</si>
  <si>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</si>
  <si>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</si>
  <si>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</si>
  <si>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</si>
  <si>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</si>
  <si>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</si>
  <si>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</si>
  <si>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</si>
  <si>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</si>
  <si>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</si>
  <si>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</si>
  <si>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</si>
  <si>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</si>
  <si>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</si>
  <si>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</si>
  <si>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</si>
  <si>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</si>
  <si>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</si>
  <si>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</si>
  <si>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</si>
  <si>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</si>
  <si>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</si>
  <si>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</si>
  <si>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</si>
  <si>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</si>
  <si>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</si>
  <si>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</si>
  <si>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</si>
  <si>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</si>
  <si>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</si>
  <si>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</si>
  <si>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</si>
  <si>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</si>
  <si>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</si>
  <si>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</si>
  <si>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</si>
  <si>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</si>
  <si>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</si>
  <si>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</si>
  <si>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</si>
  <si>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</si>
  <si>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</si>
  <si>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</si>
  <si>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</si>
  <si>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</si>
  <si>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</si>
  <si>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</si>
  <si>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</si>
  <si>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</si>
  <si>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</si>
  <si>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</si>
  <si>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</si>
  <si>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</si>
  <si>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</si>
  <si>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</si>
  <si>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</si>
  <si>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</si>
  <si>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</si>
  <si>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</si>
  <si>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</si>
  <si>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</si>
  <si>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</si>
  <si>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</si>
  <si>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</si>
  <si>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</si>
  <si>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</si>
  <si>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</si>
  <si>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</si>
  <si>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</si>
  <si>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</si>
  <si>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</si>
  <si>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</si>
  <si>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</si>
  <si>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</si>
  <si>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</si>
  <si>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</si>
  <si>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</si>
  <si>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</si>
  <si>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</si>
  <si>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</si>
  <si>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</si>
  <si>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</si>
  <si>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</si>
  <si>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</si>
  <si>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</si>
  <si>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</si>
  <si>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</si>
  <si>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</si>
  <si>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</si>
  <si>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</si>
  <si>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</si>
  <si>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</si>
  <si>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</si>
  <si>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</si>
  <si>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</si>
  <si>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</si>
  <si>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</si>
  <si>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</si>
  <si>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</si>
  <si>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</si>
  <si>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</si>
  <si>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</si>
  <si>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</si>
  <si>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</si>
  <si>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</si>
  <si>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</si>
  <si>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</si>
  <si>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</si>
  <si>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</si>
  <si>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</si>
  <si>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</si>
  <si>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</si>
  <si>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</si>
  <si>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</si>
  <si>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</si>
  <si>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</si>
  <si>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</si>
  <si>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</si>
  <si>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</si>
  <si>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</si>
  <si>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</si>
  <si>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</si>
  <si>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</si>
  <si>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</si>
  <si>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</si>
  <si>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</si>
  <si>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</si>
  <si>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</si>
  <si>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</si>
  <si>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</si>
  <si>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</si>
  <si>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</si>
  <si>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</si>
  <si>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</si>
  <si>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</si>
  <si>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</si>
  <si>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</si>
  <si>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</si>
  <si>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</si>
  <si>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</si>
  <si>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</si>
  <si>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</si>
  <si>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</si>
  <si>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</si>
  <si>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</si>
  <si>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</si>
  <si>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</si>
  <si>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</si>
  <si>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</si>
  <si>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</si>
  <si>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</si>
  <si>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</si>
  <si>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</si>
  <si>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</si>
  <si>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</si>
  <si>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</si>
  <si>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</si>
  <si>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</si>
  <si>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</si>
  <si>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</si>
  <si>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</si>
  <si>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</si>
  <si>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</si>
  <si>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</si>
  <si>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</si>
  <si>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</si>
  <si>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</si>
  <si>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</si>
  <si>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</si>
  <si>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</si>
  <si>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</si>
  <si>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</si>
  <si>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</si>
  <si>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</si>
  <si>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</si>
  <si>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</si>
  <si>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</si>
  <si>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</si>
  <si>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</si>
  <si>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</si>
  <si>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</si>
  <si>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</si>
  <si>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</si>
  <si>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</si>
  <si>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</si>
  <si>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</si>
  <si>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</si>
  <si>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</si>
  <si>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</si>
  <si>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</si>
  <si>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</si>
  <si>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</si>
  <si>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</si>
  <si>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</si>
  <si>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</si>
  <si>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</si>
  <si>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</si>
  <si>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</si>
  <si>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</si>
  <si>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</si>
  <si>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</si>
  <si>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</si>
  <si>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</si>
  <si>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</si>
  <si>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</si>
  <si>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</si>
  <si>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</si>
  <si>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</si>
  <si>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</si>
  <si>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</si>
  <si>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</si>
  <si>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</si>
  <si>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</si>
  <si>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</si>
  <si>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</si>
  <si>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</si>
  <si>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</si>
  <si>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</si>
  <si>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</si>
  <si>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</si>
  <si>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</si>
  <si>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</si>
  <si>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</si>
  <si>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</si>
  <si>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</si>
  <si>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</si>
  <si>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</si>
  <si>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</si>
  <si>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</si>
  <si>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</si>
  <si>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</si>
  <si>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</si>
  <si>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</si>
  <si>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</si>
  <si>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</si>
  <si>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</si>
  <si>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</si>
  <si>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</si>
  <si>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</si>
  <si>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</si>
  <si>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</si>
  <si>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</si>
  <si>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</si>
  <si>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</si>
  <si>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</si>
  <si>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</si>
  <si>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</si>
  <si>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</si>
  <si>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</si>
  <si>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</si>
  <si>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</si>
  <si>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</si>
  <si>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</si>
  <si>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</si>
  <si>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</si>
  <si>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</si>
  <si>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</si>
  <si>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</si>
  <si>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</si>
  <si>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</si>
  <si>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</si>
  <si>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</si>
  <si>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</si>
  <si>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</si>
  <si>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</si>
  <si>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</si>
  <si>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</si>
  <si>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</si>
  <si>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</si>
  <si>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</si>
  <si>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</si>
  <si>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</si>
  <si>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</si>
  <si>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</si>
  <si>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</si>
  <si>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</si>
  <si>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</si>
  <si>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</si>
  <si>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</si>
  <si>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</si>
  <si>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</si>
  <si>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</si>
  <si>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</si>
  <si>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</si>
  <si>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</si>
  <si>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</si>
  <si>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</si>
  <si>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</si>
  <si>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</si>
  <si>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</si>
  <si>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</si>
  <si>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</si>
  <si>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</si>
  <si>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</si>
  <si>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</si>
  <si>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</si>
  <si>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</si>
  <si>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</si>
  <si>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</si>
  <si>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</si>
  <si>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</si>
  <si>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</si>
  <si>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</si>
  <si>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</si>
  <si>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</si>
  <si>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</si>
  <si>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</si>
  <si>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</si>
  <si>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</si>
  <si>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</si>
  <si>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</si>
  <si>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</si>
  <si>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</si>
  <si>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</si>
  <si>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</si>
  <si>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</si>
  <si>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</si>
  <si>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</si>
  <si>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</si>
  <si>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</si>
  <si>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</si>
  <si>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</si>
  <si>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</si>
  <si>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</si>
  <si>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</si>
  <si>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</si>
  <si>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</si>
  <si>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</si>
  <si>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</si>
  <si>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</si>
  <si>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</si>
  <si>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</si>
  <si>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</si>
  <si>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</si>
  <si>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</si>
  <si>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</si>
  <si>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</si>
  <si>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</si>
  <si>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</si>
  <si>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</si>
  <si>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</si>
  <si>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</si>
  <si>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</si>
  <si>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</si>
  <si>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</si>
  <si>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</si>
  <si>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</si>
  <si>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</si>
  <si>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</si>
  <si>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</si>
  <si>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</si>
  <si>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</si>
  <si>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</si>
  <si>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</si>
  <si>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</si>
  <si>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</si>
  <si>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</si>
  <si>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</si>
  <si>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</si>
  <si>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</si>
  <si>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</si>
  <si>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</si>
  <si>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</si>
  <si>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</si>
  <si>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</si>
  <si>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</si>
  <si>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</si>
  <si>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</si>
  <si>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</si>
  <si>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</si>
  <si>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</si>
  <si>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</si>
  <si>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</si>
  <si>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</si>
  <si>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</si>
  <si>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</si>
  <si>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</si>
  <si>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</si>
  <si>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</si>
  <si>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</si>
  <si>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</si>
  <si>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</si>
  <si>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</si>
  <si>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</si>
  <si>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</si>
  <si>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</si>
  <si>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</si>
  <si>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</si>
  <si>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</si>
  <si>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</si>
  <si>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</si>
  <si>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</si>
  <si>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</si>
  <si>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</si>
  <si>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</si>
  <si>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</si>
  <si>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</si>
  <si>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</si>
  <si>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</si>
  <si>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</si>
  <si>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</si>
  <si>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</si>
  <si>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</si>
  <si>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</si>
  <si>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</si>
  <si>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</si>
  <si>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</si>
  <si>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</si>
  <si>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</si>
  <si>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</si>
  <si>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</si>
  <si>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</si>
  <si>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</si>
  <si>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</si>
  <si>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</si>
  <si>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</si>
  <si>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</si>
  <si>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</si>
  <si>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</si>
  <si>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</si>
  <si>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</si>
  <si>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</si>
  <si>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</si>
  <si>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</si>
  <si>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</si>
  <si>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</si>
  <si>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</si>
  <si>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</si>
  <si>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</si>
  <si>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</si>
  <si>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</si>
  <si>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</si>
  <si>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</si>
  <si>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</si>
  <si>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</si>
  <si>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</si>
  <si>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</si>
  <si>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</si>
  <si>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</si>
  <si>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</si>
  <si>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</si>
  <si>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</si>
  <si>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</si>
  <si>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</si>
  <si>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</si>
  <si>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</si>
  <si>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</si>
  <si>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</si>
  <si>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</si>
  <si>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</si>
  <si>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</si>
  <si>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</si>
  <si>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</si>
  <si>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</si>
  <si>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</si>
  <si>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</si>
  <si>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</si>
  <si>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</si>
  <si>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</si>
  <si>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</si>
  <si>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</si>
  <si>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</si>
  <si>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</si>
  <si>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</si>
  <si>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</si>
  <si>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</si>
  <si>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</si>
  <si>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</si>
  <si>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</si>
  <si>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</si>
  <si>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</si>
  <si>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</si>
  <si>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</si>
  <si>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</si>
  <si>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</si>
  <si>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</si>
  <si>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</si>
  <si>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</si>
  <si>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</si>
  <si>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</si>
  <si>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</si>
  <si>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</si>
  <si>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</si>
  <si>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</si>
  <si>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</si>
  <si>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</si>
  <si>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</si>
  <si>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</si>
  <si>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</si>
  <si>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</si>
  <si>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</si>
  <si>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</si>
  <si>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</si>
  <si>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</si>
  <si>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</si>
  <si>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</si>
  <si>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</si>
  <si>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</si>
  <si>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</si>
  <si>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</si>
  <si>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</si>
  <si>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</si>
  <si>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</si>
  <si>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</si>
  <si>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</si>
  <si>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</si>
  <si>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</si>
  <si>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</si>
  <si>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</si>
  <si>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</si>
  <si>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</si>
  <si>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</si>
  <si>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</si>
  <si>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</si>
  <si>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</si>
  <si>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</si>
  <si>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</si>
  <si>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</si>
  <si>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</si>
  <si>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</si>
  <si>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</si>
  <si>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</si>
  <si>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</si>
  <si>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</si>
  <si>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</si>
  <si>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</si>
  <si>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</si>
  <si>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</si>
  <si>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</si>
  <si>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</si>
  <si>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</si>
  <si>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</si>
  <si>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</si>
  <si>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</si>
  <si>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</si>
  <si>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</si>
  <si>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</si>
  <si>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</si>
  <si>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</si>
  <si>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</si>
  <si>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</si>
  <si>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</si>
  <si>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</si>
  <si>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</si>
  <si>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</si>
  <si>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</si>
  <si>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</si>
  <si>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</si>
  <si>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</si>
  <si>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</si>
  <si>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</si>
  <si>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</si>
  <si>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</si>
  <si>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</si>
  <si>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</si>
  <si>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</si>
  <si>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</si>
  <si>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</si>
  <si>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</si>
  <si>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</si>
  <si>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</si>
  <si>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</si>
  <si>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</si>
  <si>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</si>
  <si>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</si>
  <si>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</si>
  <si>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</si>
  <si>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</si>
  <si>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</si>
  <si>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</si>
  <si>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</si>
  <si>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</si>
  <si>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</si>
  <si>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</si>
  <si>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</si>
  <si>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</si>
  <si>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</si>
  <si>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</si>
  <si>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</si>
  <si>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</si>
  <si>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</si>
  <si>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</si>
  <si>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</si>
  <si>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</si>
  <si>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</si>
  <si>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</si>
  <si>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</si>
  <si>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</si>
  <si>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</si>
  <si>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</si>
  <si>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</si>
  <si>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</si>
  <si>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</si>
  <si>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</si>
  <si>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</si>
  <si>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</si>
  <si>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</si>
  <si>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</si>
  <si>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</si>
  <si>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</si>
  <si>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</si>
  <si>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</si>
  <si>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</si>
  <si>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</si>
  <si>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</si>
  <si>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</si>
  <si>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</si>
  <si>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</si>
  <si>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</si>
  <si>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</si>
  <si>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</si>
  <si>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</si>
  <si>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</si>
  <si>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</si>
  <si>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</si>
  <si>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</si>
  <si>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</si>
  <si>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</si>
  <si>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</si>
  <si>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</si>
  <si>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</si>
  <si>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</si>
  <si>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</si>
  <si>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</si>
  <si>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</si>
  <si>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</si>
  <si>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</si>
  <si>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</si>
  <si>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</si>
  <si>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</si>
  <si>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</si>
  <si>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</si>
  <si>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</si>
  <si>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</si>
  <si>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</si>
  <si>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</si>
  <si>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</si>
  <si>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</si>
  <si>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</si>
  <si>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</si>
  <si>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</si>
  <si>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</si>
  <si>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</si>
  <si>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</si>
  <si>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</si>
  <si>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</si>
  <si>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</si>
  <si>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</si>
  <si>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</si>
  <si>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</si>
  <si>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</si>
  <si>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</si>
  <si>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</si>
  <si>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</si>
  <si>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</si>
  <si>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</si>
  <si>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</si>
  <si>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</si>
  <si>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</si>
  <si>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</si>
  <si>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</si>
  <si>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</si>
  <si>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</si>
  <si>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</si>
  <si>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</si>
  <si>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</si>
  <si>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</si>
  <si>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</si>
  <si>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</si>
  <si>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</si>
  <si>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</si>
  <si>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</si>
  <si>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</si>
  <si>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</si>
  <si>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</si>
  <si>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</si>
  <si>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</si>
  <si>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</si>
  <si>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</si>
  <si>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</si>
  <si>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</si>
  <si>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</si>
  <si>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</si>
  <si>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</si>
  <si>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</si>
  <si>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</si>
  <si>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</si>
  <si>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</si>
  <si>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</si>
  <si>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</si>
  <si>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</si>
  <si>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</si>
  <si>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</si>
  <si>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</si>
  <si>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</si>
  <si>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</si>
  <si>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</si>
  <si>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</si>
  <si>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</si>
  <si>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</si>
  <si>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</si>
  <si>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</si>
  <si>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</si>
  <si>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</si>
  <si>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</si>
  <si>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</si>
  <si>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</si>
  <si>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</si>
  <si>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</si>
  <si>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</si>
  <si>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</si>
  <si>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</si>
  <si>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</si>
  <si>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</si>
  <si>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</si>
  <si>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</si>
  <si>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</si>
  <si>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</si>
  <si>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</si>
  <si>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</si>
  <si>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</si>
  <si>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</si>
  <si>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</si>
  <si>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</si>
  <si>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</si>
  <si>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</si>
  <si>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</si>
  <si>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</si>
  <si>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</si>
  <si>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</si>
  <si>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</si>
  <si>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</si>
  <si>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</si>
  <si>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</si>
  <si>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</si>
  <si>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</si>
  <si>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</si>
  <si>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</si>
  <si>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</si>
  <si>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</si>
  <si>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</si>
  <si>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</si>
  <si>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</si>
  <si>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</si>
  <si>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</si>
  <si>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</si>
  <si>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</si>
  <si>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</si>
  <si>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</si>
  <si>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</si>
  <si>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</si>
  <si>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</si>
  <si>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</si>
  <si>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</si>
  <si>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</si>
  <si>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</si>
  <si>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</si>
  <si>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</si>
  <si>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</si>
  <si>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</si>
  <si>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</si>
  <si>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</si>
  <si>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</si>
  <si>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</si>
  <si>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</si>
  <si>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</si>
  <si>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</si>
  <si>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</si>
  <si>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</si>
  <si>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</si>
  <si>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</si>
  <si>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</si>
  <si>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</si>
  <si>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</si>
  <si>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</si>
  <si>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</si>
  <si>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</si>
  <si>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</si>
  <si>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</si>
  <si>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</si>
  <si>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</si>
  <si>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</si>
  <si>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</si>
  <si>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</si>
  <si>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</si>
  <si>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</si>
  <si>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</si>
  <si>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</si>
  <si>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</si>
  <si>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</si>
  <si>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</si>
  <si>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</si>
  <si>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</si>
  <si>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</si>
  <si>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</si>
  <si>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</si>
  <si>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</si>
  <si>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</si>
  <si>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</si>
  <si>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</si>
  <si>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</si>
  <si>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</si>
  <si>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</si>
  <si>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</si>
  <si>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</si>
  <si>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</si>
  <si>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</si>
  <si>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</si>
  <si>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</si>
  <si>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</si>
  <si>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</si>
  <si>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</si>
  <si>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</si>
  <si>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</si>
  <si>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</si>
  <si>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</si>
  <si>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</si>
  <si>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</si>
  <si>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</si>
  <si>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</si>
  <si>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</si>
  <si>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</si>
  <si>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</si>
  <si>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</si>
  <si>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</si>
  <si>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</si>
  <si>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</si>
  <si>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</si>
  <si>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</si>
  <si>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</si>
  <si>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</si>
  <si>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</si>
  <si>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</si>
  <si>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</si>
  <si>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</si>
  <si>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</si>
  <si>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</si>
  <si>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</si>
  <si>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</si>
  <si>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</si>
  <si>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</si>
  <si>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</si>
  <si>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</si>
  <si>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</si>
  <si>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</si>
  <si>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</si>
  <si>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</si>
  <si>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</si>
  <si>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</si>
  <si>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</si>
  <si>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</si>
  <si>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</si>
  <si>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</si>
  <si>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</si>
  <si>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</si>
  <si>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</si>
  <si>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</si>
  <si>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</si>
  <si>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</si>
  <si>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</si>
  <si>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</si>
  <si>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</si>
  <si>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</si>
  <si>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</si>
  <si>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</si>
  <si>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</si>
  <si>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</si>
  <si>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</si>
  <si>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</si>
  <si>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</si>
  <si>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</si>
  <si>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</si>
  <si>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</si>
  <si>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</si>
  <si>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</si>
  <si>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</si>
  <si>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</si>
  <si>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</si>
  <si>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</si>
  <si>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</si>
  <si>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</si>
  <si>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</si>
  <si>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</si>
  <si>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</si>
  <si>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</si>
  <si>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</si>
  <si>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</si>
  <si>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</si>
  <si>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</si>
  <si>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</si>
  <si>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</si>
  <si>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</si>
  <si>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</si>
  <si>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</si>
  <si>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</si>
  <si>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</si>
  <si>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</si>
  <si>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</si>
  <si>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</si>
  <si>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</si>
  <si>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</si>
  <si>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</si>
  <si>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</si>
  <si>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</si>
  <si>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</si>
  <si>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</si>
  <si>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</si>
  <si>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</si>
  <si>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</si>
  <si>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</si>
  <si>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</si>
  <si>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</si>
  <si>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</si>
  <si>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</si>
  <si>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</si>
  <si>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</si>
  <si>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</si>
  <si>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</si>
  <si>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</si>
  <si>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</si>
  <si>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</si>
  <si>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</si>
  <si>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</si>
  <si>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</si>
  <si>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</si>
  <si>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</si>
  <si>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</si>
  <si>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</si>
  <si>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</si>
  <si>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</si>
  <si>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</si>
  <si>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</si>
  <si>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</si>
  <si>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</si>
  <si>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</si>
  <si>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</si>
  <si>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</si>
  <si>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</si>
  <si>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</si>
  <si>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</si>
  <si>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</si>
  <si>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</si>
  <si>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</si>
  <si>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</si>
  <si>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</si>
  <si>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</si>
  <si>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</si>
  <si>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</si>
  <si>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</si>
  <si>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</si>
  <si>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</si>
  <si>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</si>
  <si>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</si>
  <si>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</si>
  <si>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</si>
  <si>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</si>
  <si>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</si>
  <si>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</si>
  <si>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</si>
  <si>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</si>
  <si>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</si>
  <si>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</si>
  <si>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</si>
  <si>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</si>
  <si>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</si>
  <si>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</si>
  <si>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</si>
  <si>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</si>
  <si>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</si>
  <si>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</si>
  <si>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</si>
  <si>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</si>
  <si>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</si>
  <si>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</si>
  <si>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</si>
  <si>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</si>
  <si>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</si>
  <si>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</si>
  <si>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</si>
  <si>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</si>
  <si>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</si>
  <si>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</si>
  <si>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</si>
  <si>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</si>
  <si>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</si>
  <si>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</si>
  <si>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</si>
  <si>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</si>
  <si>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</si>
  <si>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</si>
  <si>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</si>
  <si>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</si>
  <si>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</si>
  <si>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</si>
  <si>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</si>
  <si>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</si>
  <si>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</si>
  <si>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</si>
  <si>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</si>
  <si>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</si>
  <si>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</si>
  <si>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</si>
  <si>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</si>
  <si>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</si>
  <si>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</si>
  <si>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</si>
  <si>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</si>
  <si>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</si>
  <si>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</si>
  <si>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</si>
  <si>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</si>
  <si>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</si>
  <si>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</si>
  <si>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</si>
  <si>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</si>
  <si>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</si>
  <si>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</si>
  <si>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</si>
  <si>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</si>
  <si>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</si>
  <si>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</si>
  <si>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</si>
  <si>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</si>
  <si>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</si>
  <si>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</si>
  <si>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</si>
  <si>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</si>
  <si>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</si>
  <si>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</si>
  <si>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</si>
  <si>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</si>
  <si>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</si>
  <si>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</si>
  <si>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</si>
  <si>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</si>
  <si>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</si>
  <si>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</si>
  <si>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</si>
  <si>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</si>
  <si>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</si>
  <si>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</si>
  <si>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</si>
  <si>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</si>
  <si>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</si>
  <si>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</si>
  <si>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</si>
  <si>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</si>
  <si>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</si>
  <si>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</si>
  <si>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</si>
  <si>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</si>
  <si>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</si>
  <si>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</si>
  <si>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</si>
  <si>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</si>
  <si>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</si>
  <si>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</si>
  <si>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</si>
  <si>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</si>
  <si>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</si>
  <si>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</si>
  <si>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</si>
  <si>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</si>
  <si>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</si>
  <si>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</si>
  <si>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</si>
  <si>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</si>
  <si>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</si>
  <si>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</si>
  <si>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</si>
  <si>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</si>
  <si>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</si>
  <si>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</si>
  <si>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</si>
  <si>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</si>
  <si>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</si>
  <si>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</si>
  <si>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</si>
  <si>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</si>
  <si>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</si>
  <si>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</si>
  <si>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</si>
  <si>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</si>
  <si>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</si>
  <si>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</si>
  <si>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</si>
  <si>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</si>
  <si>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</si>
  <si>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</si>
  <si>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</si>
  <si>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</si>
  <si>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</si>
  <si>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</si>
  <si>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</si>
  <si>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</si>
  <si>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</si>
  <si>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</si>
  <si>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</si>
  <si>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</si>
  <si>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</si>
  <si>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</si>
  <si>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</si>
  <si>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</si>
  <si>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</si>
  <si>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</si>
  <si>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</si>
  <si>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</si>
  <si>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</si>
  <si>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</si>
  <si>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</si>
  <si>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</si>
  <si>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</si>
  <si>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</si>
  <si>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</si>
  <si>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</si>
  <si>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</si>
  <si>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</si>
  <si>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</si>
  <si>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</si>
  <si>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</si>
  <si>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</si>
  <si>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</si>
  <si>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</si>
  <si>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</si>
  <si>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</si>
  <si>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</si>
  <si>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</si>
  <si>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</si>
  <si>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</si>
  <si>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</si>
  <si>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</si>
  <si>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</si>
  <si>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</si>
  <si>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</si>
  <si>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</si>
  <si>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</si>
  <si>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</si>
  <si>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</si>
  <si>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</si>
  <si>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</si>
  <si>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</si>
  <si>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</si>
  <si>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</si>
  <si>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</si>
  <si>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</si>
  <si>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</si>
  <si>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</si>
  <si>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</si>
  <si>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</si>
  <si>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</si>
  <si>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</si>
  <si>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</si>
  <si>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</si>
  <si>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</si>
  <si>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</si>
  <si>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</si>
  <si>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</si>
  <si>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</si>
  <si>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</si>
  <si>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</si>
  <si>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</si>
  <si>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</si>
  <si>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</si>
  <si>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</si>
  <si>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</si>
  <si>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</si>
  <si>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</si>
  <si>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</si>
  <si>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</si>
  <si>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</si>
  <si>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</si>
  <si>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</si>
  <si>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</si>
  <si>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</si>
  <si>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</si>
  <si>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</si>
  <si>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</si>
  <si>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</si>
  <si>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</si>
  <si>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</si>
  <si>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</si>
  <si>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</si>
  <si>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</si>
  <si>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</si>
  <si>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</si>
  <si>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</si>
  <si>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</si>
  <si>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</si>
  <si>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</si>
  <si>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</si>
  <si>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</si>
  <si>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</si>
  <si>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</si>
  <si>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</si>
  <si>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</si>
  <si>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</si>
  <si>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</si>
  <si>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</si>
  <si>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</si>
  <si>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</si>
  <si>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</si>
  <si>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</si>
  <si>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</si>
  <si>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</si>
  <si>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</si>
  <si>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</si>
  <si>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</si>
  <si>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</si>
  <si>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</si>
  <si>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</si>
  <si>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</si>
  <si>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</si>
  <si>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</si>
  <si>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</si>
  <si>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</si>
  <si>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</si>
  <si>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</si>
  <si>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</si>
  <si>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</si>
  <si>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</si>
  <si>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</si>
  <si>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</si>
  <si>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</si>
  <si>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</si>
  <si>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</si>
  <si>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</si>
  <si>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</si>
  <si>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</si>
  <si>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</si>
  <si>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</si>
  <si>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</si>
  <si>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</si>
  <si>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</si>
  <si>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</si>
  <si>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</si>
  <si>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</si>
  <si>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</si>
  <si>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</si>
  <si>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</si>
  <si>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</si>
  <si>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</si>
  <si>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</si>
  <si>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</si>
  <si>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</si>
  <si>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</si>
  <si>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</si>
  <si>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</si>
  <si>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</si>
  <si>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</si>
  <si>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</si>
  <si>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</si>
  <si>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</si>
  <si>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</si>
  <si>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</si>
  <si>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</si>
  <si>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</si>
  <si>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</si>
  <si>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</si>
  <si>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</si>
  <si>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</si>
  <si>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</si>
  <si>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</si>
  <si>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</si>
  <si>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</si>
  <si>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</si>
  <si>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</si>
  <si>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</si>
  <si>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Alexander</t>
  </si>
  <si>
    <t>20023 Diswood Road</t>
  </si>
  <si>
    <t>Tamms</t>
  </si>
  <si>
    <t>X</t>
  </si>
  <si>
    <t>Beussink, Hey, Roe &amp; Stroder, LLC</t>
  </si>
  <si>
    <t>Jeffrey C. Stroder, CPA</t>
  </si>
  <si>
    <t>16 S. Silver Springs Road</t>
  </si>
  <si>
    <t>Cape Girardeau</t>
  </si>
  <si>
    <t>MO</t>
  </si>
  <si>
    <t>573-334-7971</t>
  </si>
  <si>
    <t>573-334-8875</t>
  </si>
  <si>
    <t>066-003889</t>
  </si>
  <si>
    <t>jstroder@bhrcpas.com</t>
  </si>
  <si>
    <t>The financial statements are presented in a format that complies with regulatory provisions prescribed by the Illinois State Board of Education, whose practices differ from accounting principles generally accepted in the United States of America.</t>
  </si>
  <si>
    <t>General Obligation (Limited Tax) Debt Certificates</t>
  </si>
  <si>
    <t>General Obligation (Limited Tax)</t>
  </si>
  <si>
    <t>shared service - JAMP Special Education Services</t>
  </si>
  <si>
    <t>shared service - Five County Regional Vocational System</t>
  </si>
  <si>
    <t>Transportation - Pupil Transportation - Purchased Services</t>
  </si>
  <si>
    <t>40-2550-300</t>
  </si>
  <si>
    <t>First Student, Inc.</t>
  </si>
  <si>
    <t>Account Number</t>
  </si>
  <si>
    <t>Object Code</t>
  </si>
  <si>
    <t>Prepaid Services</t>
  </si>
  <si>
    <t>Prepaid Payroll Tax</t>
  </si>
  <si>
    <t>Local Fees</t>
  </si>
  <si>
    <t>Miscellaneous Receipts</t>
  </si>
  <si>
    <t>Miscellaenous Receipts</t>
  </si>
  <si>
    <t>CLOC Commodities Credit</t>
  </si>
  <si>
    <t>Gear Up Grant</t>
  </si>
  <si>
    <t>Resource Officer Salary</t>
  </si>
  <si>
    <t>Resource Officer Benefits</t>
  </si>
  <si>
    <t>21st Century Grant Coordinator</t>
  </si>
  <si>
    <t>21st Century Coordinator Benefits</t>
  </si>
  <si>
    <t>Gear Up Grant Supplies</t>
  </si>
  <si>
    <t>Gear Up Grant Equipment</t>
  </si>
  <si>
    <t>21st Century Grant Payments to University</t>
  </si>
  <si>
    <t>TAMES/Claim Processing Fees</t>
  </si>
  <si>
    <t>U.S. DEPARTMENT OF AGRICULTURE</t>
  </si>
  <si>
    <t xml:space="preserve">  Commodity Letter of Credit (CLOC) Program</t>
  </si>
  <si>
    <t xml:space="preserve">      Total for CLOC Program</t>
  </si>
  <si>
    <t>N/A</t>
  </si>
  <si>
    <t xml:space="preserve">  School Breakfast Program</t>
  </si>
  <si>
    <t xml:space="preserve">      Total for CFDA #10.553</t>
  </si>
  <si>
    <t xml:space="preserve">  National School Lunch Program</t>
  </si>
  <si>
    <t xml:space="preserve">      Total for CFDA #10.555</t>
  </si>
  <si>
    <t>Total Child Nutrition Cluster (CFDA #10.553 and 10.555)</t>
  </si>
  <si>
    <t>18-4250</t>
  </si>
  <si>
    <t>19-4250</t>
  </si>
  <si>
    <t>18-4220</t>
  </si>
  <si>
    <t>19-4220</t>
  </si>
  <si>
    <t>18-4210</t>
  </si>
  <si>
    <t>19-4210</t>
  </si>
  <si>
    <t>TOTAL U.S. DEPARTMENT OF AGRICULTURE</t>
  </si>
  <si>
    <t>U.S. DEPARTMENT OF EDUCATION</t>
  </si>
  <si>
    <t xml:space="preserve">  Title I: Grants to Local Education Agencies (M)</t>
  </si>
  <si>
    <t xml:space="preserve">      Total for CFDA #84.010</t>
  </si>
  <si>
    <t>18-4300</t>
  </si>
  <si>
    <t>19-4300</t>
  </si>
  <si>
    <t>19-4331</t>
  </si>
  <si>
    <t xml:space="preserve">  Title I: School Improvement and Accountability</t>
  </si>
  <si>
    <t>Passed Through Illinois State Board of Education</t>
  </si>
  <si>
    <t xml:space="preserve">  Special Education - IDEA</t>
  </si>
  <si>
    <t>18-4625</t>
  </si>
  <si>
    <t>Passed Through Illinois State Board of Education - Passed Through JAMP Special Education Svcs</t>
  </si>
  <si>
    <t>18-2200</t>
  </si>
  <si>
    <t xml:space="preserve">      Total for CFDA #84.287</t>
  </si>
  <si>
    <t xml:space="preserve">  Twenty First Century Community Learning Centers</t>
  </si>
  <si>
    <t>18-4421</t>
  </si>
  <si>
    <t>19-4421</t>
  </si>
  <si>
    <t>Passed Through Illinois State board of Education</t>
  </si>
  <si>
    <t xml:space="preserve">  Rural Education</t>
  </si>
  <si>
    <t xml:space="preserve">      Total for CFDA #84.358</t>
  </si>
  <si>
    <t>18-4107</t>
  </si>
  <si>
    <t>19-4107</t>
  </si>
  <si>
    <t>Passed Through Illinois State board of Education - Passed Through Illinois Student Assistance Commission</t>
  </si>
  <si>
    <t xml:space="preserve">  Gaining Early Awareness and Readiness for   Undergraduate Programs</t>
  </si>
  <si>
    <t xml:space="preserve">      Total for CFDA #84.334</t>
  </si>
  <si>
    <t xml:space="preserve">  Title II - Teacher Quality</t>
  </si>
  <si>
    <t xml:space="preserve">      Total for CFDA #84.367</t>
  </si>
  <si>
    <t>18-4932</t>
  </si>
  <si>
    <t>19-4932</t>
  </si>
  <si>
    <t xml:space="preserve">  Title IV A - Student Support &amp; Academic Enrichment</t>
  </si>
  <si>
    <t xml:space="preserve">      Total for CFDA #84.424</t>
  </si>
  <si>
    <t>18-4400</t>
  </si>
  <si>
    <t>19-4400</t>
  </si>
  <si>
    <t>TOTAL U.S. DEPARTMENT OF EDUCATION</t>
  </si>
  <si>
    <t>U.S. DEPARTMENT OF HEALTH AND HUMAN SERVICES</t>
  </si>
  <si>
    <t>Passed Through Illinois Department of Healthcare and Family Services -</t>
  </si>
  <si>
    <t xml:space="preserve">  Passed Through JAMP Sepcial Education Services</t>
  </si>
  <si>
    <t xml:space="preserve">   Medical Assistance Program</t>
  </si>
  <si>
    <t xml:space="preserve">      Total for CFDA #93.778</t>
  </si>
  <si>
    <t>19-2200</t>
  </si>
  <si>
    <t>TOTAL U.S. DEPARTMENT OF HEALTH AND HUMAN SERVICES</t>
  </si>
  <si>
    <t>TOTAL FEDERAL AWARDS</t>
  </si>
  <si>
    <t>Unmodified</t>
  </si>
  <si>
    <t>Title I: Grants to Local Education Agencies</t>
  </si>
  <si>
    <t>All expenses and revenues should be correctly recorded for financial statements to be reliable.</t>
  </si>
  <si>
    <t>The District expected to issue the checks by the end of the fiscal year due to the stages that the  project was in at that time. The invoices were never received due to the conflict between the architecture firm and the contractor. Therefore, the checks were never actually issued. The District will not write checks until the invoice is received in the future.</t>
  </si>
  <si>
    <t>NONE</t>
  </si>
  <si>
    <t>Total disbursements of the Capital Projects Fund for the year ended June 30, 2019 were $95,301.</t>
  </si>
  <si>
    <t>Before the adjustment assets were understated by $70,699 and expenditures were overstated by $70,699 in the Capital Projects Fund.</t>
  </si>
  <si>
    <t xml:space="preserve">The District planned to pay for construction work before the end of the year.  Checks were prepared anticipating receipt of the invoices for the work performed, but the invoices were not received before year end.  The District did not release the checks until receiving the proper invoices to support the payments.  </t>
  </si>
  <si>
    <t>We recommend that the District should record expenditures in the same period that disbursements are actually made in accordance with the modified cash basis of accounting.</t>
  </si>
  <si>
    <t>An adjustment was required to increase cash by $70,699 because checks were written, but held at the end of the fiscal year.</t>
  </si>
  <si>
    <r>
      <t xml:space="preserve">The accompanying Schedule of Expenditures of Federal Awards includes the federal grant activity of </t>
    </r>
    <r>
      <rPr>
        <b/>
        <sz val="9"/>
        <rFont val="Calibri"/>
        <family val="2"/>
        <scheme val="minor"/>
      </rPr>
      <t>Egyptian Community Unit School District No. 5</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</si>
  <si>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Egyptian Community Unit School District No. 5</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</si>
  <si>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Egyptian Community Unit School District No. 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</si>
  <si>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Healthy Community Investment Grant</t>
  </si>
  <si>
    <t xml:space="preserve">      Total for Special Education Cluster (CFDA #84.027 and #84.173)</t>
  </si>
  <si>
    <t>18-4999</t>
  </si>
  <si>
    <t>Egyptian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</si>
</sst>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u val="doubleAccounting"/>
      <sz val="10"/>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9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6" fillId="0" borderId="0" xfId="0" applyFont="1" applyAlignment="1">
      <alignment horizontal="center"/>
    </xf>
    <xf numFmtId="0" fontId="56" fillId="0" borderId="78" xfId="0" applyFont="1" applyBorder="1" applyAlignment="1">
      <alignment horizontal="center"/>
    </xf>
    <xf numFmtId="181" fontId="74" fillId="0" borderId="0" xfId="1" applyNumberFormat="1" applyFont="1"/>
    <xf numFmtId="182" fontId="56" fillId="0" borderId="0" xfId="19" applyNumberFormat="1" applyFont="1"/>
    <xf numFmtId="182" fontId="138" fillId="0" borderId="0" xfId="19" applyNumberFormat="1" applyFont="1"/>
    <xf numFmtId="169" fontId="56" fillId="0" borderId="0" xfId="3" applyNumberFormat="1" applyFont="1" applyProtection="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904875</xdr:colOff>
          <xdr:row>8</xdr:row>
          <xdr:rowOff>28575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EDD27C61-9066-4053-BBDF-E8E46AFC370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21" t="s">
        <v>405</v>
      </c>
      <c r="J1" s="2022"/>
      <c r="K1" s="2022"/>
      <c r="L1" s="2022"/>
      <c r="M1" s="2022"/>
      <c r="N1" s="2022"/>
      <c r="O1" s="2022"/>
      <c r="P1" s="2022"/>
      <c r="Q1" s="2022"/>
      <c r="R1" s="2022"/>
      <c r="S1" s="2022"/>
    </row>
    <row r="2" spans="1:28" ht="12" customHeight="1" x14ac:dyDescent="0.2">
      <c r="A2" s="47" t="s">
        <v>1990</v>
      </c>
      <c r="D2" s="48"/>
      <c r="I2" s="2023" t="s">
        <v>979</v>
      </c>
      <c r="J2" s="2022"/>
      <c r="K2" s="2022"/>
      <c r="L2" s="2022"/>
      <c r="M2" s="2022"/>
      <c r="N2" s="2022"/>
      <c r="O2" s="2022"/>
      <c r="P2" s="2022"/>
      <c r="Q2" s="2022"/>
      <c r="R2" s="2022"/>
      <c r="S2" s="2022"/>
    </row>
    <row r="3" spans="1:28" ht="12" customHeight="1" x14ac:dyDescent="0.2">
      <c r="A3" s="155" t="s">
        <v>1942</v>
      </c>
      <c r="B3" s="156"/>
      <c r="C3" s="156"/>
      <c r="D3" s="157"/>
      <c r="I3" s="2023" t="s">
        <v>52</v>
      </c>
      <c r="J3" s="2022"/>
      <c r="K3" s="2022"/>
      <c r="L3" s="2022"/>
      <c r="M3" s="2022"/>
      <c r="N3" s="2022"/>
      <c r="O3" s="2022"/>
      <c r="P3" s="2022"/>
      <c r="Q3" s="2022"/>
      <c r="R3" s="2022"/>
      <c r="S3" s="2022"/>
    </row>
    <row r="4" spans="1:28" ht="12" customHeight="1" x14ac:dyDescent="0.2">
      <c r="A4" s="37"/>
      <c r="I4" s="2023" t="s">
        <v>524</v>
      </c>
      <c r="J4" s="2022"/>
      <c r="K4" s="2022"/>
      <c r="L4" s="2022"/>
      <c r="M4" s="2022"/>
      <c r="N4" s="2022"/>
      <c r="O4" s="2022"/>
      <c r="P4" s="2022"/>
      <c r="Q4" s="2022"/>
      <c r="R4" s="2022"/>
      <c r="S4" s="2022"/>
    </row>
    <row r="5" spans="1:28" ht="14.1" customHeight="1" x14ac:dyDescent="0.2">
      <c r="B5" s="104"/>
      <c r="C5" s="26" t="s">
        <v>910</v>
      </c>
      <c r="D5" s="84"/>
      <c r="E5" s="84"/>
      <c r="H5" s="38"/>
      <c r="I5" s="2030" t="s">
        <v>680</v>
      </c>
      <c r="J5" s="1975"/>
      <c r="K5" s="1975"/>
      <c r="L5" s="1975"/>
      <c r="M5" s="1975"/>
      <c r="N5" s="1975"/>
      <c r="O5" s="1975"/>
      <c r="P5" s="1975"/>
      <c r="Q5" s="1975"/>
      <c r="R5" s="1975"/>
      <c r="S5" s="1975"/>
    </row>
    <row r="6" spans="1:28" ht="14.1" customHeight="1" x14ac:dyDescent="0.2">
      <c r="B6" s="104"/>
      <c r="C6" s="26" t="s">
        <v>911</v>
      </c>
      <c r="D6" s="84"/>
      <c r="E6" s="84"/>
      <c r="I6" s="2029" t="s">
        <v>883</v>
      </c>
      <c r="J6" s="1975"/>
      <c r="K6" s="1975"/>
      <c r="L6" s="1975"/>
      <c r="M6" s="1975"/>
      <c r="N6" s="1975"/>
      <c r="O6" s="1975"/>
      <c r="P6" s="1975"/>
      <c r="Q6" s="1975"/>
      <c r="R6" s="1975"/>
      <c r="S6" s="1975"/>
    </row>
    <row r="7" spans="1:28" ht="12.2" customHeight="1" x14ac:dyDescent="0.2">
      <c r="I7" s="2024">
        <v>43646</v>
      </c>
      <c r="J7" s="2025"/>
      <c r="K7" s="2025"/>
      <c r="L7" s="2025"/>
      <c r="M7" s="2025"/>
      <c r="N7" s="2025"/>
      <c r="O7" s="2025"/>
      <c r="P7" s="2025"/>
      <c r="Q7" s="2025"/>
      <c r="R7" s="2025"/>
      <c r="S7" s="202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6" t="s">
        <v>674</v>
      </c>
      <c r="J9" s="2027"/>
      <c r="K9" s="2027"/>
      <c r="L9" s="2027"/>
      <c r="M9" s="2027"/>
      <c r="N9" s="2027"/>
      <c r="O9" s="2027"/>
      <c r="P9" s="2027"/>
      <c r="Q9" s="2027"/>
      <c r="R9" s="2027"/>
      <c r="S9" s="2028"/>
      <c r="T9" s="1971" t="s">
        <v>533</v>
      </c>
      <c r="U9" s="1972"/>
      <c r="V9" s="1972"/>
      <c r="W9" s="1972"/>
      <c r="X9" s="1972"/>
      <c r="Y9" s="1972"/>
      <c r="Z9" s="1972"/>
      <c r="AA9" s="1973"/>
    </row>
    <row r="10" spans="1:28" ht="13.5" customHeight="1" x14ac:dyDescent="0.2">
      <c r="A10" s="1980" t="s">
        <v>675</v>
      </c>
      <c r="B10" s="1981"/>
      <c r="C10" s="1981"/>
      <c r="D10" s="1981"/>
      <c r="E10" s="1981"/>
      <c r="F10" s="1981"/>
      <c r="G10" s="1981"/>
      <c r="H10" s="1982"/>
      <c r="I10" s="29"/>
      <c r="J10" s="30"/>
      <c r="K10" s="28"/>
      <c r="R10" s="30"/>
      <c r="S10" s="30"/>
      <c r="T10" s="1974"/>
      <c r="U10" s="1975"/>
      <c r="V10" s="1975"/>
      <c r="W10" s="1975"/>
      <c r="X10" s="1975"/>
      <c r="Y10" s="1975"/>
      <c r="Z10" s="1975"/>
      <c r="AA10" s="1976"/>
    </row>
    <row r="11" spans="1:28" ht="14.25" customHeight="1" x14ac:dyDescent="0.2">
      <c r="A11" s="1983" t="s">
        <v>955</v>
      </c>
      <c r="B11" s="1984"/>
      <c r="C11" s="1984"/>
      <c r="D11" s="1984"/>
      <c r="E11" s="1984"/>
      <c r="F11" s="1984"/>
      <c r="G11" s="1984"/>
      <c r="H11" s="1985"/>
      <c r="I11" s="27"/>
      <c r="J11" s="74"/>
      <c r="K11" s="27"/>
      <c r="O11" s="148" t="s">
        <v>2064</v>
      </c>
      <c r="P11" s="100" t="s">
        <v>201</v>
      </c>
      <c r="Q11" s="30"/>
      <c r="R11" s="28"/>
      <c r="S11" s="27"/>
      <c r="T11" s="1977"/>
      <c r="U11" s="1978"/>
      <c r="V11" s="1978"/>
      <c r="W11" s="1978"/>
      <c r="X11" s="1978"/>
      <c r="Y11" s="1978"/>
      <c r="Z11" s="1978"/>
      <c r="AA11" s="197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1">
        <v>30002005026</v>
      </c>
      <c r="B13" s="1992"/>
      <c r="C13" s="1992"/>
      <c r="D13" s="1992"/>
      <c r="E13" s="1992"/>
      <c r="F13" s="1992"/>
      <c r="G13" s="1992"/>
      <c r="H13" s="1993"/>
      <c r="I13" s="31"/>
      <c r="J13" s="30"/>
      <c r="K13" s="28"/>
      <c r="L13" s="30"/>
      <c r="M13" s="30"/>
      <c r="N13" s="30"/>
      <c r="O13" s="30"/>
      <c r="P13" s="30"/>
      <c r="Q13" s="30"/>
      <c r="R13" s="30"/>
      <c r="S13" s="30"/>
      <c r="T13" s="1996" t="s">
        <v>2065</v>
      </c>
      <c r="U13" s="1997"/>
      <c r="V13" s="1997"/>
      <c r="W13" s="1997"/>
      <c r="X13" s="1997"/>
      <c r="Y13" s="1998"/>
      <c r="Z13" s="1998"/>
      <c r="AA13" s="199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9" t="s">
        <v>2061</v>
      </c>
      <c r="B15" s="1994"/>
      <c r="C15" s="1994"/>
      <c r="D15" s="1994"/>
      <c r="E15" s="1994"/>
      <c r="F15" s="1994"/>
      <c r="G15" s="1994"/>
      <c r="H15" s="1995"/>
      <c r="T15" s="1957" t="s">
        <v>2066</v>
      </c>
      <c r="U15" s="1958"/>
      <c r="V15" s="1958"/>
      <c r="W15" s="1958"/>
      <c r="X15" s="1958"/>
      <c r="Y15" s="2000"/>
      <c r="Z15" s="2000"/>
      <c r="AA15" s="200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9" t="s">
        <v>2172</v>
      </c>
      <c r="B17" s="2019"/>
      <c r="C17" s="2019"/>
      <c r="D17" s="2019"/>
      <c r="E17" s="2019"/>
      <c r="F17" s="2019"/>
      <c r="G17" s="2019"/>
      <c r="H17" s="2020"/>
      <c r="T17" s="2006" t="s">
        <v>2067</v>
      </c>
      <c r="U17" s="2007"/>
      <c r="V17" s="2007"/>
      <c r="W17" s="2007"/>
      <c r="X17" s="2007"/>
      <c r="Y17" s="2007"/>
      <c r="Z17" s="2007"/>
      <c r="AA17" s="2008"/>
    </row>
    <row r="18" spans="1:27" ht="13.5" customHeight="1" x14ac:dyDescent="0.2">
      <c r="A18" s="85" t="s">
        <v>530</v>
      </c>
      <c r="B18" s="76"/>
      <c r="C18" s="72"/>
      <c r="D18" s="76"/>
      <c r="E18" s="76"/>
      <c r="F18" s="76"/>
      <c r="G18" s="76"/>
      <c r="H18" s="56"/>
      <c r="I18" s="2016" t="s">
        <v>676</v>
      </c>
      <c r="J18" s="2017"/>
      <c r="K18" s="2017"/>
      <c r="L18" s="2017"/>
      <c r="M18" s="2017"/>
      <c r="N18" s="2017"/>
      <c r="O18" s="2017"/>
      <c r="P18" s="2017"/>
      <c r="Q18" s="2017"/>
      <c r="R18" s="2017"/>
      <c r="S18" s="2018"/>
      <c r="T18" s="85" t="s">
        <v>711</v>
      </c>
      <c r="U18" s="51"/>
      <c r="V18" s="72"/>
      <c r="W18" s="50"/>
      <c r="X18" s="85" t="s">
        <v>266</v>
      </c>
      <c r="Y18" s="81"/>
      <c r="Z18" s="159" t="s">
        <v>677</v>
      </c>
      <c r="AA18" s="46"/>
    </row>
    <row r="19" spans="1:27" ht="13.5" customHeight="1" x14ac:dyDescent="0.2">
      <c r="A19" s="1989" t="s">
        <v>2062</v>
      </c>
      <c r="B19" s="1990"/>
      <c r="C19" s="1990"/>
      <c r="D19" s="1990"/>
      <c r="E19" s="1990"/>
      <c r="F19" s="1990"/>
      <c r="G19" s="1990"/>
      <c r="H19" s="1988"/>
      <c r="I19" s="30"/>
      <c r="J19" s="99"/>
      <c r="K19" s="40"/>
      <c r="L19" s="38"/>
      <c r="M19" s="112" t="s">
        <v>315</v>
      </c>
      <c r="P19" s="27"/>
      <c r="Q19" s="27"/>
      <c r="R19" s="27"/>
      <c r="S19" s="31"/>
      <c r="T19" s="1989" t="s">
        <v>2068</v>
      </c>
      <c r="U19" s="1987"/>
      <c r="V19" s="1987"/>
      <c r="W19" s="1988"/>
      <c r="X19" s="2004" t="s">
        <v>2069</v>
      </c>
      <c r="Y19" s="2005"/>
      <c r="Z19" s="2002">
        <v>63703</v>
      </c>
      <c r="AA19" s="200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6" t="s">
        <v>2063</v>
      </c>
      <c r="B21" s="1987"/>
      <c r="C21" s="1987"/>
      <c r="D21" s="1987"/>
      <c r="E21" s="1987"/>
      <c r="F21" s="1987"/>
      <c r="G21" s="1987"/>
      <c r="H21" s="1988"/>
      <c r="I21" s="2012" t="s">
        <v>678</v>
      </c>
      <c r="J21" s="1975"/>
      <c r="K21" s="1975"/>
      <c r="L21" s="1975"/>
      <c r="M21" s="1975"/>
      <c r="N21" s="1975"/>
      <c r="O21" s="1975"/>
      <c r="P21" s="1975"/>
      <c r="Q21" s="1975"/>
      <c r="R21" s="1975"/>
      <c r="S21" s="1976"/>
      <c r="T21" s="1954" t="s">
        <v>2070</v>
      </c>
      <c r="U21" s="1955"/>
      <c r="V21" s="1955"/>
      <c r="W21" s="1955"/>
      <c r="X21" s="1968" t="s">
        <v>2071</v>
      </c>
      <c r="Y21" s="1969"/>
      <c r="Z21" s="1969"/>
      <c r="AA21" s="1970"/>
    </row>
    <row r="22" spans="1:27" ht="13.5" customHeight="1" x14ac:dyDescent="0.2">
      <c r="A22" s="87" t="s">
        <v>531</v>
      </c>
      <c r="B22" s="59"/>
      <c r="C22" s="59"/>
      <c r="D22" s="59"/>
      <c r="E22" s="59"/>
      <c r="F22" s="59"/>
      <c r="G22" s="59"/>
      <c r="H22" s="60"/>
      <c r="I22" s="2013" t="s">
        <v>1429</v>
      </c>
      <c r="J22" s="2014"/>
      <c r="K22" s="2014"/>
      <c r="L22" s="2014"/>
      <c r="M22" s="2014"/>
      <c r="N22" s="2014"/>
      <c r="O22" s="2014"/>
      <c r="P22" s="2014"/>
      <c r="Q22" s="2014"/>
      <c r="R22" s="2014"/>
      <c r="S22" s="2015"/>
      <c r="T22" s="85" t="s">
        <v>1516</v>
      </c>
      <c r="U22" s="51"/>
      <c r="V22" s="72"/>
      <c r="W22" s="51"/>
      <c r="X22" s="160" t="s">
        <v>1318</v>
      </c>
      <c r="Z22" s="45"/>
      <c r="AA22" s="46"/>
    </row>
    <row r="23" spans="1:27" ht="13.5" customHeight="1" x14ac:dyDescent="0.2">
      <c r="A23" s="2009"/>
      <c r="B23" s="2010"/>
      <c r="C23" s="2010"/>
      <c r="D23" s="2010"/>
      <c r="E23" s="2010"/>
      <c r="F23" s="2010"/>
      <c r="G23" s="2010"/>
      <c r="H23" s="2011"/>
      <c r="T23" s="1949" t="s">
        <v>2072</v>
      </c>
      <c r="U23" s="1950"/>
      <c r="V23" s="1950"/>
      <c r="W23" s="1950"/>
      <c r="X23" s="1965">
        <v>44530</v>
      </c>
      <c r="Y23" s="1966"/>
      <c r="Z23" s="1966"/>
      <c r="AA23" s="1967"/>
    </row>
    <row r="24" spans="1:27" ht="14.1" customHeight="1" x14ac:dyDescent="0.2">
      <c r="A24" s="88" t="s">
        <v>677</v>
      </c>
      <c r="B24" s="49"/>
      <c r="C24" s="49"/>
      <c r="D24" s="49"/>
      <c r="E24" s="49"/>
      <c r="F24" s="49"/>
      <c r="G24" s="49"/>
      <c r="H24" s="61"/>
      <c r="J24" s="2051" t="str">
        <f>IF(B5="x",IF(AUDITCHECK!D29="AFR form Incomplete.","",IF(AUDITCHECK!D29="Deficit reduction plan is required.","School District must complete a deficit reduction plan in the 2019-2020 Budget",)),"")</f>
        <v/>
      </c>
      <c r="K24" s="2051"/>
      <c r="L24" s="2051"/>
      <c r="M24" s="2051"/>
      <c r="N24" s="2051"/>
      <c r="O24" s="2051"/>
      <c r="P24" s="2051"/>
      <c r="Q24" s="2051"/>
      <c r="R24" s="2051"/>
      <c r="S24" s="2052"/>
      <c r="T24" s="105" t="s">
        <v>531</v>
      </c>
      <c r="U24" s="106"/>
      <c r="V24" s="106"/>
      <c r="W24" s="106"/>
      <c r="X24" s="107"/>
      <c r="Y24" s="107"/>
      <c r="Z24" s="107"/>
      <c r="AA24" s="108"/>
    </row>
    <row r="25" spans="1:27" ht="14.1" customHeight="1" x14ac:dyDescent="0.2">
      <c r="A25" s="1986">
        <v>62988</v>
      </c>
      <c r="B25" s="1987"/>
      <c r="C25" s="1987"/>
      <c r="D25" s="1987"/>
      <c r="E25" s="1987"/>
      <c r="F25" s="1987"/>
      <c r="G25" s="1987"/>
      <c r="H25" s="1988"/>
      <c r="I25" s="113"/>
      <c r="J25" s="2053"/>
      <c r="K25" s="2053"/>
      <c r="L25" s="2053"/>
      <c r="M25" s="2053"/>
      <c r="N25" s="2053"/>
      <c r="O25" s="2053"/>
      <c r="P25" s="2053"/>
      <c r="Q25" s="2053"/>
      <c r="R25" s="2053"/>
      <c r="S25" s="2054"/>
      <c r="T25" s="1946" t="s">
        <v>2073</v>
      </c>
      <c r="U25" s="1947"/>
      <c r="V25" s="1947"/>
      <c r="W25" s="1947"/>
      <c r="X25" s="1947"/>
      <c r="Y25" s="1947"/>
      <c r="Z25" s="1947"/>
      <c r="AA25" s="194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4" t="s">
        <v>1511</v>
      </c>
      <c r="J27" s="2017"/>
      <c r="K27" s="2017"/>
      <c r="L27" s="2017"/>
      <c r="M27" s="2017"/>
      <c r="N27" s="2017"/>
      <c r="O27" s="2017"/>
      <c r="P27" s="2017"/>
      <c r="Q27" s="2017"/>
      <c r="R27" s="2017"/>
      <c r="S27" s="201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2064</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48" t="s">
        <v>2064</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2064</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0"/>
      <c r="Q35" s="1987"/>
      <c r="R35" s="198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9"/>
      <c r="B38" s="2019"/>
      <c r="C38" s="2019"/>
      <c r="D38" s="2019"/>
      <c r="E38" s="2019"/>
      <c r="F38" s="1987"/>
      <c r="G38" s="1987"/>
      <c r="H38" s="1988"/>
      <c r="I38" s="2038"/>
      <c r="J38" s="1958"/>
      <c r="K38" s="1958"/>
      <c r="L38" s="1958"/>
      <c r="M38" s="1958"/>
      <c r="N38" s="1958"/>
      <c r="O38" s="1958"/>
      <c r="P38" s="1959"/>
      <c r="Q38" s="1959"/>
      <c r="R38" s="1959"/>
      <c r="S38" s="1960"/>
      <c r="T38" s="1957"/>
      <c r="U38" s="1958"/>
      <c r="V38" s="1958"/>
      <c r="W38" s="1958"/>
      <c r="X38" s="1959"/>
      <c r="Y38" s="1959"/>
      <c r="Z38" s="1959"/>
      <c r="AA38" s="1960"/>
    </row>
    <row r="39" spans="1:27" ht="12" customHeight="1" x14ac:dyDescent="0.2">
      <c r="A39" s="2042" t="s">
        <v>531</v>
      </c>
      <c r="B39" s="2043"/>
      <c r="C39" s="72"/>
      <c r="D39" s="69"/>
      <c r="E39" s="69"/>
      <c r="F39" s="79"/>
      <c r="G39" s="69"/>
      <c r="H39" s="56"/>
      <c r="I39" s="2042" t="s">
        <v>531</v>
      </c>
      <c r="J39" s="2043"/>
      <c r="K39" s="2043"/>
      <c r="L39" s="2043"/>
      <c r="M39" s="2043"/>
      <c r="N39" s="67"/>
      <c r="O39" s="72"/>
      <c r="P39" s="72"/>
      <c r="Q39" s="78"/>
      <c r="R39" s="72"/>
      <c r="S39" s="56"/>
      <c r="T39" s="72" t="s">
        <v>531</v>
      </c>
      <c r="U39" s="51"/>
      <c r="V39" s="72"/>
      <c r="W39" s="50"/>
      <c r="X39" s="78"/>
      <c r="Y39" s="45"/>
      <c r="Z39" s="45"/>
      <c r="AA39" s="46"/>
    </row>
    <row r="40" spans="1:27" ht="13.5" customHeight="1" x14ac:dyDescent="0.2">
      <c r="A40" s="2045"/>
      <c r="B40" s="2046"/>
      <c r="C40" s="2047"/>
      <c r="D40" s="2047"/>
      <c r="E40" s="2047"/>
      <c r="F40" s="2048"/>
      <c r="G40" s="2048"/>
      <c r="H40" s="2049"/>
      <c r="I40" s="1961"/>
      <c r="J40" s="1963"/>
      <c r="K40" s="1963"/>
      <c r="L40" s="1963"/>
      <c r="M40" s="1963"/>
      <c r="N40" s="1963"/>
      <c r="O40" s="1963"/>
      <c r="P40" s="1963"/>
      <c r="Q40" s="1963"/>
      <c r="R40" s="1963"/>
      <c r="S40" s="1964"/>
      <c r="T40" s="1961"/>
      <c r="U40" s="1962"/>
      <c r="V40" s="1963"/>
      <c r="W40" s="1963"/>
      <c r="X40" s="1963"/>
      <c r="Y40" s="1963"/>
      <c r="Z40" s="1963"/>
      <c r="AA40" s="196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5"/>
      <c r="B42" s="2036"/>
      <c r="C42" s="2037"/>
      <c r="D42" s="2050"/>
      <c r="E42" s="2036"/>
      <c r="F42" s="2036"/>
      <c r="G42" s="2036"/>
      <c r="H42" s="2037"/>
      <c r="I42" s="1956"/>
      <c r="J42" s="1952"/>
      <c r="K42" s="1952"/>
      <c r="L42" s="1952"/>
      <c r="M42" s="1952"/>
      <c r="N42" s="1952"/>
      <c r="O42" s="1953"/>
      <c r="P42" s="1951"/>
      <c r="Q42" s="1952"/>
      <c r="R42" s="1952"/>
      <c r="S42" s="1953"/>
      <c r="T42" s="1956"/>
      <c r="U42" s="1952"/>
      <c r="V42" s="1952"/>
      <c r="W42" s="1953"/>
      <c r="X42" s="1951"/>
      <c r="Y42" s="1952"/>
      <c r="Z42" s="1952"/>
      <c r="AA42" s="195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9"/>
      <c r="B44" s="2040"/>
      <c r="C44" s="2040"/>
      <c r="D44" s="2040"/>
      <c r="E44" s="2040"/>
      <c r="F44" s="2040"/>
      <c r="G44" s="2040"/>
      <c r="H44" s="2041"/>
      <c r="I44" s="2031"/>
      <c r="J44" s="2033"/>
      <c r="K44" s="2033"/>
      <c r="L44" s="2033"/>
      <c r="M44" s="2033"/>
      <c r="N44" s="2033"/>
      <c r="O44" s="2033"/>
      <c r="P44" s="2033"/>
      <c r="Q44" s="2033"/>
      <c r="R44" s="2033"/>
      <c r="S44" s="2034"/>
      <c r="T44" s="2031"/>
      <c r="U44" s="2032"/>
      <c r="V44" s="2032"/>
      <c r="W44" s="2032"/>
      <c r="X44" s="2032"/>
      <c r="Y44" s="2032"/>
      <c r="Z44" s="2033"/>
      <c r="AA44" s="203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8" t="s">
        <v>1065</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691</v>
      </c>
      <c r="B40" s="2055"/>
      <c r="C40" s="2055"/>
      <c r="D40" s="2055"/>
      <c r="E40" s="2055"/>
    </row>
    <row r="41" spans="1:5" x14ac:dyDescent="0.2">
      <c r="A41" s="2056" t="s">
        <v>1608</v>
      </c>
      <c r="B41" s="2056"/>
      <c r="C41" s="2056"/>
      <c r="D41" s="2056"/>
      <c r="E41" s="2056"/>
    </row>
    <row r="42" spans="1:5" ht="12.75" customHeight="1" x14ac:dyDescent="0.2">
      <c r="A42" s="2057" t="s">
        <v>1022</v>
      </c>
      <c r="B42" s="2057"/>
      <c r="C42" s="2057"/>
      <c r="D42" s="2057"/>
      <c r="E42" s="2057"/>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143"/>
  <sheetViews>
    <sheetView showGridLines="0" defaultGridColor="0" view="pageBreakPreview" colorId="8" zoomScaleNormal="110" zoomScaleSheetLayoutView="100" workbookViewId="0">
      <selection activeCell="J10" sqref="J1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1168</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3" t="s">
        <v>1633</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313</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2064</v>
      </c>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t="s">
        <v>2074</v>
      </c>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1323</v>
      </c>
      <c r="B70" s="2076"/>
      <c r="C70" s="2076"/>
      <c r="D70" s="2076"/>
      <c r="E70" s="2077"/>
      <c r="F70" s="2077"/>
      <c r="G70" s="2077"/>
      <c r="H70" s="2077"/>
      <c r="I70" s="207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1320</v>
      </c>
      <c r="B83" s="2078"/>
      <c r="C83" s="2078"/>
      <c r="D83" s="207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c r="D114" s="206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1330</v>
      </c>
      <c r="D117" s="2071"/>
      <c r="E117" s="2072"/>
      <c r="F117" s="2072"/>
      <c r="G117" s="2072"/>
      <c r="H117" s="2072"/>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rintOptions horizontalCentered="1"/>
  <pageMargins left="0.44" right="0.16" top="0.39" bottom="0.33" header="0.19" footer="0.17"/>
  <pageSetup scale="75" firstPageNumber="2" fitToHeight="0"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colorId="8" zoomScale="110" zoomScaleNormal="110" workbookViewId="0">
      <selection activeCell="J10" sqref="J1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386</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21052228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1.6265000000000002E-2</v>
      </c>
      <c r="E10" s="356" t="s">
        <v>1005</v>
      </c>
      <c r="F10" s="355">
        <v>4.4199E-3</v>
      </c>
      <c r="G10" s="356" t="s">
        <v>1005</v>
      </c>
      <c r="H10" s="355">
        <v>1.768E-3</v>
      </c>
      <c r="I10" s="356" t="s">
        <v>1006</v>
      </c>
      <c r="J10" s="1732">
        <f>ROUND(D10+F10+H10,5)</f>
        <v>2.2450000000000001E-2</v>
      </c>
      <c r="K10" s="222"/>
      <c r="L10" s="355">
        <v>0</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5122113</v>
      </c>
      <c r="E16" s="356"/>
      <c r="F16" s="1733">
        <f>SUM('Acct Summary 7-8'!C17,'Acct Summary 7-8'!D17,'Acct Summary 7-8'!F17)</f>
        <v>4818198</v>
      </c>
      <c r="G16" s="356"/>
      <c r="H16" s="1733">
        <f>SUM(D16-F16)</f>
        <v>303915</v>
      </c>
      <c r="I16" s="222"/>
      <c r="J16" s="1733">
        <f>SUM('Acct Summary 7-8'!C81,'Acct Summary 7-8'!D81,'Acct Summary 7-8'!F81,'Acct Summary 7-8'!I81)</f>
        <v>3769984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2905207.4640000002</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132977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orizontalCentered="1" headings="1"/>
  <pageMargins left="0.6" right="0.6" top="0.84" bottom="1.02" header="0.28000000000000003" footer="0.67"/>
  <pageSetup scale="90" firstPageNumber="3" orientation="portrait" useFirstPageNumber="1" r:id="rId1"/>
  <headerFooter alignWithMargins="0">
    <oddHeader>&amp;L&amp;8Page &amp;P&amp;C &amp;R&amp;8Page &amp;P</oddHeader>
    <oddFooter>&amp;L&amp;8Printed: &amp;D
&amp;F&amp;CSee Independent Auditors'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R44"/>
  <sheetViews>
    <sheetView showGridLines="0" topLeftCell="A7" zoomScale="110" zoomScaleNormal="110" workbookViewId="0">
      <selection activeCell="J10" sqref="J1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556</v>
      </c>
      <c r="B2" s="2108"/>
      <c r="C2" s="2108"/>
      <c r="D2" s="2108"/>
      <c r="E2" s="2108"/>
      <c r="F2" s="2108"/>
      <c r="G2" s="2108"/>
      <c r="H2" s="2108"/>
      <c r="I2" s="2108"/>
      <c r="J2" s="2108"/>
      <c r="K2" s="2108"/>
      <c r="L2" s="2108"/>
      <c r="M2" s="2108"/>
      <c r="N2" s="2108"/>
      <c r="O2" s="2108"/>
      <c r="P2" s="2108"/>
      <c r="Q2" s="2108"/>
      <c r="R2" s="2108"/>
    </row>
    <row r="3" spans="1:18" ht="12.75" x14ac:dyDescent="0.2">
      <c r="A3" s="2109" t="s">
        <v>1413</v>
      </c>
      <c r="B3" s="2109"/>
      <c r="C3" s="2109"/>
      <c r="D3" s="2109"/>
      <c r="E3" s="2109"/>
      <c r="F3" s="2109"/>
      <c r="G3" s="2109"/>
      <c r="H3" s="2109"/>
      <c r="I3" s="2109"/>
      <c r="J3" s="2109"/>
      <c r="K3" s="2109"/>
      <c r="L3" s="2109"/>
      <c r="M3" s="2109"/>
      <c r="N3" s="2109"/>
      <c r="O3" s="2109"/>
      <c r="P3" s="2109"/>
      <c r="Q3" s="2109"/>
      <c r="R3" s="2109"/>
    </row>
    <row r="4" spans="1:18" x14ac:dyDescent="0.2">
      <c r="A4" s="2110" t="s">
        <v>1554</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Egyptian CUSD 5</v>
      </c>
      <c r="E7" s="391"/>
      <c r="G7" s="252"/>
      <c r="H7" s="387"/>
      <c r="I7" s="387"/>
      <c r="J7" s="387"/>
      <c r="K7" s="387"/>
      <c r="L7" s="329"/>
      <c r="M7" s="329"/>
      <c r="N7" s="329"/>
      <c r="O7" s="329"/>
      <c r="P7" s="329"/>
    </row>
    <row r="8" spans="1:18" ht="12.75" x14ac:dyDescent="0.2">
      <c r="A8" s="329"/>
      <c r="B8" s="329"/>
      <c r="C8" s="389" t="s">
        <v>1125</v>
      </c>
      <c r="D8" s="392">
        <f>COVER!A13</f>
        <v>30002005026</v>
      </c>
      <c r="E8" s="393"/>
      <c r="G8" s="329"/>
      <c r="H8" s="329"/>
      <c r="I8" s="329"/>
      <c r="J8" s="329"/>
      <c r="K8" s="329"/>
      <c r="L8" s="329"/>
      <c r="M8" s="329"/>
      <c r="N8" s="329"/>
      <c r="O8" s="329"/>
      <c r="P8" s="329"/>
    </row>
    <row r="9" spans="1:18" ht="12.75" x14ac:dyDescent="0.2">
      <c r="A9" s="329"/>
      <c r="B9" s="329"/>
      <c r="C9" s="389" t="s">
        <v>713</v>
      </c>
      <c r="D9" s="394" t="str">
        <f>COVER!A15</f>
        <v>Alexander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3769984</v>
      </c>
      <c r="I12" s="404"/>
      <c r="J12" s="404"/>
      <c r="K12" s="405">
        <f>TRUNC((H12/H13*100000),5)/100000</f>
        <v>0.73602124739999997</v>
      </c>
      <c r="L12" s="406"/>
      <c r="M12" s="360" t="s">
        <v>1144</v>
      </c>
      <c r="N12" s="360"/>
      <c r="O12" s="407">
        <v>0.35</v>
      </c>
      <c r="P12" s="218"/>
      <c r="Q12" s="218"/>
    </row>
    <row r="13" spans="1:18" s="408" customFormat="1" ht="12.75" x14ac:dyDescent="0.2">
      <c r="A13" s="218"/>
      <c r="B13" s="401"/>
      <c r="C13" s="2106" t="s">
        <v>1324</v>
      </c>
      <c r="D13" s="2107"/>
      <c r="E13" s="218"/>
      <c r="F13" s="409" t="s">
        <v>793</v>
      </c>
      <c r="G13" s="402"/>
      <c r="H13" s="403">
        <f>SUM('Acct Summary 7-8'!C8+'Acct Summary 7-8'!D8+'Acct Summary 7-8'!F8+'Acct Summary 7-8'!I8)+H14</f>
        <v>5122113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4818198</v>
      </c>
      <c r="I17" s="404"/>
      <c r="J17" s="416"/>
      <c r="K17" s="405">
        <f>TRUNC((H17/H18*100000),5)/100000</f>
        <v>0.94066608829999998</v>
      </c>
      <c r="L17" s="406"/>
      <c r="M17" s="417" t="s">
        <v>1171</v>
      </c>
      <c r="O17" s="418" t="str">
        <f>IF(AND(O16="2", J20 &gt; 2),"1",IF(AND(O16 = "1", J20 &gt; 2),"2",IF(AND(O16="1", J20 &gt;1),"1","0")))</f>
        <v>0</v>
      </c>
      <c r="P17" s="218"/>
    </row>
    <row r="18" spans="1:18" s="408" customFormat="1" ht="11.25" x14ac:dyDescent="0.2">
      <c r="A18" s="218"/>
      <c r="B18" s="401"/>
      <c r="C18" s="2106" t="s">
        <v>1317</v>
      </c>
      <c r="D18" s="2107"/>
      <c r="E18" s="218"/>
      <c r="F18" s="419" t="s">
        <v>794</v>
      </c>
      <c r="G18" s="402"/>
      <c r="H18" s="403">
        <f>SUM('Acct Summary 7-8'!C8+'Acct Summary 7-8'!D8+'Acct Summary 7-8'!F8+'Acct Summary 7-8'!I8)+H19</f>
        <v>5122113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3" t="s">
        <v>1412</v>
      </c>
      <c r="D24" s="2103"/>
      <c r="E24" s="218"/>
      <c r="F24" s="218" t="s">
        <v>445</v>
      </c>
      <c r="G24" s="402"/>
      <c r="H24" s="403">
        <f>SUM('Assets-Liab 5-6'!C4+'Assets-Liab 5-6'!D4+'Assets-Liab 5-6'!F4+'Assets-Liab 5-6'!I4+'Assets-Liab 5-6'!C5+'Assets-Liab 5-6'!D5+'Assets-Liab 5-6'!F5+'Assets-Liab 5-6'!I5)</f>
        <v>3746527</v>
      </c>
      <c r="I24" s="422"/>
      <c r="J24" s="422"/>
      <c r="K24" s="423">
        <f>TRUNC(((H24/H25*100000)/100000),2)</f>
        <v>279.92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13383.883330000001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401729.14081000001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132977</v>
      </c>
      <c r="I32" s="420"/>
      <c r="J32" s="420"/>
      <c r="K32" s="423">
        <f>TRUNC(100-((((H32/H33*100))*100)/100),2)</f>
        <v>95.42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2905207.4640000002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orizontalCentered="1" headings="1"/>
  <pageMargins left="0.25" right="0.2" top="0.8" bottom="0.52" header="0.19" footer="0.4"/>
  <pageSetup scale="75" firstPageNumber="4" orientation="landscape" useFirstPageNumber="1" r:id="rId3"/>
  <headerFooter alignWithMargins="0">
    <oddHeader>&amp;L&amp;8Page &amp;P&amp;C &amp;R&amp;8Page &amp;P</oddHeader>
    <oddFooter>&amp;L&amp;8Printed: &amp;D
&amp;F&amp;CSee Independent Auditors' Report.</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86" zoomScaleNormal="86" workbookViewId="0">
      <pane ySplit="2" topLeftCell="A3"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3" t="s">
        <v>973</v>
      </c>
      <c r="B3" s="2114"/>
      <c r="C3" s="1559"/>
      <c r="D3" s="1560"/>
      <c r="E3" s="1560"/>
      <c r="F3" s="1560"/>
      <c r="G3" s="1560"/>
      <c r="H3" s="1560"/>
      <c r="I3" s="1560"/>
      <c r="J3" s="1560"/>
      <c r="K3" s="1560"/>
      <c r="L3" s="1560"/>
      <c r="M3" s="1561"/>
      <c r="N3" s="1562"/>
    </row>
    <row r="4" spans="1:14" ht="13.5" customHeight="1" x14ac:dyDescent="0.2">
      <c r="A4" s="463" t="s">
        <v>1651</v>
      </c>
      <c r="B4" s="464"/>
      <c r="C4" s="465">
        <v>701069</v>
      </c>
      <c r="D4" s="466">
        <v>23570</v>
      </c>
      <c r="E4" s="466">
        <v>34346</v>
      </c>
      <c r="F4" s="466">
        <v>102187</v>
      </c>
      <c r="G4" s="466">
        <v>60988</v>
      </c>
      <c r="H4" s="466">
        <v>71692</v>
      </c>
      <c r="I4" s="466"/>
      <c r="J4" s="467"/>
      <c r="K4" s="466"/>
      <c r="L4" s="466">
        <v>41877</v>
      </c>
      <c r="M4" s="468"/>
      <c r="N4" s="469"/>
    </row>
    <row r="5" spans="1:14" x14ac:dyDescent="0.2">
      <c r="A5" s="463" t="s">
        <v>992</v>
      </c>
      <c r="B5" s="470">
        <v>120</v>
      </c>
      <c r="C5" s="465">
        <v>2758961</v>
      </c>
      <c r="D5" s="466">
        <v>160740</v>
      </c>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23457</v>
      </c>
      <c r="D12" s="466"/>
      <c r="E12" s="466"/>
      <c r="F12" s="466"/>
      <c r="G12" s="466"/>
      <c r="H12" s="466"/>
      <c r="I12" s="466"/>
      <c r="J12" s="467"/>
      <c r="K12" s="466"/>
      <c r="L12" s="466"/>
      <c r="M12" s="469"/>
      <c r="N12" s="469"/>
    </row>
    <row r="13" spans="1:14" ht="13.5" customHeight="1" thickBot="1" x14ac:dyDescent="0.25">
      <c r="A13" s="1736" t="s">
        <v>644</v>
      </c>
      <c r="B13" s="1709"/>
      <c r="C13" s="1737">
        <f>SUM(C4:C12)</f>
        <v>3483487</v>
      </c>
      <c r="D13" s="1737">
        <f t="shared" ref="D13:L13" si="0">SUM(D4:D12)</f>
        <v>184310</v>
      </c>
      <c r="E13" s="1737">
        <f t="shared" si="0"/>
        <v>34346</v>
      </c>
      <c r="F13" s="1737">
        <f t="shared" si="0"/>
        <v>102187</v>
      </c>
      <c r="G13" s="1737">
        <f t="shared" si="0"/>
        <v>60988</v>
      </c>
      <c r="H13" s="1737">
        <f t="shared" si="0"/>
        <v>71692</v>
      </c>
      <c r="I13" s="1737">
        <f t="shared" si="0"/>
        <v>0</v>
      </c>
      <c r="J13" s="1737">
        <f t="shared" si="0"/>
        <v>0</v>
      </c>
      <c r="K13" s="1737">
        <f t="shared" si="0"/>
        <v>0</v>
      </c>
      <c r="L13" s="1737">
        <f t="shared" si="0"/>
        <v>41877</v>
      </c>
      <c r="M13" s="468"/>
      <c r="N13" s="469"/>
    </row>
    <row r="14" spans="1:14" ht="18" customHeight="1" thickTop="1" x14ac:dyDescent="0.2">
      <c r="A14" s="2115" t="s">
        <v>147</v>
      </c>
      <c r="B14" s="2116"/>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2038</v>
      </c>
      <c r="N16" s="484"/>
    </row>
    <row r="17" spans="1:14" s="485" customFormat="1" ht="12.75" customHeight="1" x14ac:dyDescent="0.2">
      <c r="A17" s="482" t="s">
        <v>1403</v>
      </c>
      <c r="B17" s="483">
        <v>230</v>
      </c>
      <c r="C17" s="477"/>
      <c r="D17" s="477"/>
      <c r="E17" s="477"/>
      <c r="F17" s="477"/>
      <c r="G17" s="477"/>
      <c r="H17" s="477"/>
      <c r="I17" s="477"/>
      <c r="J17" s="477"/>
      <c r="K17" s="477"/>
      <c r="L17" s="477"/>
      <c r="M17" s="467">
        <v>3529675</v>
      </c>
      <c r="N17" s="484"/>
    </row>
    <row r="18" spans="1:14" s="485" customFormat="1" ht="12.75" customHeight="1" x14ac:dyDescent="0.2">
      <c r="A18" s="482" t="s">
        <v>1404</v>
      </c>
      <c r="B18" s="483">
        <v>240</v>
      </c>
      <c r="C18" s="477"/>
      <c r="D18" s="477"/>
      <c r="E18" s="477"/>
      <c r="F18" s="477"/>
      <c r="G18" s="477"/>
      <c r="H18" s="477"/>
      <c r="I18" s="477"/>
      <c r="J18" s="477"/>
      <c r="K18" s="477"/>
      <c r="L18" s="477"/>
      <c r="M18" s="467">
        <v>1675996</v>
      </c>
      <c r="N18" s="484"/>
    </row>
    <row r="19" spans="1:14" s="485" customFormat="1" ht="12.75" customHeight="1" x14ac:dyDescent="0.2">
      <c r="A19" s="482" t="s">
        <v>1405</v>
      </c>
      <c r="B19" s="483">
        <v>250</v>
      </c>
      <c r="C19" s="477"/>
      <c r="D19" s="477"/>
      <c r="E19" s="477"/>
      <c r="F19" s="477"/>
      <c r="G19" s="477"/>
      <c r="H19" s="477"/>
      <c r="I19" s="477"/>
      <c r="J19" s="477"/>
      <c r="K19" s="477"/>
      <c r="L19" s="477"/>
      <c r="M19" s="467">
        <v>2629895</v>
      </c>
      <c r="N19" s="484"/>
    </row>
    <row r="20" spans="1:14" s="485" customFormat="1" ht="12.75" customHeight="1" x14ac:dyDescent="0.2">
      <c r="A20" s="482" t="s">
        <v>1406</v>
      </c>
      <c r="B20" s="483">
        <v>260</v>
      </c>
      <c r="C20" s="477"/>
      <c r="D20" s="477"/>
      <c r="E20" s="477"/>
      <c r="F20" s="477"/>
      <c r="G20" s="477"/>
      <c r="H20" s="477"/>
      <c r="I20" s="477"/>
      <c r="J20" s="477"/>
      <c r="K20" s="477"/>
      <c r="L20" s="477"/>
      <c r="M20" s="467">
        <v>134540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34346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98631</v>
      </c>
    </row>
    <row r="23" spans="1:14" ht="13.5" customHeight="1" thickBot="1" x14ac:dyDescent="0.25">
      <c r="A23" s="1736" t="s">
        <v>643</v>
      </c>
      <c r="B23" s="1741"/>
      <c r="C23" s="468"/>
      <c r="D23" s="468"/>
      <c r="E23" s="468"/>
      <c r="F23" s="468"/>
      <c r="G23" s="468"/>
      <c r="H23" s="468"/>
      <c r="I23" s="468"/>
      <c r="J23" s="468"/>
      <c r="K23" s="468"/>
      <c r="L23" s="468"/>
      <c r="M23" s="1688">
        <f>SUM(M15:M22)</f>
        <v>7972144</v>
      </c>
      <c r="N23" s="1688">
        <f>SUM(N21:N22)</f>
        <v>132977</v>
      </c>
    </row>
    <row r="24" spans="1:14" ht="18" customHeight="1" thickTop="1" x14ac:dyDescent="0.2">
      <c r="A24" s="2117" t="s">
        <v>598</v>
      </c>
      <c r="B24" s="2118"/>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41877</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41877</v>
      </c>
      <c r="M34" s="468"/>
      <c r="N34" s="480"/>
    </row>
    <row r="35" spans="1:14" ht="18" customHeight="1" thickTop="1" x14ac:dyDescent="0.2">
      <c r="A35" s="2119" t="s">
        <v>529</v>
      </c>
      <c r="B35" s="2120"/>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132977</v>
      </c>
    </row>
    <row r="37" spans="1:14" ht="13.5" thickBot="1" x14ac:dyDescent="0.25">
      <c r="A37" s="1736" t="s">
        <v>653</v>
      </c>
      <c r="B37" s="1741"/>
      <c r="C37" s="477"/>
      <c r="D37" s="477"/>
      <c r="E37" s="477"/>
      <c r="F37" s="477"/>
      <c r="G37" s="477"/>
      <c r="H37" s="477"/>
      <c r="I37" s="477"/>
      <c r="J37" s="477"/>
      <c r="K37" s="477"/>
      <c r="L37" s="480"/>
      <c r="M37" s="468"/>
      <c r="N37" s="1688">
        <f>SUM(N36:N36)</f>
        <v>132977</v>
      </c>
    </row>
    <row r="38" spans="1:14" s="329" customFormat="1" ht="13.5" customHeight="1" thickTop="1" x14ac:dyDescent="0.2">
      <c r="A38" s="496" t="s">
        <v>420</v>
      </c>
      <c r="B38" s="483">
        <v>714</v>
      </c>
      <c r="C38" s="466"/>
      <c r="D38" s="466"/>
      <c r="E38" s="466">
        <v>34346</v>
      </c>
      <c r="F38" s="466"/>
      <c r="G38" s="466">
        <v>60988</v>
      </c>
      <c r="H38" s="466"/>
      <c r="I38" s="466"/>
      <c r="J38" s="467"/>
      <c r="K38" s="466"/>
      <c r="L38" s="481"/>
      <c r="M38" s="497"/>
      <c r="N38" s="497"/>
    </row>
    <row r="39" spans="1:14" s="329" customFormat="1" ht="13.5" customHeight="1" x14ac:dyDescent="0.2">
      <c r="A39" s="496" t="s">
        <v>342</v>
      </c>
      <c r="B39" s="483">
        <v>730</v>
      </c>
      <c r="C39" s="466">
        <v>3483487</v>
      </c>
      <c r="D39" s="466">
        <v>184310</v>
      </c>
      <c r="E39" s="466"/>
      <c r="F39" s="466">
        <v>102187</v>
      </c>
      <c r="G39" s="466"/>
      <c r="H39" s="466">
        <v>71692</v>
      </c>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7972144</v>
      </c>
      <c r="N40" s="497"/>
    </row>
    <row r="41" spans="1:14" ht="13.5" customHeight="1" thickBot="1" x14ac:dyDescent="0.25">
      <c r="A41" s="1736" t="s">
        <v>655</v>
      </c>
      <c r="B41" s="1706"/>
      <c r="C41" s="1688">
        <f>(SUM(C34,C37,C38,C39))</f>
        <v>3483487</v>
      </c>
      <c r="D41" s="1688">
        <f t="shared" ref="D41:L41" si="2">SUM(D34,D37,D38:D39)</f>
        <v>184310</v>
      </c>
      <c r="E41" s="1688">
        <f t="shared" si="2"/>
        <v>34346</v>
      </c>
      <c r="F41" s="1688">
        <f t="shared" si="2"/>
        <v>102187</v>
      </c>
      <c r="G41" s="1688">
        <f t="shared" si="2"/>
        <v>60988</v>
      </c>
      <c r="H41" s="1688">
        <f t="shared" si="2"/>
        <v>71692</v>
      </c>
      <c r="I41" s="1688">
        <f t="shared" si="2"/>
        <v>0</v>
      </c>
      <c r="J41" s="1688">
        <f t="shared" si="2"/>
        <v>0</v>
      </c>
      <c r="K41" s="1688">
        <f t="shared" si="2"/>
        <v>0</v>
      </c>
      <c r="L41" s="1688">
        <f t="shared" si="2"/>
        <v>41877</v>
      </c>
      <c r="M41" s="1688">
        <f>SUM(M40)</f>
        <v>7972144</v>
      </c>
      <c r="N41" s="1688">
        <f>SUM(N37)</f>
        <v>132977</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orizontalCentered="1" headings="1" gridLinesSet="0"/>
  <pageMargins left="0.3" right="0.15" top="1.1100000000000001" bottom="0" header="0.53" footer="0.35"/>
  <pageSetup scale="70"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&amp;F&amp;CSee Accompanyig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21" activePane="bottomLeft" state="frozen"/>
      <selection activeCell="M41" sqref="M41"/>
      <selection pane="bottomLeft" activeCell="M41" sqref="M4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1" t="s">
        <v>1175</v>
      </c>
      <c r="B3" s="2142"/>
      <c r="C3" s="1573"/>
      <c r="D3" s="1574"/>
      <c r="E3" s="1574"/>
      <c r="F3" s="1574"/>
      <c r="G3" s="1574"/>
      <c r="H3" s="1574"/>
      <c r="I3" s="1574"/>
      <c r="J3" s="1574"/>
      <c r="K3" s="1575"/>
      <c r="L3" s="506"/>
    </row>
    <row r="4" spans="1:13" ht="15.75" customHeight="1" x14ac:dyDescent="0.2">
      <c r="A4" s="1928" t="s">
        <v>1499</v>
      </c>
      <c r="B4" s="1929">
        <v>1000</v>
      </c>
      <c r="C4" s="1742">
        <f>'Revenues 9-14'!C109</f>
        <v>690176</v>
      </c>
      <c r="D4" s="1742">
        <f>'Revenues 9-14'!D109</f>
        <v>90661</v>
      </c>
      <c r="E4" s="1742">
        <f>'Revenues 9-14'!E109</f>
        <v>215</v>
      </c>
      <c r="F4" s="1742">
        <f>'Revenues 9-14'!F109</f>
        <v>36367</v>
      </c>
      <c r="G4" s="1742">
        <f>'Revenues 9-14'!G109</f>
        <v>104141</v>
      </c>
      <c r="H4" s="1742">
        <f>'Revenues 9-14'!H109</f>
        <v>0</v>
      </c>
      <c r="I4" s="1742">
        <f>'Revenues 9-14'!I109</f>
        <v>0</v>
      </c>
      <c r="J4" s="1742">
        <f>'Revenues 9-14'!J109</f>
        <v>27839</v>
      </c>
      <c r="K4" s="1742">
        <f>'Revenues 9-14'!K109</f>
        <v>0</v>
      </c>
      <c r="L4" s="347"/>
    </row>
    <row r="5" spans="1:13" ht="15.75" customHeight="1" x14ac:dyDescent="0.2">
      <c r="A5" s="1576" t="s">
        <v>1500</v>
      </c>
      <c r="B5" s="1577">
        <v>2000</v>
      </c>
      <c r="C5" s="1743">
        <f>'Revenues 9-14'!C114</f>
        <v>10935</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3103846</v>
      </c>
      <c r="D6" s="1743">
        <f>'Revenues 9-14'!D170</f>
        <v>28000</v>
      </c>
      <c r="E6" s="1743">
        <f>'Revenues 9-14'!E170</f>
        <v>0</v>
      </c>
      <c r="F6" s="1743">
        <f>'Revenues 9-14'!F170</f>
        <v>241852</v>
      </c>
      <c r="G6" s="1743">
        <f>'Revenues 9-14'!G170</f>
        <v>0</v>
      </c>
      <c r="H6" s="1743">
        <f>'Revenues 9-14'!H170</f>
        <v>166000</v>
      </c>
      <c r="I6" s="1743">
        <f>'Revenues 9-14'!I170</f>
        <v>0</v>
      </c>
      <c r="J6" s="1743">
        <f>'Revenues 9-14'!J170</f>
        <v>0</v>
      </c>
      <c r="K6" s="1743">
        <f>'Revenues 9-14'!K170</f>
        <v>0</v>
      </c>
      <c r="L6" s="347"/>
      <c r="M6" s="513"/>
    </row>
    <row r="7" spans="1:13" ht="15.75" customHeight="1" x14ac:dyDescent="0.2">
      <c r="A7" s="1576" t="s">
        <v>1502</v>
      </c>
      <c r="B7" s="1578">
        <v>4000</v>
      </c>
      <c r="C7" s="1743">
        <f>'Revenues 9-14'!C267</f>
        <v>920276</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4725233</v>
      </c>
      <c r="D8" s="1688">
        <f t="shared" ref="D8:K8" si="0">SUM(D4:D7)</f>
        <v>118661</v>
      </c>
      <c r="E8" s="1688">
        <f t="shared" si="0"/>
        <v>215</v>
      </c>
      <c r="F8" s="1688">
        <f t="shared" si="0"/>
        <v>278219</v>
      </c>
      <c r="G8" s="1688">
        <f t="shared" si="0"/>
        <v>104141</v>
      </c>
      <c r="H8" s="1688">
        <f t="shared" si="0"/>
        <v>166000</v>
      </c>
      <c r="I8" s="1688">
        <f t="shared" si="0"/>
        <v>0</v>
      </c>
      <c r="J8" s="1688">
        <f t="shared" si="0"/>
        <v>27839</v>
      </c>
      <c r="K8" s="1688">
        <f t="shared" si="0"/>
        <v>0</v>
      </c>
      <c r="L8" s="347"/>
    </row>
    <row r="9" spans="1:13" ht="15.75" thickTop="1" x14ac:dyDescent="0.2">
      <c r="A9" s="514" t="s">
        <v>1653</v>
      </c>
      <c r="B9" s="515">
        <v>3998</v>
      </c>
      <c r="C9" s="481">
        <v>1485589</v>
      </c>
      <c r="D9" s="516"/>
      <c r="E9" s="481"/>
      <c r="F9" s="481"/>
      <c r="G9" s="517"/>
      <c r="H9" s="481"/>
      <c r="I9" s="509" t="s">
        <v>1169</v>
      </c>
      <c r="J9" s="478"/>
      <c r="K9" s="481"/>
      <c r="L9" s="347"/>
    </row>
    <row r="10" spans="1:13" s="519" customFormat="1" ht="13.5" thickBot="1" x14ac:dyDescent="0.25">
      <c r="A10" s="1736" t="s">
        <v>1173</v>
      </c>
      <c r="B10" s="1709"/>
      <c r="C10" s="1688">
        <f>SUM(C8:C9)</f>
        <v>6210822</v>
      </c>
      <c r="D10" s="1688">
        <f t="shared" ref="D10:K10" si="1">SUM(D8:D9)</f>
        <v>118661</v>
      </c>
      <c r="E10" s="1688">
        <f t="shared" si="1"/>
        <v>215</v>
      </c>
      <c r="F10" s="1688">
        <f t="shared" si="1"/>
        <v>278219</v>
      </c>
      <c r="G10" s="1688">
        <f t="shared" si="1"/>
        <v>104141</v>
      </c>
      <c r="H10" s="1688">
        <f t="shared" si="1"/>
        <v>166000</v>
      </c>
      <c r="I10" s="1688">
        <f t="shared" si="1"/>
        <v>0</v>
      </c>
      <c r="J10" s="1688">
        <f t="shared" si="1"/>
        <v>27839</v>
      </c>
      <c r="K10" s="1688">
        <f t="shared" si="1"/>
        <v>0</v>
      </c>
      <c r="L10" s="518"/>
    </row>
    <row r="11" spans="1:13" s="519" customFormat="1" ht="16.7" customHeight="1" thickTop="1" x14ac:dyDescent="0.2">
      <c r="A11" s="2115" t="s">
        <v>1176</v>
      </c>
      <c r="B11" s="2116"/>
      <c r="C11" s="1570"/>
      <c r="D11" s="1571"/>
      <c r="E11" s="1571"/>
      <c r="F11" s="1571"/>
      <c r="G11" s="1571"/>
      <c r="H11" s="1571"/>
      <c r="I11" s="1571"/>
      <c r="J11" s="1571"/>
      <c r="K11" s="1572"/>
      <c r="L11" s="518"/>
    </row>
    <row r="12" spans="1:13" ht="15.75" customHeight="1" x14ac:dyDescent="0.2">
      <c r="A12" s="1576" t="s">
        <v>456</v>
      </c>
      <c r="B12" s="1578">
        <v>1000</v>
      </c>
      <c r="C12" s="1742">
        <f>'Expenditures 15-22'!K33</f>
        <v>2628636</v>
      </c>
      <c r="D12" s="520" t="s">
        <v>1169</v>
      </c>
      <c r="E12" s="468" t="s">
        <v>1169</v>
      </c>
      <c r="F12" s="468" t="s">
        <v>1169</v>
      </c>
      <c r="G12" s="1742">
        <f>'Expenditures 15-22'!K229</f>
        <v>41700</v>
      </c>
      <c r="H12" s="521"/>
      <c r="I12" s="468" t="s">
        <v>1169</v>
      </c>
      <c r="J12" s="468" t="s">
        <v>1169</v>
      </c>
      <c r="K12" s="521" t="s">
        <v>1169</v>
      </c>
      <c r="L12" s="347"/>
    </row>
    <row r="13" spans="1:13" ht="15.75" customHeight="1" x14ac:dyDescent="0.2">
      <c r="A13" s="1576" t="s">
        <v>457</v>
      </c>
      <c r="B13" s="1578">
        <v>2000</v>
      </c>
      <c r="C13" s="1743">
        <f>'Expenditures 15-22'!K74</f>
        <v>1600271</v>
      </c>
      <c r="D13" s="1743">
        <f>'Expenditures 15-22'!K129</f>
        <v>90682</v>
      </c>
      <c r="E13" s="469" t="s">
        <v>1169</v>
      </c>
      <c r="F13" s="1743">
        <f>'Expenditures 15-22'!K184</f>
        <v>273602</v>
      </c>
      <c r="G13" s="1743">
        <f>'Expenditures 15-22'!K279</f>
        <v>53706</v>
      </c>
      <c r="H13" s="1743">
        <f>'Expenditures 15-22'!K303</f>
        <v>95301</v>
      </c>
      <c r="I13" s="468" t="s">
        <v>1169</v>
      </c>
      <c r="J13" s="1743">
        <f>'Expenditures 15-22'!K330</f>
        <v>27839</v>
      </c>
      <c r="K13" s="1747">
        <f>'Expenditures 15-22'!K352</f>
        <v>0</v>
      </c>
      <c r="L13" s="347"/>
    </row>
    <row r="14" spans="1:13" ht="15.75" customHeight="1" x14ac:dyDescent="0.2">
      <c r="A14" s="1576" t="s">
        <v>449</v>
      </c>
      <c r="B14" s="1578">
        <v>3000</v>
      </c>
      <c r="C14" s="1743">
        <f>'Expenditures 15-22'!K75</f>
        <v>60283</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164724</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24228</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4453914</v>
      </c>
      <c r="D17" s="1688">
        <f t="shared" si="2"/>
        <v>90682</v>
      </c>
      <c r="E17" s="1688">
        <f t="shared" si="2"/>
        <v>24228</v>
      </c>
      <c r="F17" s="1688">
        <f t="shared" si="2"/>
        <v>273602</v>
      </c>
      <c r="G17" s="1688">
        <f t="shared" si="2"/>
        <v>95406</v>
      </c>
      <c r="H17" s="1688">
        <f t="shared" si="2"/>
        <v>95301</v>
      </c>
      <c r="I17" s="468"/>
      <c r="J17" s="1688">
        <f>SUM(J12:J16)</f>
        <v>27839</v>
      </c>
      <c r="K17" s="1688">
        <f>SUM(K12:K16)</f>
        <v>0</v>
      </c>
      <c r="L17" s="347"/>
    </row>
    <row r="18" spans="1:12" ht="15" customHeight="1" thickTop="1" x14ac:dyDescent="0.2">
      <c r="A18" s="1744" t="s">
        <v>1654</v>
      </c>
      <c r="B18" s="1745">
        <v>4180</v>
      </c>
      <c r="C18" s="1742">
        <f t="shared" ref="C18:H18" si="3">C9</f>
        <v>1485589</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5939503</v>
      </c>
      <c r="D19" s="1688">
        <f t="shared" si="4"/>
        <v>90682</v>
      </c>
      <c r="E19" s="1688">
        <f t="shared" si="4"/>
        <v>24228</v>
      </c>
      <c r="F19" s="1688">
        <f t="shared" si="4"/>
        <v>273602</v>
      </c>
      <c r="G19" s="1688">
        <f t="shared" si="4"/>
        <v>95406</v>
      </c>
      <c r="H19" s="1688">
        <f t="shared" si="4"/>
        <v>95301</v>
      </c>
      <c r="I19" s="468"/>
      <c r="J19" s="1688">
        <f>SUM(J17:J18)</f>
        <v>27839</v>
      </c>
      <c r="K19" s="1688">
        <f>SUM(K17:K18)</f>
        <v>0</v>
      </c>
      <c r="L19" s="347"/>
    </row>
    <row r="20" spans="1:12" ht="16.5" thickTop="1" thickBot="1" x14ac:dyDescent="0.25">
      <c r="A20" s="2131" t="s">
        <v>1655</v>
      </c>
      <c r="B20" s="2132"/>
      <c r="C20" s="1746">
        <f>C8-C17</f>
        <v>271319</v>
      </c>
      <c r="D20" s="1746">
        <f t="shared" ref="D20:K20" si="5">D8-D17</f>
        <v>27979</v>
      </c>
      <c r="E20" s="1746">
        <f t="shared" si="5"/>
        <v>-24013</v>
      </c>
      <c r="F20" s="1746">
        <f t="shared" si="5"/>
        <v>4617</v>
      </c>
      <c r="G20" s="1746">
        <f t="shared" si="5"/>
        <v>8735</v>
      </c>
      <c r="H20" s="1746">
        <f t="shared" si="5"/>
        <v>70699</v>
      </c>
      <c r="I20" s="1746">
        <f t="shared" si="5"/>
        <v>0</v>
      </c>
      <c r="J20" s="1746">
        <f t="shared" si="5"/>
        <v>0</v>
      </c>
      <c r="K20" s="1746">
        <f t="shared" si="5"/>
        <v>0</v>
      </c>
      <c r="L20" s="347"/>
    </row>
    <row r="21" spans="1:12" ht="16.7" customHeight="1" thickTop="1" x14ac:dyDescent="0.2">
      <c r="A21" s="2143" t="s">
        <v>595</v>
      </c>
      <c r="B21" s="2144"/>
      <c r="C21" s="1570"/>
      <c r="D21" s="1571"/>
      <c r="E21" s="1571"/>
      <c r="F21" s="1571"/>
      <c r="G21" s="1571"/>
      <c r="H21" s="1571"/>
      <c r="I21" s="1571"/>
      <c r="J21" s="1571"/>
      <c r="K21" s="1572"/>
      <c r="L21" s="524"/>
    </row>
    <row r="22" spans="1:12" ht="15.75" customHeight="1" collapsed="1" x14ac:dyDescent="0.2">
      <c r="A22" s="2139" t="s">
        <v>596</v>
      </c>
      <c r="B22" s="2140"/>
      <c r="C22" s="477"/>
      <c r="D22" s="477"/>
      <c r="E22" s="477"/>
      <c r="F22" s="477"/>
      <c r="G22" s="477"/>
      <c r="H22" s="477"/>
      <c r="I22" s="477"/>
      <c r="J22" s="477"/>
      <c r="K22" s="477"/>
      <c r="L22" s="347"/>
    </row>
    <row r="23" spans="1:12" s="485" customFormat="1" ht="15.75" customHeight="1" x14ac:dyDescent="0.2">
      <c r="A23" s="2135" t="s">
        <v>293</v>
      </c>
      <c r="B23" s="2136"/>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7" t="s">
        <v>981</v>
      </c>
      <c r="B32" s="2138"/>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18000</v>
      </c>
      <c r="F39" s="477"/>
      <c r="G39" s="477"/>
      <c r="H39" s="477"/>
      <c r="I39" s="477"/>
      <c r="J39" s="477"/>
      <c r="K39" s="477"/>
      <c r="L39" s="524"/>
    </row>
    <row r="40" spans="1:12" s="485" customFormat="1" ht="13.5" customHeight="1" x14ac:dyDescent="0.2">
      <c r="A40" s="1489" t="s">
        <v>642</v>
      </c>
      <c r="B40" s="483">
        <v>7700</v>
      </c>
      <c r="C40" s="477"/>
      <c r="D40" s="477"/>
      <c r="E40" s="1743">
        <f>SUM(C66:D69)</f>
        <v>7690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5" t="s">
        <v>374</v>
      </c>
      <c r="B44" s="2146"/>
      <c r="C44" s="1703">
        <f>SUM(C24:C43)</f>
        <v>0</v>
      </c>
      <c r="D44" s="1703">
        <f t="shared" ref="D44:K44" si="6">SUM(D24:D43)</f>
        <v>0</v>
      </c>
      <c r="E44" s="1703">
        <f t="shared" si="6"/>
        <v>25690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v>18000</v>
      </c>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v>7690</v>
      </c>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1" t="s">
        <v>440</v>
      </c>
      <c r="B76" s="2122"/>
      <c r="C76" s="1703">
        <f t="shared" ref="C76:K76" si="7">SUM(C47:C75)</f>
        <v>0</v>
      </c>
      <c r="D76" s="1703">
        <f t="shared" si="7"/>
        <v>25690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3" t="s">
        <v>1177</v>
      </c>
      <c r="B77" s="2124"/>
      <c r="C77" s="1703">
        <f t="shared" ref="C77:K77" si="8">C44-C76</f>
        <v>0</v>
      </c>
      <c r="D77" s="1703">
        <f t="shared" si="8"/>
        <v>-25690</v>
      </c>
      <c r="E77" s="1703">
        <f t="shared" si="8"/>
        <v>25690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7" t="s">
        <v>597</v>
      </c>
      <c r="B78" s="2128"/>
      <c r="C78" s="1702">
        <f t="shared" ref="C78:K78" si="9">C20+C77</f>
        <v>271319</v>
      </c>
      <c r="D78" s="1702">
        <f t="shared" si="9"/>
        <v>2289</v>
      </c>
      <c r="E78" s="1702">
        <f t="shared" si="9"/>
        <v>1677</v>
      </c>
      <c r="F78" s="1702">
        <f t="shared" si="9"/>
        <v>4617</v>
      </c>
      <c r="G78" s="1702">
        <f t="shared" si="9"/>
        <v>8735</v>
      </c>
      <c r="H78" s="1702">
        <f t="shared" si="9"/>
        <v>70699</v>
      </c>
      <c r="I78" s="1702">
        <f t="shared" si="9"/>
        <v>0</v>
      </c>
      <c r="J78" s="1702">
        <f t="shared" si="9"/>
        <v>0</v>
      </c>
      <c r="K78" s="1702">
        <f t="shared" si="9"/>
        <v>0</v>
      </c>
      <c r="L78" s="533"/>
    </row>
    <row r="79" spans="1:12" ht="13.5" thickTop="1" x14ac:dyDescent="0.2">
      <c r="A79" s="1494" t="s">
        <v>1946</v>
      </c>
      <c r="B79" s="534"/>
      <c r="C79" s="478">
        <v>3212168</v>
      </c>
      <c r="D79" s="535">
        <v>182021</v>
      </c>
      <c r="E79" s="535">
        <v>32669</v>
      </c>
      <c r="F79" s="535">
        <v>97570</v>
      </c>
      <c r="G79" s="535">
        <v>52253</v>
      </c>
      <c r="H79" s="535">
        <v>993</v>
      </c>
      <c r="I79" s="535"/>
      <c r="J79" s="535"/>
      <c r="K79" s="535"/>
      <c r="L79" s="347"/>
    </row>
    <row r="80" spans="1:12" x14ac:dyDescent="0.2">
      <c r="A80" s="2133" t="s">
        <v>1792</v>
      </c>
      <c r="B80" s="2134"/>
      <c r="C80" s="467"/>
      <c r="D80" s="467"/>
      <c r="E80" s="467"/>
      <c r="F80" s="467"/>
      <c r="G80" s="467"/>
      <c r="H80" s="467"/>
      <c r="I80" s="467"/>
      <c r="J80" s="467"/>
      <c r="K80" s="467"/>
      <c r="L80" s="347"/>
    </row>
    <row r="81" spans="1:12" ht="13.5" thickBot="1" x14ac:dyDescent="0.25">
      <c r="A81" s="2125" t="s">
        <v>1947</v>
      </c>
      <c r="B81" s="2126"/>
      <c r="C81" s="1688">
        <f>(SUM(C78:C80))</f>
        <v>3483487</v>
      </c>
      <c r="D81" s="1688">
        <f>SUM(D78:D80)</f>
        <v>184310</v>
      </c>
      <c r="E81" s="1688">
        <f t="shared" ref="E81:K81" si="10">SUM(E78:E80)</f>
        <v>34346</v>
      </c>
      <c r="F81" s="1688">
        <f t="shared" si="10"/>
        <v>102187</v>
      </c>
      <c r="G81" s="1688">
        <f t="shared" si="10"/>
        <v>60988</v>
      </c>
      <c r="H81" s="1688">
        <f t="shared" si="10"/>
        <v>71692</v>
      </c>
      <c r="I81" s="1688">
        <f t="shared" si="10"/>
        <v>0</v>
      </c>
      <c r="J81" s="1688">
        <f t="shared" si="10"/>
        <v>0</v>
      </c>
      <c r="K81" s="1688">
        <f t="shared" si="10"/>
        <v>0</v>
      </c>
      <c r="L81" s="347"/>
    </row>
    <row r="82" spans="1:12" ht="0.75" customHeight="1" thickTop="1" thickBot="1" x14ac:dyDescent="0.25">
      <c r="A82" s="536" t="s">
        <v>343</v>
      </c>
      <c r="B82" s="537"/>
      <c r="C82" s="538">
        <f>(C81-C79)</f>
        <v>271319</v>
      </c>
      <c r="D82" s="538">
        <f t="shared" ref="D82:K82" si="11">(D81-D79)</f>
        <v>2289</v>
      </c>
      <c r="E82" s="538">
        <f t="shared" si="11"/>
        <v>1677</v>
      </c>
      <c r="F82" s="538">
        <f t="shared" si="11"/>
        <v>4617</v>
      </c>
      <c r="G82" s="538">
        <f t="shared" si="11"/>
        <v>8735</v>
      </c>
      <c r="H82" s="538">
        <f t="shared" si="11"/>
        <v>70699</v>
      </c>
      <c r="I82" s="538">
        <f t="shared" si="11"/>
        <v>0</v>
      </c>
      <c r="J82" s="538">
        <f t="shared" si="11"/>
        <v>0</v>
      </c>
      <c r="K82" s="538">
        <f t="shared" si="11"/>
        <v>0</v>
      </c>
    </row>
    <row r="83" spans="1:12" ht="14.25" hidden="1" thickTop="1" thickBot="1" x14ac:dyDescent="0.25">
      <c r="A83" s="539" t="s">
        <v>344</v>
      </c>
      <c r="B83" s="464"/>
      <c r="C83" s="540">
        <f>C82/C81</f>
        <v>7.7887186029401007E-2</v>
      </c>
      <c r="D83" s="540">
        <f t="shared" ref="D83:K83" si="12">D82/D81</f>
        <v>1.2419293581466009E-2</v>
      </c>
      <c r="E83" s="540">
        <f t="shared" si="12"/>
        <v>4.8826646479939437E-2</v>
      </c>
      <c r="F83" s="540">
        <f t="shared" si="12"/>
        <v>4.5181872449528808E-2</v>
      </c>
      <c r="G83" s="540">
        <f t="shared" si="12"/>
        <v>0.14322489670099037</v>
      </c>
      <c r="H83" s="540">
        <f t="shared" si="12"/>
        <v>0.98614908218490205</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headings="1"/>
  <pageMargins left="0.21" right="0" top="1.05" bottom="0.48" header="0.44" footer="0.35"/>
  <pageSetup scale="6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colorId="8" zoomScale="110" zoomScaleNormal="110" zoomScaleSheetLayoutView="75" workbookViewId="0">
      <pane ySplit="2" topLeftCell="A141" activePane="bottomLeft" state="frozen"/>
      <selection activeCell="M41" sqref="M41"/>
      <selection pane="bottomLeft" activeCell="C146" sqref="C14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9" t="s">
        <v>1799</v>
      </c>
      <c r="B1" s="452"/>
      <c r="C1" s="453" t="s">
        <v>425</v>
      </c>
      <c r="D1" s="453" t="s">
        <v>426</v>
      </c>
      <c r="E1" s="453" t="s">
        <v>427</v>
      </c>
      <c r="F1" s="453" t="s">
        <v>428</v>
      </c>
      <c r="G1" s="453" t="s">
        <v>429</v>
      </c>
      <c r="H1" s="453" t="s">
        <v>430</v>
      </c>
      <c r="I1" s="453" t="s">
        <v>431</v>
      </c>
      <c r="J1" s="453" t="s">
        <v>432</v>
      </c>
      <c r="K1" s="453" t="s">
        <v>756</v>
      </c>
    </row>
    <row r="2" spans="1:12" ht="36" x14ac:dyDescent="0.2">
      <c r="A2" s="213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337470</v>
      </c>
      <c r="D5" s="481">
        <v>90661</v>
      </c>
      <c r="E5" s="466"/>
      <c r="F5" s="548">
        <v>36264</v>
      </c>
      <c r="G5" s="466">
        <v>52396</v>
      </c>
      <c r="H5" s="466"/>
      <c r="I5" s="466"/>
      <c r="J5" s="467">
        <v>27839</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6348</v>
      </c>
      <c r="D7" s="466"/>
      <c r="E7" s="468"/>
      <c r="F7" s="467"/>
      <c r="G7" s="467"/>
      <c r="H7" s="467"/>
      <c r="I7" s="468"/>
      <c r="J7" s="468"/>
      <c r="K7" s="468"/>
    </row>
    <row r="8" spans="1:12" x14ac:dyDescent="0.2">
      <c r="A8" s="463" t="s">
        <v>413</v>
      </c>
      <c r="B8" s="470">
        <v>1150</v>
      </c>
      <c r="C8" s="475"/>
      <c r="D8" s="475"/>
      <c r="E8" s="477"/>
      <c r="F8" s="477"/>
      <c r="G8" s="481">
        <v>49645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343818</v>
      </c>
      <c r="D12" s="1707">
        <f t="shared" si="0"/>
        <v>90661</v>
      </c>
      <c r="E12" s="1707">
        <f t="shared" si="0"/>
        <v>0</v>
      </c>
      <c r="F12" s="1707">
        <f t="shared" si="0"/>
        <v>36264</v>
      </c>
      <c r="G12" s="1707">
        <f t="shared" si="0"/>
        <v>102041</v>
      </c>
      <c r="H12" s="1707">
        <f t="shared" si="0"/>
        <v>0</v>
      </c>
      <c r="I12" s="1707">
        <f t="shared" si="0"/>
        <v>0</v>
      </c>
      <c r="J12" s="1707">
        <f t="shared" si="0"/>
        <v>27839</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150570</v>
      </c>
      <c r="D16" s="466"/>
      <c r="E16" s="466"/>
      <c r="F16" s="466"/>
      <c r="G16" s="466">
        <v>2100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150570</v>
      </c>
      <c r="D18" s="1710">
        <f t="shared" ref="D18:K18" si="1">SUM(D14:D17)</f>
        <v>0</v>
      </c>
      <c r="E18" s="1710">
        <f t="shared" si="1"/>
        <v>0</v>
      </c>
      <c r="F18" s="1710">
        <f t="shared" si="1"/>
        <v>0</v>
      </c>
      <c r="G18" s="1710">
        <f t="shared" si="1"/>
        <v>2100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6000</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6000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63055</v>
      </c>
      <c r="D65" s="466"/>
      <c r="E65" s="466">
        <v>215</v>
      </c>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63055</v>
      </c>
      <c r="D67" s="1688">
        <f t="shared" ref="D67:K67" si="2">SUM(D65:D66)</f>
        <v>0</v>
      </c>
      <c r="E67" s="1688">
        <f t="shared" si="2"/>
        <v>215</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19576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19576</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9867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9867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18043</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71470</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24</v>
      </c>
      <c r="D106" s="489"/>
      <c r="E106" s="467"/>
      <c r="F106" s="467"/>
      <c r="G106" s="467"/>
      <c r="H106" s="467"/>
      <c r="I106" s="521"/>
      <c r="J106" s="467"/>
      <c r="K106" s="467"/>
    </row>
    <row r="107" spans="1:12" ht="12.75" customHeight="1" x14ac:dyDescent="0.2">
      <c r="A107" s="463" t="s">
        <v>78</v>
      </c>
      <c r="B107" s="470">
        <v>1999</v>
      </c>
      <c r="C107" s="551">
        <v>7753</v>
      </c>
      <c r="D107" s="466"/>
      <c r="E107" s="466"/>
      <c r="F107" s="466">
        <v>103</v>
      </c>
      <c r="G107" s="466"/>
      <c r="H107" s="466"/>
      <c r="I107" s="466"/>
      <c r="J107" s="467"/>
      <c r="K107" s="466"/>
    </row>
    <row r="108" spans="1:12" ht="12.75" customHeight="1" thickBot="1" x14ac:dyDescent="0.25">
      <c r="A108" s="1708" t="s">
        <v>487</v>
      </c>
      <c r="B108" s="1712"/>
      <c r="C108" s="1707">
        <f>SUM(C95:C107)</f>
        <v>97290</v>
      </c>
      <c r="D108" s="1707">
        <f t="shared" ref="D108:K108" si="3">SUM(D95:D107)</f>
        <v>0</v>
      </c>
      <c r="E108" s="1707">
        <f t="shared" si="3"/>
        <v>0</v>
      </c>
      <c r="F108" s="1707">
        <f t="shared" si="3"/>
        <v>103</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690176</v>
      </c>
      <c r="D109" s="1715">
        <f t="shared" si="4"/>
        <v>90661</v>
      </c>
      <c r="E109" s="1715">
        <f t="shared" si="4"/>
        <v>215</v>
      </c>
      <c r="F109" s="1715">
        <f t="shared" si="4"/>
        <v>36367</v>
      </c>
      <c r="G109" s="1715">
        <f t="shared" si="4"/>
        <v>104141</v>
      </c>
      <c r="H109" s="1715">
        <f t="shared" si="4"/>
        <v>0</v>
      </c>
      <c r="I109" s="1715">
        <f t="shared" si="4"/>
        <v>0</v>
      </c>
      <c r="J109" s="1715">
        <f t="shared" si="4"/>
        <v>27839</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9681</v>
      </c>
      <c r="D111" s="481"/>
      <c r="E111" s="561"/>
      <c r="F111" s="481"/>
      <c r="G111" s="481"/>
      <c r="H111" s="561"/>
      <c r="I111" s="468"/>
      <c r="J111" s="468"/>
      <c r="K111" s="468"/>
    </row>
    <row r="112" spans="1:12" ht="12.75" customHeight="1" x14ac:dyDescent="0.2">
      <c r="A112" s="463" t="s">
        <v>824</v>
      </c>
      <c r="B112" s="470">
        <v>2200</v>
      </c>
      <c r="C112" s="551">
        <v>1254</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10935</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2714422</v>
      </c>
      <c r="D117" s="481">
        <v>28000</v>
      </c>
      <c r="E117" s="466"/>
      <c r="F117" s="481">
        <v>55000</v>
      </c>
      <c r="G117" s="481"/>
      <c r="H117" s="466">
        <v>166000</v>
      </c>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1933</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2714422</v>
      </c>
      <c r="D122" s="1707">
        <f t="shared" si="5"/>
        <v>28000</v>
      </c>
      <c r="E122" s="1707">
        <f t="shared" si="5"/>
        <v>0</v>
      </c>
      <c r="F122" s="1707">
        <f t="shared" si="5"/>
        <v>55000</v>
      </c>
      <c r="G122" s="1707">
        <f t="shared" si="5"/>
        <v>0</v>
      </c>
      <c r="H122" s="1707">
        <f t="shared" si="5"/>
        <v>166000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7031</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7031</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5934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4173</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156784</v>
      </c>
      <c r="G152" s="467"/>
      <c r="H152" s="468"/>
      <c r="I152" s="468"/>
      <c r="J152" s="468"/>
      <c r="K152" s="468"/>
    </row>
    <row r="153" spans="1:11" ht="12.75" customHeight="1" x14ac:dyDescent="0.2">
      <c r="A153" s="463" t="s">
        <v>1057</v>
      </c>
      <c r="B153" s="562">
        <v>3510</v>
      </c>
      <c r="C153" s="551"/>
      <c r="D153" s="466"/>
      <c r="E153" s="561"/>
      <c r="F153" s="466">
        <v>30068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186852</v>
      </c>
      <c r="G155" s="1707">
        <f>SUM(G152:G154)</f>
        <v>0</v>
      </c>
      <c r="H155" s="468"/>
      <c r="I155" s="468"/>
      <c r="J155" s="468"/>
      <c r="K155" s="468"/>
    </row>
    <row r="156" spans="1:11" ht="12.75" customHeight="1" thickTop="1" thickBot="1" x14ac:dyDescent="0.25">
      <c r="A156" s="1500" t="s">
        <v>380</v>
      </c>
      <c r="B156" s="574">
        <v>3610</v>
      </c>
      <c r="C156" s="576">
        <v>750</v>
      </c>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312579</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58957</v>
      </c>
      <c r="D168" s="580"/>
      <c r="E168" s="580"/>
      <c r="F168" s="580"/>
      <c r="G168" s="581"/>
      <c r="H168" s="582"/>
      <c r="I168" s="581"/>
      <c r="J168" s="581"/>
      <c r="K168" s="582"/>
    </row>
    <row r="169" spans="1:11" ht="12.75" customHeight="1" thickTop="1" thickBot="1" x14ac:dyDescent="0.25">
      <c r="A169" s="2149" t="s">
        <v>398</v>
      </c>
      <c r="B169" s="2150"/>
      <c r="C169" s="1722">
        <f t="shared" ref="C169:K169" si="6">SUM(C132,C141,C145,C146:C150,C155,C156:C167,C168)</f>
        <v>389424</v>
      </c>
      <c r="D169" s="1722">
        <f t="shared" si="6"/>
        <v>0</v>
      </c>
      <c r="E169" s="1722">
        <f t="shared" si="6"/>
        <v>0</v>
      </c>
      <c r="F169" s="1722">
        <f t="shared" si="6"/>
        <v>186852</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3103846</v>
      </c>
      <c r="D170" s="1715">
        <f t="shared" si="7"/>
        <v>28000</v>
      </c>
      <c r="E170" s="1715">
        <f t="shared" si="7"/>
        <v>0</v>
      </c>
      <c r="F170" s="1715">
        <f t="shared" si="7"/>
        <v>241852</v>
      </c>
      <c r="G170" s="1715">
        <f t="shared" si="7"/>
        <v>0</v>
      </c>
      <c r="H170" s="1715">
        <f t="shared" si="7"/>
        <v>166000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1" t="s">
        <v>1492</v>
      </c>
      <c r="B172" s="215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5" t="s">
        <v>1665</v>
      </c>
      <c r="B175" s="2156"/>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9" t="s">
        <v>1664</v>
      </c>
      <c r="B176" s="216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7" t="s">
        <v>785</v>
      </c>
      <c r="B181" s="2158"/>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3" t="s">
        <v>1800</v>
      </c>
      <c r="B182" s="2154"/>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8804</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8804</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196785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85476</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v>18004</v>
      </c>
      <c r="D197" s="468"/>
      <c r="E197" s="561"/>
      <c r="F197" s="468"/>
      <c r="G197" s="585"/>
      <c r="H197" s="468"/>
      <c r="I197" s="468"/>
      <c r="J197" s="468"/>
      <c r="K197" s="468"/>
    </row>
    <row r="198" spans="1:11" ht="12.75" customHeight="1" thickBot="1" x14ac:dyDescent="0.25">
      <c r="A198" s="1708" t="s">
        <v>548</v>
      </c>
      <c r="B198" s="1709"/>
      <c r="C198" s="1688">
        <f>SUM(C190:C197)</f>
        <v>300265</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386758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386758</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30363</v>
      </c>
      <c r="D206" s="466"/>
      <c r="E206" s="468"/>
      <c r="F206" s="466"/>
      <c r="G206" s="466"/>
      <c r="H206" s="468"/>
      <c r="I206" s="468"/>
      <c r="J206" s="468"/>
      <c r="K206" s="468"/>
    </row>
    <row r="207" spans="1:11" ht="12.75" customHeight="1" x14ac:dyDescent="0.2">
      <c r="A207" s="463" t="s">
        <v>1453</v>
      </c>
      <c r="B207" s="470">
        <v>4421</v>
      </c>
      <c r="C207" s="551">
        <v>147756</v>
      </c>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178119</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735</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735</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35460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1934</v>
      </c>
      <c r="B261" s="470">
        <v>4981</v>
      </c>
      <c r="C261" s="575"/>
      <c r="D261" s="576"/>
      <c r="E261" s="468"/>
      <c r="F261" s="576"/>
      <c r="G261" s="576"/>
      <c r="H261" s="468"/>
      <c r="I261" s="468"/>
      <c r="J261" s="468"/>
      <c r="K261" s="468"/>
    </row>
    <row r="262" spans="1:11" ht="12.75" customHeight="1" thickTop="1" thickBot="1" x14ac:dyDescent="0.25">
      <c r="A262" s="1931"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v>10135</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920276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920276</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4725233</v>
      </c>
      <c r="D268" s="1715">
        <f t="shared" si="12"/>
        <v>118661</v>
      </c>
      <c r="E268" s="1715">
        <f t="shared" si="12"/>
        <v>215</v>
      </c>
      <c r="F268" s="1715">
        <f t="shared" si="12"/>
        <v>278219</v>
      </c>
      <c r="G268" s="1715">
        <f t="shared" si="12"/>
        <v>104141</v>
      </c>
      <c r="H268" s="1715">
        <f t="shared" si="12"/>
        <v>166000</v>
      </c>
      <c r="I268" s="1715">
        <f t="shared" si="12"/>
        <v>0</v>
      </c>
      <c r="J268" s="1715">
        <f t="shared" si="12"/>
        <v>27839</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orizontalCentered="1" headings="1" gridLines="1"/>
  <pageMargins left="0.25" right="0.15" top="0.66" bottom="0.46" header="0.26" footer="0.35"/>
  <pageSetup scale="65"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Normal="100" workbookViewId="0">
      <pane ySplit="2" topLeftCell="A62" activePane="bottomLeft" state="frozen"/>
      <selection activeCell="M41" sqref="M41"/>
      <selection pane="bottomLeft" activeCell="M41" sqref="M4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9"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1"/>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7" t="s">
        <v>297</v>
      </c>
      <c r="B3" s="2168"/>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1187082</v>
      </c>
      <c r="D5" s="466">
        <v>165618</v>
      </c>
      <c r="E5" s="466">
        <v>11633</v>
      </c>
      <c r="F5" s="466">
        <v>143159</v>
      </c>
      <c r="G5" s="466">
        <v>7718</v>
      </c>
      <c r="H5" s="466">
        <v>2407</v>
      </c>
      <c r="I5" s="467"/>
      <c r="J5" s="467"/>
      <c r="K5" s="1671">
        <f>SUM(C5:J5)</f>
        <v>1517617</v>
      </c>
      <c r="L5" s="466">
        <v>1552832</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154944</v>
      </c>
      <c r="D7" s="467">
        <v>14343</v>
      </c>
      <c r="E7" s="467">
        <v>10986</v>
      </c>
      <c r="F7" s="467">
        <v>20732</v>
      </c>
      <c r="G7" s="467">
        <v>815</v>
      </c>
      <c r="H7" s="467"/>
      <c r="I7" s="467"/>
      <c r="J7" s="467"/>
      <c r="K7" s="1671">
        <f t="shared" ref="K7:K32" si="0">SUM(C7:J7)</f>
        <v>201820</v>
      </c>
      <c r="L7" s="466">
        <v>262120</v>
      </c>
    </row>
    <row r="8" spans="1:14" x14ac:dyDescent="0.2">
      <c r="A8" s="1504" t="s">
        <v>164</v>
      </c>
      <c r="B8" s="614">
        <v>1200</v>
      </c>
      <c r="C8" s="466">
        <v>329704</v>
      </c>
      <c r="D8" s="466">
        <v>31139</v>
      </c>
      <c r="E8" s="466">
        <v>2525</v>
      </c>
      <c r="F8" s="466">
        <v>5905</v>
      </c>
      <c r="G8" s="466"/>
      <c r="H8" s="466"/>
      <c r="I8" s="467"/>
      <c r="J8" s="467"/>
      <c r="K8" s="1671">
        <f t="shared" si="0"/>
        <v>369273</v>
      </c>
      <c r="L8" s="466">
        <v>373585</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277996</v>
      </c>
      <c r="D10" s="466">
        <v>53039</v>
      </c>
      <c r="E10" s="466">
        <v>4859</v>
      </c>
      <c r="F10" s="466">
        <v>51505</v>
      </c>
      <c r="G10" s="466">
        <v>16517</v>
      </c>
      <c r="H10" s="466"/>
      <c r="I10" s="467"/>
      <c r="J10" s="467"/>
      <c r="K10" s="1671">
        <f t="shared" si="0"/>
        <v>403916</v>
      </c>
      <c r="L10" s="466">
        <v>463559</v>
      </c>
    </row>
    <row r="11" spans="1:14" x14ac:dyDescent="0.2">
      <c r="A11" s="1504" t="s">
        <v>1130</v>
      </c>
      <c r="B11" s="614" t="s">
        <v>161</v>
      </c>
      <c r="C11" s="467">
        <v>6750</v>
      </c>
      <c r="D11" s="467"/>
      <c r="E11" s="467"/>
      <c r="F11" s="467"/>
      <c r="G11" s="467"/>
      <c r="H11" s="467"/>
      <c r="I11" s="467"/>
      <c r="J11" s="467"/>
      <c r="K11" s="1671">
        <f t="shared" si="0"/>
        <v>6750</v>
      </c>
      <c r="L11" s="466">
        <v>135000</v>
      </c>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30022</v>
      </c>
      <c r="D13" s="466"/>
      <c r="E13" s="466">
        <v>772</v>
      </c>
      <c r="F13" s="466">
        <v>4710</v>
      </c>
      <c r="G13" s="466">
        <v>999</v>
      </c>
      <c r="H13" s="466"/>
      <c r="I13" s="467"/>
      <c r="J13" s="467"/>
      <c r="K13" s="1671">
        <f t="shared" si="0"/>
        <v>36503</v>
      </c>
      <c r="L13" s="466">
        <v>41275</v>
      </c>
    </row>
    <row r="14" spans="1:14" x14ac:dyDescent="0.2">
      <c r="A14" s="1504" t="s">
        <v>963</v>
      </c>
      <c r="B14" s="614">
        <v>1500</v>
      </c>
      <c r="C14" s="466">
        <v>49541</v>
      </c>
      <c r="D14" s="466">
        <v>725</v>
      </c>
      <c r="E14" s="466">
        <v>18186</v>
      </c>
      <c r="F14" s="466">
        <v>21333</v>
      </c>
      <c r="G14" s="466">
        <v>1007</v>
      </c>
      <c r="H14" s="466">
        <v>1965</v>
      </c>
      <c r="I14" s="467"/>
      <c r="J14" s="467"/>
      <c r="K14" s="1671">
        <f t="shared" si="0"/>
        <v>92757</v>
      </c>
      <c r="L14" s="466">
        <v>95477</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2036039</v>
      </c>
      <c r="D33" s="1670">
        <f t="shared" ref="D33:L33" si="1">SUM(D5:D32)</f>
        <v>264864</v>
      </c>
      <c r="E33" s="1670">
        <f t="shared" si="1"/>
        <v>48961</v>
      </c>
      <c r="F33" s="1670">
        <f t="shared" si="1"/>
        <v>247344</v>
      </c>
      <c r="G33" s="1670">
        <f t="shared" si="1"/>
        <v>27056</v>
      </c>
      <c r="H33" s="1670">
        <f t="shared" si="1"/>
        <v>4372</v>
      </c>
      <c r="I33" s="1670">
        <f t="shared" si="1"/>
        <v>0</v>
      </c>
      <c r="J33" s="1670">
        <f t="shared" si="1"/>
        <v>0</v>
      </c>
      <c r="K33" s="1670">
        <f t="shared" si="1"/>
        <v>2628636</v>
      </c>
      <c r="L33" s="1670">
        <f t="shared" si="1"/>
        <v>2923848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80171</v>
      </c>
      <c r="D37" s="466">
        <v>11762</v>
      </c>
      <c r="E37" s="466"/>
      <c r="F37" s="466"/>
      <c r="G37" s="466"/>
      <c r="H37" s="466"/>
      <c r="I37" s="467"/>
      <c r="J37" s="467"/>
      <c r="K37" s="1671">
        <f t="shared" si="2"/>
        <v>91933</v>
      </c>
      <c r="L37" s="466">
        <v>91912</v>
      </c>
    </row>
    <row r="38" spans="1:14" x14ac:dyDescent="0.2">
      <c r="A38" s="1504" t="s">
        <v>198</v>
      </c>
      <c r="B38" s="614">
        <v>2130</v>
      </c>
      <c r="C38" s="466">
        <v>37225</v>
      </c>
      <c r="D38" s="466">
        <v>4540</v>
      </c>
      <c r="E38" s="466">
        <v>776</v>
      </c>
      <c r="F38" s="466">
        <v>2594</v>
      </c>
      <c r="G38" s="466"/>
      <c r="H38" s="466"/>
      <c r="I38" s="467"/>
      <c r="J38" s="467"/>
      <c r="K38" s="1671">
        <f t="shared" si="2"/>
        <v>45135</v>
      </c>
      <c r="L38" s="466">
        <v>3950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41818</v>
      </c>
      <c r="D40" s="466">
        <v>1296</v>
      </c>
      <c r="E40" s="466"/>
      <c r="F40" s="466">
        <v>990</v>
      </c>
      <c r="G40" s="466"/>
      <c r="H40" s="466"/>
      <c r="I40" s="467"/>
      <c r="J40" s="467"/>
      <c r="K40" s="1671">
        <f t="shared" si="2"/>
        <v>44104</v>
      </c>
      <c r="L40" s="466">
        <v>46164</v>
      </c>
    </row>
    <row r="41" spans="1:14" x14ac:dyDescent="0.2">
      <c r="A41" s="1504" t="s">
        <v>1669</v>
      </c>
      <c r="B41" s="614">
        <v>2190</v>
      </c>
      <c r="C41" s="466">
        <v>14071</v>
      </c>
      <c r="D41" s="466">
        <v>11</v>
      </c>
      <c r="E41" s="466"/>
      <c r="F41" s="466"/>
      <c r="G41" s="466"/>
      <c r="H41" s="466"/>
      <c r="I41" s="467"/>
      <c r="J41" s="467"/>
      <c r="K41" s="1671">
        <f t="shared" si="2"/>
        <v>14082</v>
      </c>
      <c r="L41" s="466">
        <v>14082</v>
      </c>
    </row>
    <row r="42" spans="1:14" ht="12.75" customHeight="1" thickBot="1" x14ac:dyDescent="0.25">
      <c r="A42" s="1668" t="s">
        <v>560</v>
      </c>
      <c r="B42" s="1669" t="s">
        <v>716</v>
      </c>
      <c r="C42" s="1670">
        <f>SUM(C36:C41)</f>
        <v>173285</v>
      </c>
      <c r="D42" s="1670">
        <f t="shared" ref="D42:L42" si="3">SUM(D36:D41)</f>
        <v>17609</v>
      </c>
      <c r="E42" s="1670">
        <f t="shared" si="3"/>
        <v>776</v>
      </c>
      <c r="F42" s="1670">
        <f t="shared" si="3"/>
        <v>3584</v>
      </c>
      <c r="G42" s="1670">
        <f t="shared" si="3"/>
        <v>0</v>
      </c>
      <c r="H42" s="1670">
        <f t="shared" si="3"/>
        <v>0</v>
      </c>
      <c r="I42" s="1670">
        <f t="shared" si="3"/>
        <v>0</v>
      </c>
      <c r="J42" s="1670">
        <f t="shared" si="3"/>
        <v>0</v>
      </c>
      <c r="K42" s="1670">
        <f t="shared" si="3"/>
        <v>195254</v>
      </c>
      <c r="L42" s="1670">
        <f t="shared" si="3"/>
        <v>156108</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60805</v>
      </c>
      <c r="D44" s="481">
        <v>5295</v>
      </c>
      <c r="E44" s="481">
        <v>31870</v>
      </c>
      <c r="F44" s="481">
        <v>2256</v>
      </c>
      <c r="G44" s="481">
        <v>929</v>
      </c>
      <c r="H44" s="481"/>
      <c r="I44" s="467"/>
      <c r="J44" s="467"/>
      <c r="K44" s="1672">
        <f>SUM(C44:J44)</f>
        <v>101155</v>
      </c>
      <c r="L44" s="481">
        <v>21533</v>
      </c>
    </row>
    <row r="45" spans="1:14" x14ac:dyDescent="0.2">
      <c r="A45" s="1504" t="s">
        <v>815</v>
      </c>
      <c r="B45" s="614">
        <v>2220</v>
      </c>
      <c r="C45" s="466">
        <v>39181</v>
      </c>
      <c r="D45" s="466">
        <v>8274</v>
      </c>
      <c r="E45" s="466"/>
      <c r="F45" s="466">
        <v>1111</v>
      </c>
      <c r="G45" s="466"/>
      <c r="H45" s="466"/>
      <c r="I45" s="467"/>
      <c r="J45" s="467"/>
      <c r="K45" s="1672">
        <f>SUM(C45:J45)</f>
        <v>48566</v>
      </c>
      <c r="L45" s="466">
        <v>14202</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99986</v>
      </c>
      <c r="D47" s="1670">
        <f t="shared" ref="D47:K47" si="4">SUM(D44:D46)</f>
        <v>13569</v>
      </c>
      <c r="E47" s="1670">
        <f t="shared" si="4"/>
        <v>31870</v>
      </c>
      <c r="F47" s="1670">
        <f t="shared" si="4"/>
        <v>3367</v>
      </c>
      <c r="G47" s="1670">
        <f t="shared" si="4"/>
        <v>929</v>
      </c>
      <c r="H47" s="1670">
        <f t="shared" si="4"/>
        <v>0</v>
      </c>
      <c r="I47" s="1670">
        <f t="shared" si="4"/>
        <v>0</v>
      </c>
      <c r="J47" s="1670">
        <f t="shared" si="4"/>
        <v>0</v>
      </c>
      <c r="K47" s="1670">
        <f t="shared" si="4"/>
        <v>149721</v>
      </c>
      <c r="L47" s="1670">
        <f>SUM(L44:L46)</f>
        <v>35735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4324</v>
      </c>
      <c r="D49" s="481"/>
      <c r="E49" s="481">
        <v>55360</v>
      </c>
      <c r="F49" s="481">
        <v>13507</v>
      </c>
      <c r="G49" s="481"/>
      <c r="H49" s="481">
        <v>11802</v>
      </c>
      <c r="I49" s="467"/>
      <c r="J49" s="467"/>
      <c r="K49" s="1672">
        <f>SUM(C49:J49)</f>
        <v>84993</v>
      </c>
      <c r="L49" s="481">
        <v>96609</v>
      </c>
    </row>
    <row r="50" spans="1:14" x14ac:dyDescent="0.2">
      <c r="A50" s="1504" t="s">
        <v>818</v>
      </c>
      <c r="B50" s="614">
        <v>2320</v>
      </c>
      <c r="C50" s="466">
        <v>203405</v>
      </c>
      <c r="D50" s="466">
        <v>20588</v>
      </c>
      <c r="E50" s="466">
        <v>24843</v>
      </c>
      <c r="F50" s="466">
        <v>20841</v>
      </c>
      <c r="G50" s="466">
        <v>32121</v>
      </c>
      <c r="H50" s="466">
        <v>1708</v>
      </c>
      <c r="I50" s="467"/>
      <c r="J50" s="467"/>
      <c r="K50" s="1672">
        <f>SUM(C50:J50)</f>
        <v>303506</v>
      </c>
      <c r="L50" s="466">
        <v>304468</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207729</v>
      </c>
      <c r="D53" s="1670">
        <f t="shared" ref="D53:L53" si="5">SUM(D49:D52)</f>
        <v>20588</v>
      </c>
      <c r="E53" s="1670">
        <f t="shared" si="5"/>
        <v>80203</v>
      </c>
      <c r="F53" s="1670">
        <f t="shared" si="5"/>
        <v>34348</v>
      </c>
      <c r="G53" s="1670">
        <f t="shared" si="5"/>
        <v>32121</v>
      </c>
      <c r="H53" s="1670">
        <f t="shared" si="5"/>
        <v>13510</v>
      </c>
      <c r="I53" s="1670">
        <f t="shared" si="5"/>
        <v>0</v>
      </c>
      <c r="J53" s="1670">
        <f t="shared" si="5"/>
        <v>0</v>
      </c>
      <c r="K53" s="1670">
        <f t="shared" si="5"/>
        <v>388499</v>
      </c>
      <c r="L53" s="1670">
        <f t="shared" si="5"/>
        <v>401077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135296</v>
      </c>
      <c r="D55" s="481">
        <v>16914</v>
      </c>
      <c r="E55" s="481">
        <v>3609</v>
      </c>
      <c r="F55" s="481">
        <v>527</v>
      </c>
      <c r="G55" s="481"/>
      <c r="H55" s="481">
        <v>381</v>
      </c>
      <c r="I55" s="467"/>
      <c r="J55" s="467"/>
      <c r="K55" s="1672">
        <f>SUM(C55:J55)</f>
        <v>156727</v>
      </c>
      <c r="L55" s="481">
        <v>163474</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135296</v>
      </c>
      <c r="D57" s="1674">
        <f t="shared" ref="D57:K57" si="6">SUM(D55:D56)</f>
        <v>16914</v>
      </c>
      <c r="E57" s="1674">
        <f t="shared" si="6"/>
        <v>3609</v>
      </c>
      <c r="F57" s="1674">
        <f t="shared" si="6"/>
        <v>527</v>
      </c>
      <c r="G57" s="1674">
        <f t="shared" si="6"/>
        <v>0</v>
      </c>
      <c r="H57" s="1674">
        <f t="shared" si="6"/>
        <v>381</v>
      </c>
      <c r="I57" s="1674">
        <f t="shared" si="6"/>
        <v>0</v>
      </c>
      <c r="J57" s="1674">
        <f t="shared" si="6"/>
        <v>0</v>
      </c>
      <c r="K57" s="1674">
        <f t="shared" si="6"/>
        <v>156727</v>
      </c>
      <c r="L57" s="1670">
        <f>SUM(L55:L56)</f>
        <v>163474</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18152</v>
      </c>
      <c r="D59" s="481">
        <v>22</v>
      </c>
      <c r="E59" s="481">
        <v>233</v>
      </c>
      <c r="F59" s="481"/>
      <c r="G59" s="481"/>
      <c r="H59" s="481"/>
      <c r="I59" s="467"/>
      <c r="J59" s="467"/>
      <c r="K59" s="1672">
        <f t="shared" ref="K59:K64" si="7">SUM(C59:J59)</f>
        <v>18407</v>
      </c>
      <c r="L59" s="481">
        <v>18374</v>
      </c>
      <c r="M59" s="609"/>
      <c r="N59" s="609"/>
    </row>
    <row r="60" spans="1:14" s="343" customFormat="1" x14ac:dyDescent="0.2">
      <c r="A60" s="1504" t="s">
        <v>463</v>
      </c>
      <c r="B60" s="614">
        <v>2520</v>
      </c>
      <c r="C60" s="466">
        <v>4611</v>
      </c>
      <c r="D60" s="466"/>
      <c r="E60" s="466"/>
      <c r="F60" s="466"/>
      <c r="G60" s="466"/>
      <c r="H60" s="466"/>
      <c r="I60" s="467"/>
      <c r="J60" s="467"/>
      <c r="K60" s="1672">
        <f t="shared" si="7"/>
        <v>4611</v>
      </c>
      <c r="L60" s="466"/>
      <c r="M60" s="609"/>
      <c r="N60" s="609"/>
    </row>
    <row r="61" spans="1:14" s="343" customFormat="1" x14ac:dyDescent="0.2">
      <c r="A61" s="1504" t="s">
        <v>197</v>
      </c>
      <c r="B61" s="614">
        <v>2540</v>
      </c>
      <c r="C61" s="466">
        <v>168551</v>
      </c>
      <c r="D61" s="466">
        <v>23460</v>
      </c>
      <c r="E61" s="466">
        <v>40181</v>
      </c>
      <c r="F61" s="466">
        <v>157506</v>
      </c>
      <c r="G61" s="466">
        <v>698</v>
      </c>
      <c r="H61" s="466"/>
      <c r="I61" s="467"/>
      <c r="J61" s="467"/>
      <c r="K61" s="1672">
        <f t="shared" si="7"/>
        <v>390396</v>
      </c>
      <c r="L61" s="466">
        <v>370946</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90987</v>
      </c>
      <c r="D63" s="466">
        <v>5179</v>
      </c>
      <c r="E63" s="466">
        <v>6766</v>
      </c>
      <c r="F63" s="466">
        <v>171391</v>
      </c>
      <c r="G63" s="466">
        <v>1218</v>
      </c>
      <c r="H63" s="466"/>
      <c r="I63" s="467"/>
      <c r="J63" s="467"/>
      <c r="K63" s="1672">
        <f t="shared" si="7"/>
        <v>275541</v>
      </c>
      <c r="L63" s="466">
        <v>301770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282301</v>
      </c>
      <c r="D65" s="1670">
        <f t="shared" ref="D65:L65" si="8">SUM(D59:D64)</f>
        <v>28661</v>
      </c>
      <c r="E65" s="1670">
        <f t="shared" si="8"/>
        <v>47180</v>
      </c>
      <c r="F65" s="1670">
        <f t="shared" si="8"/>
        <v>328897</v>
      </c>
      <c r="G65" s="1670">
        <f t="shared" si="8"/>
        <v>1916</v>
      </c>
      <c r="H65" s="1670">
        <f t="shared" si="8"/>
        <v>0</v>
      </c>
      <c r="I65" s="1670">
        <f t="shared" si="8"/>
        <v>0</v>
      </c>
      <c r="J65" s="1670">
        <f t="shared" si="8"/>
        <v>0</v>
      </c>
      <c r="K65" s="1670">
        <f t="shared" si="8"/>
        <v>688955</v>
      </c>
      <c r="L65" s="1670">
        <f t="shared" si="8"/>
        <v>691090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v>2500</v>
      </c>
      <c r="D68" s="466"/>
      <c r="E68" s="466">
        <v>500</v>
      </c>
      <c r="F68" s="466"/>
      <c r="G68" s="466"/>
      <c r="H68" s="466"/>
      <c r="I68" s="467"/>
      <c r="J68" s="467"/>
      <c r="K68" s="1672">
        <f>SUM(C68:J68)</f>
        <v>3000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2500</v>
      </c>
      <c r="D72" s="1670">
        <f t="shared" ref="D72:K72" si="9">SUM(D67:D71)</f>
        <v>0</v>
      </c>
      <c r="E72" s="1670">
        <f t="shared" si="9"/>
        <v>500</v>
      </c>
      <c r="F72" s="1670">
        <f t="shared" si="9"/>
        <v>0</v>
      </c>
      <c r="G72" s="1670">
        <f t="shared" si="9"/>
        <v>0</v>
      </c>
      <c r="H72" s="1670">
        <f t="shared" si="9"/>
        <v>0</v>
      </c>
      <c r="I72" s="1670">
        <f t="shared" si="9"/>
        <v>0</v>
      </c>
      <c r="J72" s="1670">
        <f t="shared" si="9"/>
        <v>0</v>
      </c>
      <c r="K72" s="1670">
        <f t="shared" si="9"/>
        <v>3000</v>
      </c>
      <c r="L72" s="1670">
        <f>SUM(L67:L71)</f>
        <v>0</v>
      </c>
      <c r="M72" s="609"/>
      <c r="N72" s="609"/>
    </row>
    <row r="73" spans="1:14" s="343" customFormat="1" ht="14.25" thickTop="1" thickBot="1" x14ac:dyDescent="0.25">
      <c r="A73" s="1510" t="s">
        <v>980</v>
      </c>
      <c r="B73" s="632" t="s">
        <v>574</v>
      </c>
      <c r="C73" s="573">
        <v>8000</v>
      </c>
      <c r="D73" s="573"/>
      <c r="E73" s="573"/>
      <c r="F73" s="573">
        <v>4740</v>
      </c>
      <c r="G73" s="573">
        <v>5375</v>
      </c>
      <c r="H73" s="573"/>
      <c r="I73" s="531"/>
      <c r="J73" s="531"/>
      <c r="K73" s="1670">
        <f>SUM(C73:J73)</f>
        <v>18115</v>
      </c>
      <c r="L73" s="576"/>
      <c r="M73" s="609"/>
      <c r="N73" s="609"/>
    </row>
    <row r="74" spans="1:14" ht="12.75" customHeight="1" thickTop="1" thickBot="1" x14ac:dyDescent="0.25">
      <c r="A74" s="1668" t="s">
        <v>811</v>
      </c>
      <c r="B74" s="1676">
        <v>2000</v>
      </c>
      <c r="C74" s="1677">
        <f>SUM(C42,C47,C53,C57,C65,C72,C73)</f>
        <v>909097</v>
      </c>
      <c r="D74" s="1677">
        <f t="shared" ref="D74:K74" si="10">SUM(D42,D47,D53,D57,D65,D72,D73)</f>
        <v>97341</v>
      </c>
      <c r="E74" s="1677">
        <f t="shared" si="10"/>
        <v>164138</v>
      </c>
      <c r="F74" s="1677">
        <f t="shared" si="10"/>
        <v>375463</v>
      </c>
      <c r="G74" s="1677">
        <f t="shared" si="10"/>
        <v>40341</v>
      </c>
      <c r="H74" s="1677">
        <f t="shared" si="10"/>
        <v>13891</v>
      </c>
      <c r="I74" s="1677">
        <f t="shared" si="10"/>
        <v>0</v>
      </c>
      <c r="J74" s="1677">
        <f t="shared" si="10"/>
        <v>0</v>
      </c>
      <c r="K74" s="1677">
        <f t="shared" si="10"/>
        <v>1600271</v>
      </c>
      <c r="L74" s="1677">
        <f>SUM(L42,L47,L53,L57,L65,L72,L73)</f>
        <v>1447484</v>
      </c>
    </row>
    <row r="75" spans="1:14" s="259" customFormat="1" ht="15.75" customHeight="1" thickTop="1" thickBot="1" x14ac:dyDescent="0.25">
      <c r="A75" s="1610" t="s">
        <v>47</v>
      </c>
      <c r="B75" s="1611" t="s">
        <v>575</v>
      </c>
      <c r="C75" s="573">
        <v>49435</v>
      </c>
      <c r="D75" s="573">
        <v>10248</v>
      </c>
      <c r="E75" s="573">
        <v>100</v>
      </c>
      <c r="F75" s="573">
        <v>500</v>
      </c>
      <c r="G75" s="573"/>
      <c r="H75" s="573"/>
      <c r="I75" s="531"/>
      <c r="J75" s="531"/>
      <c r="K75" s="1670">
        <f>SUM(C75:J75)</f>
        <v>60283</v>
      </c>
      <c r="L75" s="576">
        <v>59407</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98322</v>
      </c>
      <c r="I79" s="477"/>
      <c r="J79" s="477"/>
      <c r="K79" s="1671">
        <f t="shared" si="11"/>
        <v>98322</v>
      </c>
      <c r="L79" s="466">
        <v>94000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41674</v>
      </c>
      <c r="I81" s="477"/>
      <c r="J81" s="477"/>
      <c r="K81" s="1671">
        <f t="shared" si="11"/>
        <v>41674</v>
      </c>
      <c r="L81" s="466">
        <v>41700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v>24000</v>
      </c>
      <c r="F83" s="616"/>
      <c r="G83" s="616"/>
      <c r="H83" s="466">
        <v>728</v>
      </c>
      <c r="I83" s="477"/>
      <c r="J83" s="477"/>
      <c r="K83" s="1671">
        <f t="shared" si="11"/>
        <v>24728</v>
      </c>
      <c r="L83" s="466"/>
    </row>
    <row r="84" spans="1:12" ht="13.5" thickBot="1" x14ac:dyDescent="0.25">
      <c r="A84" s="1668" t="s">
        <v>1485</v>
      </c>
      <c r="B84" s="1678">
        <v>4100</v>
      </c>
      <c r="C84" s="616"/>
      <c r="D84" s="616"/>
      <c r="E84" s="1670">
        <f>SUM(E78:E83)</f>
        <v>24000</v>
      </c>
      <c r="F84" s="616"/>
      <c r="G84" s="616"/>
      <c r="H84" s="1670">
        <f>SUM(H78:H83)</f>
        <v>140724</v>
      </c>
      <c r="I84" s="477"/>
      <c r="J84" s="477"/>
      <c r="K84" s="1670">
        <f>SUM(K78:K83)</f>
        <v>164724</v>
      </c>
      <c r="L84" s="1670">
        <f>SUM(L78:L83)</f>
        <v>135700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24000</v>
      </c>
      <c r="F102" s="616"/>
      <c r="G102" s="616"/>
      <c r="H102" s="1677">
        <f>SUM(H84,H92,H100,H101)</f>
        <v>140724</v>
      </c>
      <c r="I102" s="477"/>
      <c r="J102" s="477"/>
      <c r="K102" s="1677">
        <f>SUM(K84,K92,K100,K101)</f>
        <v>164724</v>
      </c>
      <c r="L102" s="1677">
        <f>SUM(L84,L92,L100,L101)</f>
        <v>135700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2994571</v>
      </c>
      <c r="D114" s="1670">
        <f t="shared" ref="D114:K114" si="13">SUM(D33,D74,D75,D102,D112,D113)</f>
        <v>372453</v>
      </c>
      <c r="E114" s="1670">
        <f t="shared" si="13"/>
        <v>237199</v>
      </c>
      <c r="F114" s="1670">
        <f t="shared" si="13"/>
        <v>623307</v>
      </c>
      <c r="G114" s="1670">
        <f t="shared" si="13"/>
        <v>67397</v>
      </c>
      <c r="H114" s="1670">
        <f>SUM(H33,H74,H75,H102,H112,H113)</f>
        <v>158987</v>
      </c>
      <c r="I114" s="1670">
        <f t="shared" si="13"/>
        <v>0</v>
      </c>
      <c r="J114" s="1670">
        <f t="shared" si="13"/>
        <v>0</v>
      </c>
      <c r="K114" s="1670">
        <f t="shared" si="13"/>
        <v>4453914</v>
      </c>
      <c r="L114" s="1670">
        <f>SUM(L33,L74,L75,L102,L112,L113)</f>
        <v>4566439</v>
      </c>
    </row>
    <row r="115" spans="1:14" ht="13.5" thickTop="1" x14ac:dyDescent="0.2">
      <c r="A115" s="2186" t="s">
        <v>996</v>
      </c>
      <c r="B115" s="2187"/>
      <c r="C115" s="618"/>
      <c r="D115" s="618"/>
      <c r="E115" s="618"/>
      <c r="F115" s="618"/>
      <c r="G115" s="618"/>
      <c r="H115" s="618"/>
      <c r="I115" s="618"/>
      <c r="J115" s="618"/>
      <c r="K115" s="1684">
        <f>'Revenues 9-14'!C268-'Expenditures 15-22'!K114</f>
        <v>271319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4" t="s">
        <v>296</v>
      </c>
      <c r="B117" s="2165"/>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2057</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v>57479</v>
      </c>
      <c r="F124" s="466">
        <v>14003</v>
      </c>
      <c r="G124" s="466">
        <v>19200</v>
      </c>
      <c r="H124" s="466"/>
      <c r="I124" s="467"/>
      <c r="J124" s="467"/>
      <c r="K124" s="1670">
        <f>SUM(C124:J124)</f>
        <v>90682</v>
      </c>
      <c r="L124" s="466">
        <v>117900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57479</v>
      </c>
      <c r="F127" s="1670">
        <f t="shared" si="14"/>
        <v>14003</v>
      </c>
      <c r="G127" s="1670">
        <f t="shared" si="14"/>
        <v>19200</v>
      </c>
      <c r="H127" s="1670">
        <f t="shared" si="14"/>
        <v>0</v>
      </c>
      <c r="I127" s="1670">
        <f t="shared" si="14"/>
        <v>0</v>
      </c>
      <c r="J127" s="1670">
        <f t="shared" si="14"/>
        <v>0</v>
      </c>
      <c r="K127" s="1670">
        <f t="shared" si="14"/>
        <v>90682</v>
      </c>
      <c r="L127" s="1670">
        <f t="shared" si="14"/>
        <v>117900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57479</v>
      </c>
      <c r="F129" s="1677">
        <f t="shared" si="15"/>
        <v>14003</v>
      </c>
      <c r="G129" s="1677">
        <f t="shared" si="15"/>
        <v>19200</v>
      </c>
      <c r="H129" s="1677">
        <f t="shared" si="15"/>
        <v>0</v>
      </c>
      <c r="I129" s="1677">
        <f t="shared" si="15"/>
        <v>0</v>
      </c>
      <c r="J129" s="1677">
        <f t="shared" si="15"/>
        <v>0</v>
      </c>
      <c r="K129" s="1677">
        <f t="shared" si="15"/>
        <v>90682</v>
      </c>
      <c r="L129" s="1677">
        <f t="shared" si="15"/>
        <v>117900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6" t="s">
        <v>620</v>
      </c>
      <c r="B151" s="2158"/>
      <c r="C151" s="1670">
        <f>SUM(C129,C130,C139,C149,C150)</f>
        <v>0</v>
      </c>
      <c r="D151" s="1670">
        <f t="shared" ref="D151:K151" si="16">SUM(D129,D130,D139,D149,D150)</f>
        <v>0</v>
      </c>
      <c r="E151" s="1670">
        <f t="shared" si="16"/>
        <v>57479</v>
      </c>
      <c r="F151" s="1670">
        <f t="shared" si="16"/>
        <v>14003</v>
      </c>
      <c r="G151" s="1670">
        <f t="shared" si="16"/>
        <v>19200</v>
      </c>
      <c r="H151" s="1670">
        <f t="shared" si="16"/>
        <v>0</v>
      </c>
      <c r="I151" s="1670">
        <f t="shared" si="16"/>
        <v>0</v>
      </c>
      <c r="J151" s="1670">
        <f t="shared" si="16"/>
        <v>0</v>
      </c>
      <c r="K151" s="1670">
        <f t="shared" si="16"/>
        <v>90682</v>
      </c>
      <c r="L151" s="1670">
        <f>SUM(L129,L130,L139,L149,L150)</f>
        <v>117900</v>
      </c>
    </row>
    <row r="152" spans="1:14" ht="12.75" customHeight="1" thickTop="1" x14ac:dyDescent="0.2">
      <c r="A152" s="2179" t="s">
        <v>1178</v>
      </c>
      <c r="B152" s="2180"/>
      <c r="C152" s="618"/>
      <c r="D152" s="618"/>
      <c r="E152" s="618"/>
      <c r="F152" s="618"/>
      <c r="G152" s="618"/>
      <c r="H152" s="618"/>
      <c r="I152" s="618"/>
      <c r="J152" s="616"/>
      <c r="K152" s="1684">
        <f>'Revenues 9-14'!D268-'Expenditures 15-22'!K151</f>
        <v>27979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4" t="s">
        <v>621</v>
      </c>
      <c r="B154" s="2166"/>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1844</v>
      </c>
      <c r="C158" s="616"/>
      <c r="D158" s="616"/>
      <c r="E158" s="616"/>
      <c r="F158" s="616"/>
      <c r="G158" s="616"/>
      <c r="H158" s="467"/>
      <c r="I158" s="616"/>
      <c r="J158" s="616"/>
      <c r="K158" s="1671">
        <f>H158</f>
        <v>0</v>
      </c>
      <c r="L158" s="467"/>
      <c r="M158" s="619"/>
      <c r="N158" s="619"/>
    </row>
    <row r="159" spans="1:14" s="620" customFormat="1" ht="12" x14ac:dyDescent="0.2">
      <c r="A159" s="1826" t="s">
        <v>1845</v>
      </c>
      <c r="B159" s="1827" t="s">
        <v>558</v>
      </c>
      <c r="C159" s="616"/>
      <c r="D159" s="616"/>
      <c r="E159" s="616"/>
      <c r="F159" s="616"/>
      <c r="G159" s="616"/>
      <c r="H159" s="467"/>
      <c r="I159" s="616"/>
      <c r="J159" s="616"/>
      <c r="K159" s="1671">
        <f>H159</f>
        <v>0</v>
      </c>
      <c r="L159" s="467">
        <v>26830</v>
      </c>
      <c r="M159" s="619"/>
      <c r="N159" s="619"/>
    </row>
    <row r="160" spans="1:14" s="620" customFormat="1" ht="15.75" customHeight="1" thickBot="1" x14ac:dyDescent="0.25">
      <c r="A160" s="1828" t="s">
        <v>1846</v>
      </c>
      <c r="B160" s="1829" t="s">
        <v>860</v>
      </c>
      <c r="C160" s="616"/>
      <c r="D160" s="616"/>
      <c r="E160" s="616"/>
      <c r="F160" s="616"/>
      <c r="G160" s="616"/>
      <c r="H160" s="1688">
        <f>SUM(H157:H159)</f>
        <v>0</v>
      </c>
      <c r="I160" s="616"/>
      <c r="J160" s="616"/>
      <c r="K160" s="1670">
        <f>SUM(K157:K159)</f>
        <v>0</v>
      </c>
      <c r="L160" s="1688">
        <f>SUM(L157:L159)</f>
        <v>26830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6228</v>
      </c>
      <c r="I169" s="616"/>
      <c r="J169" s="616"/>
      <c r="K169" s="1671">
        <f>SUM(C169:H169)</f>
        <v>6228</v>
      </c>
      <c r="L169" s="656"/>
    </row>
    <row r="170" spans="1:14" ht="33.75" customHeight="1" x14ac:dyDescent="0.2">
      <c r="A170" s="669" t="s">
        <v>1670</v>
      </c>
      <c r="B170" s="671" t="s">
        <v>31</v>
      </c>
      <c r="C170" s="616"/>
      <c r="D170" s="616"/>
      <c r="E170" s="616"/>
      <c r="F170" s="616"/>
      <c r="G170" s="616"/>
      <c r="H170" s="569">
        <v>18000</v>
      </c>
      <c r="I170" s="616"/>
      <c r="J170" s="616"/>
      <c r="K170" s="1671">
        <f>SUM(C170:J170)</f>
        <v>18000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24228</v>
      </c>
      <c r="I172" s="638"/>
      <c r="J172" s="616"/>
      <c r="K172" s="1677">
        <f>SUM(K168,K169,K170,K171)</f>
        <v>24228</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24228</v>
      </c>
      <c r="I174" s="638"/>
      <c r="J174" s="616"/>
      <c r="K174" s="1677">
        <f>SUM(K160,K172,K173)</f>
        <v>24228</v>
      </c>
      <c r="L174" s="1677">
        <f>SUM(L160,L172,L173)</f>
        <v>26830</v>
      </c>
    </row>
    <row r="175" spans="1:14" ht="13.5" thickTop="1" x14ac:dyDescent="0.2">
      <c r="A175" s="2186" t="s">
        <v>996</v>
      </c>
      <c r="B175" s="2187"/>
      <c r="C175" s="616"/>
      <c r="D175" s="616"/>
      <c r="E175" s="616"/>
      <c r="F175" s="616"/>
      <c r="G175" s="616"/>
      <c r="H175" s="618"/>
      <c r="I175" s="616"/>
      <c r="J175" s="616"/>
      <c r="K175" s="1684">
        <f>'Revenues 9-14'!E268-'Expenditures 15-22'!K174</f>
        <v>-24013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2057</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8345</v>
      </c>
      <c r="D182" s="466">
        <v>125</v>
      </c>
      <c r="E182" s="466">
        <v>263912</v>
      </c>
      <c r="F182" s="466">
        <v>1220</v>
      </c>
      <c r="G182" s="466"/>
      <c r="H182" s="466"/>
      <c r="I182" s="467"/>
      <c r="J182" s="467"/>
      <c r="K182" s="1671">
        <f>SUM(C182:J182)</f>
        <v>273602</v>
      </c>
      <c r="L182" s="466">
        <v>274853</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8345</v>
      </c>
      <c r="D184" s="1677">
        <f t="shared" ref="D184:J184" si="17">SUM(D180,D182,D183)</f>
        <v>125</v>
      </c>
      <c r="E184" s="1677">
        <f t="shared" si="17"/>
        <v>263912</v>
      </c>
      <c r="F184" s="1677">
        <f t="shared" si="17"/>
        <v>1220</v>
      </c>
      <c r="G184" s="1677">
        <f t="shared" si="17"/>
        <v>0</v>
      </c>
      <c r="H184" s="1677">
        <f t="shared" si="17"/>
        <v>0</v>
      </c>
      <c r="I184" s="1677">
        <f t="shared" si="17"/>
        <v>0</v>
      </c>
      <c r="J184" s="1677">
        <f t="shared" si="17"/>
        <v>0</v>
      </c>
      <c r="K184" s="1677">
        <f>SUM(K180,K182,K183)</f>
        <v>273602</v>
      </c>
      <c r="L184" s="1677">
        <f>SUM(L180, L182:L183)</f>
        <v>274853</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8345</v>
      </c>
      <c r="D210" s="1670">
        <f>SUM(D184,D185)</f>
        <v>125</v>
      </c>
      <c r="E210" s="1670">
        <f>SUM(E184,E185,E196)</f>
        <v>263912</v>
      </c>
      <c r="F210" s="1670">
        <f>SUM(F184,F185)</f>
        <v>1220</v>
      </c>
      <c r="G210" s="1670">
        <f>SUM(G184,G185)</f>
        <v>0</v>
      </c>
      <c r="H210" s="1670">
        <f>SUM(H184,H185,H196,H208,H209)</f>
        <v>0</v>
      </c>
      <c r="I210" s="1670">
        <f>SUM(I184,I185)</f>
        <v>0</v>
      </c>
      <c r="J210" s="1670">
        <f>SUM(J184,J185)</f>
        <v>0</v>
      </c>
      <c r="K210" s="1671">
        <f>SUM(K184,K185,K196,K208,K209)</f>
        <v>273602</v>
      </c>
      <c r="L210" s="1670">
        <f>SUM(L184,L185,L196,L208,L209)</f>
        <v>274853</v>
      </c>
    </row>
    <row r="211" spans="1:14" ht="13.5" thickTop="1" x14ac:dyDescent="0.2">
      <c r="A211" s="2186" t="s">
        <v>996</v>
      </c>
      <c r="B211" s="2187"/>
      <c r="C211" s="618"/>
      <c r="D211" s="618"/>
      <c r="E211" s="618"/>
      <c r="F211" s="618"/>
      <c r="G211" s="618"/>
      <c r="H211" s="618"/>
      <c r="I211" s="616"/>
      <c r="J211" s="616"/>
      <c r="K211" s="1684">
        <f>'Revenues 9-14'!F268-'Expenditures 15-22'!K210</f>
        <v>4617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1" t="s">
        <v>965</v>
      </c>
      <c r="B213" s="2182"/>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19160</v>
      </c>
      <c r="E215" s="616"/>
      <c r="F215" s="616"/>
      <c r="G215" s="616"/>
      <c r="H215" s="616"/>
      <c r="I215" s="616"/>
      <c r="J215" s="616"/>
      <c r="K215" s="1671">
        <f>D215</f>
        <v>19160</v>
      </c>
      <c r="L215" s="466">
        <v>19031</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19622</v>
      </c>
      <c r="E217" s="616"/>
      <c r="F217" s="616"/>
      <c r="G217" s="616"/>
      <c r="H217" s="616"/>
      <c r="I217" s="616"/>
      <c r="J217" s="616"/>
      <c r="K217" s="1671">
        <f t="shared" si="19"/>
        <v>19622</v>
      </c>
      <c r="L217" s="466">
        <v>21801</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v>682</v>
      </c>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v>512</v>
      </c>
    </row>
    <row r="223" spans="1:14" x14ac:dyDescent="0.2">
      <c r="A223" s="1504" t="s">
        <v>963</v>
      </c>
      <c r="B223" s="614">
        <v>1500</v>
      </c>
      <c r="C223" s="616"/>
      <c r="D223" s="466">
        <v>2918</v>
      </c>
      <c r="E223" s="616"/>
      <c r="F223" s="616"/>
      <c r="G223" s="616"/>
      <c r="H223" s="616"/>
      <c r="I223" s="616"/>
      <c r="J223" s="616"/>
      <c r="K223" s="1671">
        <f t="shared" si="19"/>
        <v>2918</v>
      </c>
      <c r="L223" s="466">
        <v>2701</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41700</v>
      </c>
      <c r="E229" s="616"/>
      <c r="F229" s="616"/>
      <c r="G229" s="616"/>
      <c r="H229" s="616"/>
      <c r="I229" s="616"/>
      <c r="J229" s="616"/>
      <c r="K229" s="1670">
        <f>SUM(K215:K228)</f>
        <v>41700</v>
      </c>
      <c r="L229" s="1670">
        <f>SUM(L215:L228)</f>
        <v>44727</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4261</v>
      </c>
      <c r="E233" s="616"/>
      <c r="F233" s="616"/>
      <c r="G233" s="616"/>
      <c r="H233" s="616"/>
      <c r="I233" s="616"/>
      <c r="J233" s="616"/>
      <c r="K233" s="1671">
        <f t="shared" si="20"/>
        <v>4261</v>
      </c>
      <c r="L233" s="466">
        <v>4569</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606</v>
      </c>
      <c r="E236" s="616"/>
      <c r="F236" s="616"/>
      <c r="G236" s="616"/>
      <c r="H236" s="616"/>
      <c r="I236" s="616"/>
      <c r="J236" s="616"/>
      <c r="K236" s="1671">
        <f t="shared" si="20"/>
        <v>606</v>
      </c>
      <c r="L236" s="466">
        <v>639</v>
      </c>
    </row>
    <row r="237" spans="1:12" x14ac:dyDescent="0.2">
      <c r="A237" s="1504" t="s">
        <v>165</v>
      </c>
      <c r="B237" s="614">
        <v>2190</v>
      </c>
      <c r="C237" s="616"/>
      <c r="D237" s="466">
        <v>1760</v>
      </c>
      <c r="E237" s="616"/>
      <c r="F237" s="616"/>
      <c r="G237" s="616"/>
      <c r="H237" s="616"/>
      <c r="I237" s="616"/>
      <c r="J237" s="616"/>
      <c r="K237" s="1671">
        <f t="shared" si="20"/>
        <v>1760</v>
      </c>
      <c r="L237" s="466">
        <v>1761</v>
      </c>
    </row>
    <row r="238" spans="1:12" ht="12.75" customHeight="1" thickBot="1" x14ac:dyDescent="0.25">
      <c r="A238" s="1668" t="s">
        <v>560</v>
      </c>
      <c r="B238" s="1675" t="s">
        <v>716</v>
      </c>
      <c r="C238" s="616"/>
      <c r="D238" s="1670">
        <f>SUM(D232:D237)</f>
        <v>6627</v>
      </c>
      <c r="E238" s="616"/>
      <c r="F238" s="616"/>
      <c r="G238" s="616"/>
      <c r="H238" s="616"/>
      <c r="I238" s="616"/>
      <c r="J238" s="616"/>
      <c r="K238" s="1670">
        <f>SUM(K232:K237)</f>
        <v>6627</v>
      </c>
      <c r="L238" s="1670">
        <f>SUM(L232:L237)</f>
        <v>6969</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1004</v>
      </c>
      <c r="E240" s="616"/>
      <c r="F240" s="616"/>
      <c r="G240" s="616"/>
      <c r="H240" s="616"/>
      <c r="I240" s="616"/>
      <c r="J240" s="616"/>
      <c r="K240" s="1672">
        <f>D240</f>
        <v>1004</v>
      </c>
      <c r="L240" s="481"/>
    </row>
    <row r="241" spans="1:12" x14ac:dyDescent="0.2">
      <c r="A241" s="1504" t="s">
        <v>815</v>
      </c>
      <c r="B241" s="614">
        <v>2220</v>
      </c>
      <c r="C241" s="616"/>
      <c r="D241" s="466"/>
      <c r="E241" s="616"/>
      <c r="F241" s="616"/>
      <c r="G241" s="616"/>
      <c r="H241" s="616"/>
      <c r="I241" s="616"/>
      <c r="J241" s="616"/>
      <c r="K241" s="1672">
        <f>D241</f>
        <v>0</v>
      </c>
      <c r="L241" s="466">
        <v>138</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1004</v>
      </c>
      <c r="E243" s="616"/>
      <c r="F243" s="616"/>
      <c r="G243" s="616"/>
      <c r="H243" s="616"/>
      <c r="I243" s="616"/>
      <c r="J243" s="616"/>
      <c r="K243" s="1670">
        <f>SUM(K240:K242)</f>
        <v>1004</v>
      </c>
      <c r="L243" s="1670">
        <f>SUM(L240:L242)</f>
        <v>138</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559</v>
      </c>
      <c r="E245" s="616"/>
      <c r="F245" s="616"/>
      <c r="G245" s="616"/>
      <c r="H245" s="616"/>
      <c r="I245" s="616"/>
      <c r="J245" s="616"/>
      <c r="K245" s="1672">
        <f>D245</f>
        <v>559</v>
      </c>
      <c r="L245" s="481">
        <v>560</v>
      </c>
    </row>
    <row r="246" spans="1:12" x14ac:dyDescent="0.2">
      <c r="A246" s="1504" t="s">
        <v>818</v>
      </c>
      <c r="B246" s="614">
        <v>2320</v>
      </c>
      <c r="C246" s="616"/>
      <c r="D246" s="466">
        <v>6481</v>
      </c>
      <c r="E246" s="616"/>
      <c r="F246" s="616"/>
      <c r="G246" s="616"/>
      <c r="H246" s="616"/>
      <c r="I246" s="616"/>
      <c r="J246" s="616"/>
      <c r="K246" s="1672">
        <f t="shared" ref="K246:K256" si="21">D246</f>
        <v>6481</v>
      </c>
      <c r="L246" s="466">
        <v>6206</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7040</v>
      </c>
      <c r="E257" s="616"/>
      <c r="F257" s="616"/>
      <c r="G257" s="616"/>
      <c r="H257" s="616"/>
      <c r="I257" s="616"/>
      <c r="J257" s="616"/>
      <c r="K257" s="1670">
        <f>SUM(K245:K256)</f>
        <v>7040</v>
      </c>
      <c r="L257" s="1670">
        <f>SUM(L245:L256)</f>
        <v>6766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5219</v>
      </c>
      <c r="E259" s="616"/>
      <c r="F259" s="616"/>
      <c r="G259" s="616"/>
      <c r="H259" s="616"/>
      <c r="I259" s="616"/>
      <c r="J259" s="616"/>
      <c r="K259" s="1672">
        <f>D259</f>
        <v>5219</v>
      </c>
      <c r="L259" s="481">
        <v>5725</v>
      </c>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5219</v>
      </c>
      <c r="E261" s="616"/>
      <c r="F261" s="616"/>
      <c r="G261" s="616"/>
      <c r="H261" s="616"/>
      <c r="I261" s="616"/>
      <c r="J261" s="616"/>
      <c r="K261" s="1670">
        <f>SUM(K259:K260)</f>
        <v>5219</v>
      </c>
      <c r="L261" s="1670">
        <f>SUM(L259:L260)</f>
        <v>5725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2359</v>
      </c>
      <c r="E263" s="616"/>
      <c r="F263" s="616"/>
      <c r="G263" s="616"/>
      <c r="H263" s="616"/>
      <c r="I263" s="616"/>
      <c r="J263" s="616"/>
      <c r="K263" s="1672">
        <f>D263</f>
        <v>2359</v>
      </c>
      <c r="L263" s="481">
        <v>2378</v>
      </c>
    </row>
    <row r="264" spans="1:14" x14ac:dyDescent="0.2">
      <c r="A264" s="1504" t="s">
        <v>463</v>
      </c>
      <c r="B264" s="685">
        <v>2520</v>
      </c>
      <c r="C264" s="616"/>
      <c r="D264" s="466">
        <v>582</v>
      </c>
      <c r="E264" s="616"/>
      <c r="F264" s="616"/>
      <c r="G264" s="616"/>
      <c r="H264" s="616"/>
      <c r="I264" s="616"/>
      <c r="J264" s="616"/>
      <c r="K264" s="1672">
        <f t="shared" ref="K264:K269" si="22">D264</f>
        <v>582</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19288</v>
      </c>
      <c r="E266" s="616"/>
      <c r="F266" s="616"/>
      <c r="G266" s="616"/>
      <c r="H266" s="616"/>
      <c r="I266" s="616"/>
      <c r="J266" s="616"/>
      <c r="K266" s="1672">
        <f t="shared" si="22"/>
        <v>19288</v>
      </c>
      <c r="L266" s="466">
        <v>20524</v>
      </c>
    </row>
    <row r="267" spans="1:14" x14ac:dyDescent="0.2">
      <c r="A267" s="1504" t="s">
        <v>953</v>
      </c>
      <c r="B267" s="614">
        <v>2550</v>
      </c>
      <c r="C267" s="616"/>
      <c r="D267" s="466">
        <v>121</v>
      </c>
      <c r="E267" s="616"/>
      <c r="F267" s="616"/>
      <c r="G267" s="616"/>
      <c r="H267" s="616"/>
      <c r="I267" s="616"/>
      <c r="J267" s="616"/>
      <c r="K267" s="1672">
        <f t="shared" si="22"/>
        <v>121</v>
      </c>
      <c r="L267" s="466">
        <v>121</v>
      </c>
    </row>
    <row r="268" spans="1:14" x14ac:dyDescent="0.2">
      <c r="A268" s="1504" t="s">
        <v>100</v>
      </c>
      <c r="B268" s="614">
        <v>2560</v>
      </c>
      <c r="C268" s="616"/>
      <c r="D268" s="466">
        <v>11035</v>
      </c>
      <c r="E268" s="616"/>
      <c r="F268" s="616"/>
      <c r="G268" s="616"/>
      <c r="H268" s="616"/>
      <c r="I268" s="616"/>
      <c r="J268" s="616"/>
      <c r="K268" s="1672">
        <f t="shared" si="22"/>
        <v>11035</v>
      </c>
      <c r="L268" s="466">
        <v>11937</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33385</v>
      </c>
      <c r="E270" s="616"/>
      <c r="F270" s="616"/>
      <c r="G270" s="616"/>
      <c r="H270" s="616"/>
      <c r="I270" s="616"/>
      <c r="J270" s="616"/>
      <c r="K270" s="1670">
        <f>SUM(K263:K269)</f>
        <v>33385</v>
      </c>
      <c r="L270" s="1670">
        <f>SUM(L263:L269)</f>
        <v>34960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v>243</v>
      </c>
      <c r="E276" s="616"/>
      <c r="F276" s="616"/>
      <c r="G276" s="616"/>
      <c r="H276" s="616"/>
      <c r="I276" s="616"/>
      <c r="J276" s="616"/>
      <c r="K276" s="1672">
        <f>D276</f>
        <v>243</v>
      </c>
      <c r="L276" s="466"/>
    </row>
    <row r="277" spans="1:12" ht="12.75" customHeight="1" thickBot="1" x14ac:dyDescent="0.25">
      <c r="A277" s="1691" t="s">
        <v>37</v>
      </c>
      <c r="B277" s="1669" t="s">
        <v>36</v>
      </c>
      <c r="C277" s="616"/>
      <c r="D277" s="1670">
        <f>SUM(D272:D276)</f>
        <v>243</v>
      </c>
      <c r="E277" s="616"/>
      <c r="F277" s="616"/>
      <c r="G277" s="616"/>
      <c r="H277" s="616"/>
      <c r="I277" s="616"/>
      <c r="J277" s="616"/>
      <c r="K277" s="1670">
        <f>SUM(K272:K276)</f>
        <v>243</v>
      </c>
      <c r="L277" s="1670">
        <f>SUM(L272:L276)</f>
        <v>0</v>
      </c>
    </row>
    <row r="278" spans="1:12" ht="13.5" customHeight="1" thickTop="1" x14ac:dyDescent="0.2">
      <c r="A278" s="1510" t="s">
        <v>980</v>
      </c>
      <c r="B278" s="655" t="s">
        <v>574</v>
      </c>
      <c r="C278" s="616"/>
      <c r="D278" s="656">
        <v>188</v>
      </c>
      <c r="E278" s="616"/>
      <c r="F278" s="616"/>
      <c r="G278" s="616"/>
      <c r="H278" s="616"/>
      <c r="I278" s="616"/>
      <c r="J278" s="616"/>
      <c r="K278" s="1685">
        <f>D278</f>
        <v>188</v>
      </c>
      <c r="L278" s="656"/>
    </row>
    <row r="279" spans="1:12" ht="12.75" customHeight="1" thickBot="1" x14ac:dyDescent="0.25">
      <c r="A279" s="1698" t="s">
        <v>811</v>
      </c>
      <c r="B279" s="1681">
        <v>2000</v>
      </c>
      <c r="C279" s="616"/>
      <c r="D279" s="1677">
        <f>SUM(D238,D243,D257,D261,D270,D277,D278)</f>
        <v>53706</v>
      </c>
      <c r="E279" s="616"/>
      <c r="F279" s="616"/>
      <c r="G279" s="616"/>
      <c r="H279" s="616"/>
      <c r="I279" s="616"/>
      <c r="J279" s="616"/>
      <c r="K279" s="1677">
        <f>SUM(K238,K243,K257,K261,K270,K277,K278)</f>
        <v>53706</v>
      </c>
      <c r="L279" s="1677">
        <f>SUM(L238,L243,L257,L261,L270,L277,L278)</f>
        <v>54558</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7" t="s">
        <v>505</v>
      </c>
      <c r="B295" s="2178"/>
      <c r="C295" s="616"/>
      <c r="D295" s="1670">
        <f>SUM(D229,D279,D280,D285)</f>
        <v>95406</v>
      </c>
      <c r="E295" s="616"/>
      <c r="F295" s="616"/>
      <c r="G295" s="616"/>
      <c r="H295" s="1670">
        <f>H293</f>
        <v>0</v>
      </c>
      <c r="I295" s="616"/>
      <c r="J295" s="616"/>
      <c r="K295" s="1670">
        <f>SUM(K229,K279,K280,K285,K293,K294)</f>
        <v>95406</v>
      </c>
      <c r="L295" s="1670">
        <f>SUM(L229,L279,L280,L285,L293,L294)</f>
        <v>99285</v>
      </c>
    </row>
    <row r="296" spans="1:14" ht="13.5" thickTop="1" x14ac:dyDescent="0.2">
      <c r="A296" s="2186" t="s">
        <v>996</v>
      </c>
      <c r="B296" s="2187"/>
      <c r="C296" s="616"/>
      <c r="D296" s="618"/>
      <c r="E296" s="616"/>
      <c r="F296" s="616"/>
      <c r="G296" s="616"/>
      <c r="H296" s="687"/>
      <c r="I296" s="616"/>
      <c r="J296" s="616"/>
      <c r="K296" s="1684">
        <f>'Revenues 9-14'!G268-'Expenditures 15-22'!K295</f>
        <v>8735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9" t="s">
        <v>143</v>
      </c>
      <c r="B298" s="2163"/>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95301</v>
      </c>
      <c r="H301" s="466"/>
      <c r="I301" s="467"/>
      <c r="J301" s="467"/>
      <c r="K301" s="1671">
        <f>SUM(C301:J301)</f>
        <v>95301</v>
      </c>
      <c r="L301" s="467">
        <v>166000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95301</v>
      </c>
      <c r="H303" s="1677">
        <f t="shared" si="23"/>
        <v>0</v>
      </c>
      <c r="I303" s="1677">
        <f t="shared" si="23"/>
        <v>0</v>
      </c>
      <c r="J303" s="1677">
        <f t="shared" si="23"/>
        <v>0</v>
      </c>
      <c r="K303" s="1677">
        <f t="shared" si="23"/>
        <v>95301</v>
      </c>
      <c r="L303" s="1677">
        <f t="shared" si="23"/>
        <v>166000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4" t="s">
        <v>277</v>
      </c>
      <c r="B312" s="2175"/>
      <c r="C312" s="1670">
        <f>SUM(C303)</f>
        <v>0</v>
      </c>
      <c r="D312" s="1670">
        <f>SUM(D303)</f>
        <v>0</v>
      </c>
      <c r="E312" s="1670">
        <f>SUM(E303,E310)</f>
        <v>0</v>
      </c>
      <c r="F312" s="1670">
        <f>SUM(F303)</f>
        <v>0</v>
      </c>
      <c r="G312" s="1670">
        <f>SUM(G303)</f>
        <v>95301</v>
      </c>
      <c r="H312" s="1670">
        <f>SUM(H303,H310)</f>
        <v>0</v>
      </c>
      <c r="I312" s="1670">
        <f>SUM(I303)</f>
        <v>0</v>
      </c>
      <c r="J312" s="1670">
        <f>SUM(J303)</f>
        <v>0</v>
      </c>
      <c r="K312" s="1670">
        <f>SUM(K303,K310,K311)</f>
        <v>95301</v>
      </c>
      <c r="L312" s="1670">
        <f>SUM(L303,L310,L311)</f>
        <v>166000</v>
      </c>
      <c r="M312" s="665"/>
      <c r="N312" s="665"/>
    </row>
    <row r="313" spans="1:14" ht="13.5" thickTop="1" x14ac:dyDescent="0.2">
      <c r="A313" s="2170" t="s">
        <v>996</v>
      </c>
      <c r="B313" s="2171"/>
      <c r="C313" s="626"/>
      <c r="D313" s="626"/>
      <c r="E313" s="626"/>
      <c r="F313" s="626"/>
      <c r="G313" s="626"/>
      <c r="H313" s="626"/>
      <c r="I313" s="626"/>
      <c r="J313" s="626"/>
      <c r="K313" s="1685">
        <f>'Revenues 9-14'!H268-'Expenditures 15-22'!K312</f>
        <v>70699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3" t="s">
        <v>149</v>
      </c>
      <c r="B315" s="2184"/>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5" t="s">
        <v>898</v>
      </c>
      <c r="B317" s="2184"/>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27839</v>
      </c>
      <c r="F322" s="467"/>
      <c r="G322" s="467"/>
      <c r="H322" s="467"/>
      <c r="I322" s="467"/>
      <c r="J322" s="467"/>
      <c r="K322" s="1671">
        <f t="shared" si="24"/>
        <v>27839</v>
      </c>
      <c r="L322" s="467">
        <v>27839</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27839</v>
      </c>
      <c r="F330" s="1670">
        <f t="shared" si="25"/>
        <v>0</v>
      </c>
      <c r="G330" s="1670">
        <f t="shared" si="25"/>
        <v>0</v>
      </c>
      <c r="H330" s="1670">
        <f t="shared" si="25"/>
        <v>0</v>
      </c>
      <c r="I330" s="1670">
        <f t="shared" si="25"/>
        <v>0</v>
      </c>
      <c r="J330" s="1670">
        <f t="shared" si="25"/>
        <v>0</v>
      </c>
      <c r="K330" s="1670">
        <f>SUM(K319:K329)</f>
        <v>27839</v>
      </c>
      <c r="L330" s="1670">
        <f>SUM(L319:L329)</f>
        <v>27839</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1844</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27839</v>
      </c>
      <c r="F342" s="1670">
        <f>SUM(F330)</f>
        <v>0</v>
      </c>
      <c r="G342" s="1670">
        <f>SUM(G330)</f>
        <v>0</v>
      </c>
      <c r="H342" s="1670">
        <f>SUM(H330,H334,H340)</f>
        <v>0</v>
      </c>
      <c r="I342" s="1670">
        <f>SUM(I330)</f>
        <v>0</v>
      </c>
      <c r="J342" s="1670">
        <f>SUM(J330)</f>
        <v>0</v>
      </c>
      <c r="K342" s="1670">
        <f>SUM(K330,K334,K340)</f>
        <v>27839</v>
      </c>
      <c r="L342" s="1677">
        <f>SUM(L330,L340,L341)</f>
        <v>27839</v>
      </c>
    </row>
    <row r="343" spans="1:14" ht="12.75" customHeight="1" thickTop="1" x14ac:dyDescent="0.2">
      <c r="A343" s="2172" t="s">
        <v>996</v>
      </c>
      <c r="B343" s="2173"/>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2" t="s">
        <v>966</v>
      </c>
      <c r="B345" s="2163"/>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c r="I354" s="701"/>
      <c r="J354" s="616"/>
      <c r="K354" s="1699">
        <f>H354</f>
        <v>0</v>
      </c>
      <c r="L354" s="471"/>
    </row>
    <row r="355" spans="1:14" ht="12.75" customHeight="1" x14ac:dyDescent="0.2">
      <c r="A355" s="1513" t="s">
        <v>1851</v>
      </c>
      <c r="B355" s="690" t="s">
        <v>1844</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6" t="s">
        <v>996</v>
      </c>
      <c r="B368" s="2187"/>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orizontalCentered="1" headings="1" gridLinesSet="0"/>
  <pageMargins left="0.1" right="0.2" top="1.1100000000000001" bottom="0.5" header="0.53" footer="0.35"/>
  <pageSetup scale="65"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8" t="s">
        <v>1799</v>
      </c>
      <c r="B2" s="1528" t="s">
        <v>1948</v>
      </c>
      <c r="C2" s="714" t="s">
        <v>1949</v>
      </c>
      <c r="D2" s="714" t="s">
        <v>1950</v>
      </c>
      <c r="E2" s="714" t="s">
        <v>1951</v>
      </c>
      <c r="F2" s="714" t="s">
        <v>1952</v>
      </c>
    </row>
    <row r="3" spans="1:6" ht="12" customHeight="1" x14ac:dyDescent="0.2">
      <c r="A3" s="2189"/>
      <c r="B3" s="1525"/>
      <c r="C3" s="1526"/>
      <c r="D3" s="1527" t="s">
        <v>256</v>
      </c>
      <c r="E3" s="1526"/>
      <c r="F3" s="1527" t="s">
        <v>257</v>
      </c>
    </row>
    <row r="4" spans="1:6" ht="13.7" customHeight="1" x14ac:dyDescent="0.2">
      <c r="A4" s="715" t="s">
        <v>1155</v>
      </c>
      <c r="B4" s="1749">
        <f>'Revenues 9-14'!C5</f>
        <v>337470</v>
      </c>
      <c r="C4" s="1524"/>
      <c r="D4" s="1752">
        <f>B4-C4</f>
        <v>337470</v>
      </c>
      <c r="E4" s="1524">
        <v>342941</v>
      </c>
      <c r="F4" s="1752">
        <f>E4-C4</f>
        <v>342941</v>
      </c>
    </row>
    <row r="5" spans="1:6" ht="13.7" customHeight="1" x14ac:dyDescent="0.2">
      <c r="A5" s="715" t="s">
        <v>870</v>
      </c>
      <c r="B5" s="1750">
        <f>'Revenues 9-14'!D5</f>
        <v>90661</v>
      </c>
      <c r="C5" s="585"/>
      <c r="D5" s="1753">
        <f t="shared" ref="D5:D18" si="0">B5-C5</f>
        <v>90661</v>
      </c>
      <c r="E5" s="585">
        <v>93192</v>
      </c>
      <c r="F5" s="1753">
        <f>E5-C5</f>
        <v>93192</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36264</v>
      </c>
      <c r="C7" s="585"/>
      <c r="D7" s="1753">
        <f t="shared" si="0"/>
        <v>36264</v>
      </c>
      <c r="E7" s="585">
        <v>37278</v>
      </c>
      <c r="F7" s="1753">
        <f t="shared" si="1"/>
        <v>37278</v>
      </c>
    </row>
    <row r="8" spans="1:6" ht="13.7" customHeight="1" x14ac:dyDescent="0.2">
      <c r="A8" s="715" t="s">
        <v>1179</v>
      </c>
      <c r="B8" s="1750">
        <f>'Revenues 9-14'!G5</f>
        <v>52396</v>
      </c>
      <c r="C8" s="585"/>
      <c r="D8" s="1753">
        <f t="shared" si="0"/>
        <v>52396</v>
      </c>
      <c r="E8" s="585">
        <v>53819</v>
      </c>
      <c r="F8" s="1753">
        <f t="shared" si="1"/>
        <v>53819</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27839</v>
      </c>
      <c r="C11" s="585"/>
      <c r="D11" s="1753">
        <f t="shared" si="0"/>
        <v>27839</v>
      </c>
      <c r="E11" s="585">
        <v>28564</v>
      </c>
      <c r="F11" s="1753">
        <f t="shared" si="1"/>
        <v>28564</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6348</v>
      </c>
      <c r="C14" s="585"/>
      <c r="D14" s="1753">
        <f t="shared" si="0"/>
        <v>6348</v>
      </c>
      <c r="E14" s="585">
        <v>6524</v>
      </c>
      <c r="F14" s="1753">
        <f t="shared" si="1"/>
        <v>6524</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49645</v>
      </c>
      <c r="C16" s="585"/>
      <c r="D16" s="1753">
        <f t="shared" si="0"/>
        <v>49645</v>
      </c>
      <c r="E16" s="585">
        <v>50984</v>
      </c>
      <c r="F16" s="1753">
        <f t="shared" si="1"/>
        <v>50984</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600623</v>
      </c>
      <c r="C19" s="1751">
        <f>SUM(C4:C18)</f>
        <v>0</v>
      </c>
      <c r="D19" s="1751">
        <f>SUM(D4:D18)</f>
        <v>600623</v>
      </c>
      <c r="E19" s="1751">
        <f>SUM(E4:E18)</f>
        <v>613302</v>
      </c>
      <c r="F19" s="1751">
        <f>SUM(F4:F18)</f>
        <v>613302</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orizontalCentered="1" headings="1" gridLinesSet="0"/>
  <pageMargins left="0.25" right="0.15" top="1.65" bottom="0.52" header="0.44" footer="0.17"/>
  <pageSetup scale="90"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K59"/>
  <sheetViews>
    <sheetView showGridLines="0" defaultGridColor="0" topLeftCell="B1" colorId="8" zoomScale="110" zoomScaleNormal="110" workbookViewId="0">
      <selection activeCell="R62" sqref="R6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4" t="s">
        <v>629</v>
      </c>
      <c r="B1" s="2195"/>
      <c r="C1" s="721"/>
    </row>
    <row r="2" spans="1:7" ht="33.75" x14ac:dyDescent="0.2">
      <c r="A2" s="2203" t="s">
        <v>1799</v>
      </c>
      <c r="B2" s="2204"/>
      <c r="C2" s="1884" t="s">
        <v>1953</v>
      </c>
      <c r="D2" s="723" t="s">
        <v>1954</v>
      </c>
      <c r="E2" s="723" t="s">
        <v>1955</v>
      </c>
      <c r="F2" s="1884" t="s">
        <v>1956</v>
      </c>
    </row>
    <row r="3" spans="1:7" ht="15.75" customHeight="1" x14ac:dyDescent="0.2">
      <c r="A3" s="2207" t="s">
        <v>1114</v>
      </c>
      <c r="B3" s="2208"/>
      <c r="C3" s="2196"/>
      <c r="D3" s="2197"/>
      <c r="E3" s="2197"/>
      <c r="F3" s="2198"/>
    </row>
    <row r="4" spans="1:7" ht="12.75" customHeight="1" thickBot="1" x14ac:dyDescent="0.25">
      <c r="A4" s="2205" t="s">
        <v>630</v>
      </c>
      <c r="B4" s="2206"/>
      <c r="C4" s="581"/>
      <c r="D4" s="581"/>
      <c r="E4" s="581"/>
      <c r="F4" s="1755">
        <f>SUM(C4+D4)-E4</f>
        <v>0</v>
      </c>
    </row>
    <row r="5" spans="1:7" ht="15.75" customHeight="1" thickTop="1" x14ac:dyDescent="0.2">
      <c r="A5" s="2190" t="s">
        <v>1110</v>
      </c>
      <c r="B5" s="2191"/>
      <c r="C5" s="2199"/>
      <c r="D5" s="2200"/>
      <c r="E5" s="2200"/>
      <c r="F5" s="2201"/>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2" t="s">
        <v>631</v>
      </c>
      <c r="B15" s="2193"/>
      <c r="C15" s="1755">
        <f>SUM(C6:C14)</f>
        <v>0</v>
      </c>
      <c r="D15" s="1755">
        <f>SUM(D6:D14)</f>
        <v>0</v>
      </c>
      <c r="E15" s="1755">
        <f>SUM(E6:E14)</f>
        <v>0</v>
      </c>
      <c r="F15" s="1755">
        <f>SUM(F6:F14)</f>
        <v>0</v>
      </c>
      <c r="G15" s="552"/>
    </row>
    <row r="16" spans="1:7" s="202" customFormat="1" ht="15.75" customHeight="1" thickTop="1" x14ac:dyDescent="0.2">
      <c r="A16" s="2202" t="s">
        <v>1111</v>
      </c>
      <c r="B16" s="2191"/>
      <c r="C16" s="2199"/>
      <c r="D16" s="2200"/>
      <c r="E16" s="2200"/>
      <c r="F16" s="2201"/>
    </row>
    <row r="17" spans="1:11" ht="12.75" customHeight="1" thickBot="1" x14ac:dyDescent="0.25">
      <c r="A17" s="2215" t="s">
        <v>64</v>
      </c>
      <c r="B17" s="2216"/>
      <c r="C17" s="726"/>
      <c r="D17" s="585"/>
      <c r="E17" s="726"/>
      <c r="F17" s="1755">
        <f>SUM(C17+D17)-E17</f>
        <v>0</v>
      </c>
    </row>
    <row r="18" spans="1:11" ht="12.75" customHeight="1" thickTop="1" thickBot="1" x14ac:dyDescent="0.25">
      <c r="A18" s="2215" t="s">
        <v>6</v>
      </c>
      <c r="B18" s="2216"/>
      <c r="C18" s="726"/>
      <c r="D18" s="585"/>
      <c r="E18" s="726"/>
      <c r="F18" s="1755">
        <f>SUM(C18+D18)-E18</f>
        <v>0</v>
      </c>
    </row>
    <row r="19" spans="1:11" ht="12.75" customHeight="1" thickTop="1" thickBot="1" x14ac:dyDescent="0.25">
      <c r="A19" s="2215" t="s">
        <v>388</v>
      </c>
      <c r="B19" s="2216"/>
      <c r="C19" s="726"/>
      <c r="D19" s="585"/>
      <c r="E19" s="726"/>
      <c r="F19" s="1755">
        <f>SUM(C19+D19)-E19</f>
        <v>0</v>
      </c>
    </row>
    <row r="20" spans="1:11" ht="12.75" customHeight="1" thickTop="1" thickBot="1" x14ac:dyDescent="0.25">
      <c r="A20" s="2215" t="s">
        <v>448</v>
      </c>
      <c r="B20" s="2216"/>
      <c r="C20" s="726"/>
      <c r="D20" s="585"/>
      <c r="E20" s="726"/>
      <c r="F20" s="1755">
        <f>SUM(C20+D20)-E20</f>
        <v>0</v>
      </c>
    </row>
    <row r="21" spans="1:11" ht="14.25" thickTop="1" thickBot="1" x14ac:dyDescent="0.25">
      <c r="A21" s="2192" t="s">
        <v>632</v>
      </c>
      <c r="B21" s="2193"/>
      <c r="C21" s="1755">
        <f>SUM(C17:C20)</f>
        <v>0</v>
      </c>
      <c r="D21" s="1755">
        <f>SUM(D17:D20)</f>
        <v>0</v>
      </c>
      <c r="E21" s="1755">
        <f>SUM(E17:E20)</f>
        <v>0</v>
      </c>
      <c r="F21" s="1755">
        <f>SUM(F17:F20)</f>
        <v>0</v>
      </c>
      <c r="G21" s="552"/>
    </row>
    <row r="22" spans="1:11" ht="15.75" customHeight="1" thickTop="1" x14ac:dyDescent="0.2">
      <c r="A22" s="2217" t="s">
        <v>1112</v>
      </c>
      <c r="B22" s="2191"/>
      <c r="C22" s="2199"/>
      <c r="D22" s="2200"/>
      <c r="E22" s="2200"/>
      <c r="F22" s="2201"/>
    </row>
    <row r="23" spans="1:11" ht="13.5" thickBot="1" x14ac:dyDescent="0.25">
      <c r="A23" s="2205" t="s">
        <v>633</v>
      </c>
      <c r="B23" s="2206"/>
      <c r="C23" s="581"/>
      <c r="D23" s="581"/>
      <c r="E23" s="581"/>
      <c r="F23" s="1755">
        <f>SUM(C23+D23)-E23</f>
        <v>0</v>
      </c>
      <c r="G23" s="552"/>
    </row>
    <row r="24" spans="1:11" ht="15.75" customHeight="1" thickTop="1" x14ac:dyDescent="0.2">
      <c r="A24" s="2217" t="s">
        <v>1113</v>
      </c>
      <c r="B24" s="2191"/>
      <c r="C24" s="2199"/>
      <c r="D24" s="2200"/>
      <c r="E24" s="2200"/>
      <c r="F24" s="2201"/>
    </row>
    <row r="25" spans="1:11" ht="13.5" thickBot="1" x14ac:dyDescent="0.25">
      <c r="A25" s="2205" t="s">
        <v>634</v>
      </c>
      <c r="B25" s="2206"/>
      <c r="C25" s="581"/>
      <c r="D25" s="581"/>
      <c r="E25" s="581"/>
      <c r="F25" s="1755">
        <f>SUM(C25+D25)-E25</f>
        <v>0</v>
      </c>
      <c r="G25" s="552"/>
    </row>
    <row r="26" spans="1:11" ht="15.75" customHeight="1" thickTop="1" x14ac:dyDescent="0.2">
      <c r="A26" s="2190" t="s">
        <v>657</v>
      </c>
      <c r="B26" s="2191"/>
      <c r="C26" s="727"/>
      <c r="D26" s="727"/>
      <c r="E26" s="727"/>
      <c r="F26" s="728"/>
    </row>
    <row r="27" spans="1:11" ht="13.5" thickBot="1" x14ac:dyDescent="0.25">
      <c r="A27" s="2192" t="s">
        <v>1070</v>
      </c>
      <c r="B27" s="2193"/>
      <c r="C27" s="585"/>
      <c r="D27" s="585"/>
      <c r="E27" s="585"/>
      <c r="F27" s="1755">
        <f>SUM(C27+D27)-E27</f>
        <v>0</v>
      </c>
      <c r="G27" s="552"/>
    </row>
    <row r="28" spans="1:11" ht="7.5" customHeight="1" thickTop="1" x14ac:dyDescent="0.2">
      <c r="A28" s="593"/>
    </row>
    <row r="29" spans="1:11" ht="23.25" customHeight="1" x14ac:dyDescent="0.2">
      <c r="A29" s="2218" t="s">
        <v>582</v>
      </c>
      <c r="B29" s="2195"/>
      <c r="C29" s="729"/>
      <c r="D29" s="729"/>
      <c r="E29" s="729"/>
      <c r="F29" s="729"/>
      <c r="G29" s="729"/>
      <c r="H29" s="729"/>
      <c r="I29" s="729"/>
      <c r="J29" s="729"/>
    </row>
    <row r="30" spans="1:11" ht="33.75" x14ac:dyDescent="0.2">
      <c r="A30" s="1529" t="s">
        <v>1071</v>
      </c>
      <c r="B30" s="730" t="s">
        <v>1124</v>
      </c>
      <c r="C30" s="1885" t="s">
        <v>583</v>
      </c>
      <c r="D30" s="1885" t="s">
        <v>1673</v>
      </c>
      <c r="E30" s="1885" t="s">
        <v>1957</v>
      </c>
      <c r="F30" s="1885" t="s">
        <v>1958</v>
      </c>
      <c r="G30" s="1885" t="s">
        <v>1908</v>
      </c>
      <c r="H30" s="1885" t="s">
        <v>1959</v>
      </c>
      <c r="I30" s="1885" t="s">
        <v>1960</v>
      </c>
      <c r="J30" s="1886" t="s">
        <v>2</v>
      </c>
      <c r="K30" s="731"/>
    </row>
    <row r="31" spans="1:11" ht="12" customHeight="1" x14ac:dyDescent="0.2">
      <c r="A31" s="732" t="s">
        <v>2075</v>
      </c>
      <c r="B31" s="733">
        <v>39167</v>
      </c>
      <c r="C31" s="734">
        <v>338000</v>
      </c>
      <c r="D31" s="735">
        <v>7</v>
      </c>
      <c r="E31" s="734">
        <v>150977</v>
      </c>
      <c r="F31" s="734"/>
      <c r="G31" s="734"/>
      <c r="H31" s="734">
        <v>18000</v>
      </c>
      <c r="I31" s="1756">
        <f>((E31+F31)-H31)+G31</f>
        <v>132977</v>
      </c>
      <c r="J31" s="734">
        <v>98631</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338000</v>
      </c>
      <c r="D49" s="745"/>
      <c r="E49" s="1756">
        <f t="shared" ref="E49:J49" si="2">SUM(E31:E48)</f>
        <v>150977</v>
      </c>
      <c r="F49" s="1756">
        <f t="shared" si="2"/>
        <v>0</v>
      </c>
      <c r="G49" s="1756">
        <f t="shared" si="2"/>
        <v>0</v>
      </c>
      <c r="H49" s="1756">
        <f t="shared" si="2"/>
        <v>18000</v>
      </c>
      <c r="I49" s="1756">
        <f t="shared" si="2"/>
        <v>132977</v>
      </c>
      <c r="J49" s="1756">
        <f t="shared" si="2"/>
        <v>98631</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9" t="s">
        <v>584</v>
      </c>
      <c r="C52" s="2210"/>
      <c r="D52" s="2210"/>
      <c r="E52" s="749" t="s">
        <v>845</v>
      </c>
      <c r="F52" s="2211" t="s">
        <v>2076</v>
      </c>
      <c r="G52" s="2212"/>
      <c r="H52" s="736"/>
      <c r="I52" s="736"/>
      <c r="J52" s="746"/>
    </row>
    <row r="53" spans="1:11" ht="11.25" customHeight="1" x14ac:dyDescent="0.2">
      <c r="A53" s="750" t="s">
        <v>913</v>
      </c>
      <c r="B53" s="751" t="s">
        <v>951</v>
      </c>
      <c r="C53" s="746"/>
      <c r="D53" s="737"/>
      <c r="E53" s="749" t="s">
        <v>497</v>
      </c>
      <c r="F53" s="2213"/>
      <c r="G53" s="2214"/>
      <c r="H53" s="736"/>
      <c r="I53" s="736"/>
      <c r="J53" s="746"/>
    </row>
    <row r="54" spans="1:11" ht="11.25" customHeight="1" x14ac:dyDescent="0.2">
      <c r="A54" s="752" t="s">
        <v>914</v>
      </c>
      <c r="B54" s="747" t="s">
        <v>952</v>
      </c>
      <c r="C54" s="746"/>
      <c r="D54" s="737"/>
      <c r="E54" s="749" t="s">
        <v>498</v>
      </c>
      <c r="F54" s="2213"/>
      <c r="G54" s="221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orizontalCentered="1" headings="1" gridLinesSet="0"/>
  <pageMargins left="0.25" right="0.15" top="0.9" bottom="0.75" header="0.17" footer="0.35"/>
  <pageSetup scale="65" firstPageNumber="24" fitToHeight="0" orientation="landscape" useFirstPageNumber="1" r:id="rId1"/>
  <headerFooter alignWithMargins="0">
    <oddHeader>&amp;L&amp;8Page &amp;P&amp;R&amp;8Page &amp;P</oddHeader>
    <oddFooter>&amp;L&amp;8Print Date: &amp;D 
&amp;F&amp;CSee Independent Auditors' Report.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48"/>
  <sheetViews>
    <sheetView showGridLines="0" defaultGridColor="0" topLeftCell="A25" colorId="8" zoomScale="110" zoomScaleNormal="110" workbookViewId="0">
      <selection activeCell="R62" sqref="R6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3" t="s">
        <v>856</v>
      </c>
      <c r="B1" s="2244"/>
      <c r="C1" s="2244"/>
      <c r="D1" s="2244"/>
      <c r="E1" s="2244"/>
      <c r="F1" s="2244"/>
      <c r="G1" s="2245"/>
      <c r="H1" s="1530"/>
      <c r="I1" s="760"/>
      <c r="J1" s="433"/>
    </row>
    <row r="2" spans="1:11" ht="26.25" x14ac:dyDescent="0.2">
      <c r="A2" s="2222" t="s">
        <v>1677</v>
      </c>
      <c r="B2" s="2223"/>
      <c r="C2" s="2223"/>
      <c r="D2" s="2223"/>
      <c r="E2" s="2224"/>
      <c r="F2" s="761" t="s">
        <v>904</v>
      </c>
      <c r="G2" s="762" t="s">
        <v>1674</v>
      </c>
      <c r="H2" s="762" t="s">
        <v>410</v>
      </c>
      <c r="I2" s="762" t="s">
        <v>1158</v>
      </c>
      <c r="J2" s="762" t="s">
        <v>1809</v>
      </c>
      <c r="K2" s="762" t="s">
        <v>138</v>
      </c>
    </row>
    <row r="3" spans="1:11" x14ac:dyDescent="0.2">
      <c r="A3" s="2225" t="s">
        <v>1961</v>
      </c>
      <c r="B3" s="2226"/>
      <c r="C3" s="2226"/>
      <c r="D3" s="2226"/>
      <c r="E3" s="2227"/>
      <c r="F3" s="763"/>
      <c r="G3" s="764"/>
      <c r="H3" s="764"/>
      <c r="I3" s="764"/>
      <c r="J3" s="765"/>
      <c r="K3" s="765"/>
    </row>
    <row r="4" spans="1:11" x14ac:dyDescent="0.2">
      <c r="A4" s="2228" t="s">
        <v>369</v>
      </c>
      <c r="B4" s="2229"/>
      <c r="C4" s="2229"/>
      <c r="D4" s="2229"/>
      <c r="E4" s="2210"/>
      <c r="F4" s="766"/>
      <c r="G4" s="767"/>
      <c r="H4" s="768"/>
      <c r="I4" s="767"/>
      <c r="J4" s="769"/>
      <c r="K4" s="769"/>
    </row>
    <row r="5" spans="1:11" x14ac:dyDescent="0.2">
      <c r="A5" s="2246" t="s">
        <v>1069</v>
      </c>
      <c r="B5" s="2219"/>
      <c r="C5" s="2219"/>
      <c r="D5" s="2219"/>
      <c r="E5" s="2247"/>
      <c r="F5" s="770" t="s">
        <v>848</v>
      </c>
      <c r="G5" s="771"/>
      <c r="H5" s="764">
        <v>6348</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4173</v>
      </c>
    </row>
    <row r="10" spans="1:11" x14ac:dyDescent="0.2">
      <c r="A10" s="2246" t="s">
        <v>1810</v>
      </c>
      <c r="B10" s="2219"/>
      <c r="C10" s="2219"/>
      <c r="D10" s="2219"/>
      <c r="E10" s="2248"/>
      <c r="F10" s="783" t="s">
        <v>862</v>
      </c>
      <c r="G10" s="782"/>
      <c r="H10" s="784"/>
      <c r="I10" s="764"/>
      <c r="J10" s="765"/>
      <c r="K10" s="765"/>
    </row>
    <row r="11" spans="1:11" x14ac:dyDescent="0.2">
      <c r="A11" s="2246" t="s">
        <v>160</v>
      </c>
      <c r="B11" s="2219"/>
      <c r="C11" s="2219"/>
      <c r="D11" s="2219"/>
      <c r="E11" s="2247"/>
      <c r="F11" s="770" t="s">
        <v>852</v>
      </c>
      <c r="G11" s="771"/>
      <c r="H11" s="764"/>
      <c r="I11" s="764"/>
      <c r="J11" s="765"/>
      <c r="K11" s="773"/>
    </row>
    <row r="12" spans="1:11" ht="13.5" thickBot="1" x14ac:dyDescent="0.25">
      <c r="A12" s="2236" t="s">
        <v>905</v>
      </c>
      <c r="B12" s="2237"/>
      <c r="C12" s="2237"/>
      <c r="D12" s="2237"/>
      <c r="E12" s="2238"/>
      <c r="F12" s="1757"/>
      <c r="G12" s="1758">
        <f>SUM(G5:G11)</f>
        <v>0</v>
      </c>
      <c r="H12" s="1758">
        <f>SUM(H5:H11)</f>
        <v>6348</v>
      </c>
      <c r="I12" s="1758">
        <f>SUM(I5:I11)</f>
        <v>0</v>
      </c>
      <c r="J12" s="1758">
        <f>SUM(J5:J11)</f>
        <v>0</v>
      </c>
      <c r="K12" s="1758">
        <f>SUM(K5:K11)</f>
        <v>4173</v>
      </c>
    </row>
    <row r="13" spans="1:11" ht="13.5" thickTop="1" x14ac:dyDescent="0.2">
      <c r="A13" s="2230" t="s">
        <v>370</v>
      </c>
      <c r="B13" s="2231"/>
      <c r="C13" s="2231"/>
      <c r="D13" s="2231"/>
      <c r="E13" s="2232"/>
      <c r="F13" s="785"/>
      <c r="G13" s="786"/>
      <c r="H13" s="787"/>
      <c r="I13" s="788"/>
      <c r="J13" s="788"/>
      <c r="K13" s="788"/>
    </row>
    <row r="14" spans="1:11" x14ac:dyDescent="0.2">
      <c r="A14" s="2252" t="s">
        <v>456</v>
      </c>
      <c r="B14" s="2252"/>
      <c r="C14" s="2252"/>
      <c r="D14" s="2252"/>
      <c r="E14" s="2253"/>
      <c r="F14" s="789" t="s">
        <v>854</v>
      </c>
      <c r="G14" s="782"/>
      <c r="H14" s="764">
        <v>6348</v>
      </c>
      <c r="I14" s="771"/>
      <c r="J14" s="773"/>
      <c r="K14" s="765">
        <v>4173</v>
      </c>
    </row>
    <row r="15" spans="1:11" x14ac:dyDescent="0.2">
      <c r="A15" s="2219" t="s">
        <v>4</v>
      </c>
      <c r="B15" s="2219"/>
      <c r="C15" s="2219"/>
      <c r="D15" s="2219"/>
      <c r="E15" s="2247"/>
      <c r="F15" s="789" t="s">
        <v>855</v>
      </c>
      <c r="G15" s="771"/>
      <c r="H15" s="764"/>
      <c r="I15" s="764"/>
      <c r="J15" s="765"/>
      <c r="K15" s="765"/>
    </row>
    <row r="16" spans="1:11" x14ac:dyDescent="0.2">
      <c r="A16" s="2219" t="s">
        <v>298</v>
      </c>
      <c r="B16" s="2219"/>
      <c r="C16" s="2219"/>
      <c r="D16" s="2219"/>
      <c r="E16" s="2247"/>
      <c r="F16" s="789" t="s">
        <v>923</v>
      </c>
      <c r="G16" s="772"/>
      <c r="H16" s="767"/>
      <c r="I16" s="767"/>
      <c r="J16" s="769"/>
      <c r="K16" s="769"/>
    </row>
    <row r="17" spans="1:11" x14ac:dyDescent="0.2">
      <c r="A17" s="2241" t="s">
        <v>935</v>
      </c>
      <c r="B17" s="2241"/>
      <c r="C17" s="2241"/>
      <c r="D17" s="2241"/>
      <c r="E17" s="2242"/>
      <c r="F17" s="790"/>
      <c r="G17" s="791"/>
      <c r="H17" s="792"/>
      <c r="I17" s="792"/>
      <c r="J17" s="793"/>
      <c r="K17" s="794"/>
    </row>
    <row r="18" spans="1:11" x14ac:dyDescent="0.2">
      <c r="A18" s="2233" t="s">
        <v>368</v>
      </c>
      <c r="B18" s="2234"/>
      <c r="C18" s="2234"/>
      <c r="D18" s="2234"/>
      <c r="E18" s="2235"/>
      <c r="F18" s="789" t="s">
        <v>932</v>
      </c>
      <c r="G18" s="782"/>
      <c r="H18" s="782"/>
      <c r="I18" s="782"/>
      <c r="J18" s="765"/>
      <c r="K18" s="795"/>
    </row>
    <row r="19" spans="1:11" ht="21.75" customHeight="1" x14ac:dyDescent="0.2">
      <c r="A19" s="2254" t="s">
        <v>1806</v>
      </c>
      <c r="B19" s="2254"/>
      <c r="C19" s="2254"/>
      <c r="D19" s="2254"/>
      <c r="E19" s="2255"/>
      <c r="F19" s="789" t="s">
        <v>933</v>
      </c>
      <c r="G19" s="782"/>
      <c r="H19" s="782"/>
      <c r="I19" s="782"/>
      <c r="J19" s="765"/>
      <c r="K19" s="795"/>
    </row>
    <row r="20" spans="1:11" x14ac:dyDescent="0.2">
      <c r="A20" s="2233" t="s">
        <v>1811</v>
      </c>
      <c r="B20" s="2234"/>
      <c r="C20" s="2234"/>
      <c r="D20" s="2234"/>
      <c r="E20" s="2235"/>
      <c r="F20" s="789" t="s">
        <v>934</v>
      </c>
      <c r="G20" s="782"/>
      <c r="H20" s="782"/>
      <c r="I20" s="782"/>
      <c r="J20" s="765"/>
      <c r="K20" s="795"/>
    </row>
    <row r="21" spans="1:11" ht="13.5" thickBot="1" x14ac:dyDescent="0.25">
      <c r="A21" s="2239" t="s">
        <v>638</v>
      </c>
      <c r="B21" s="2239"/>
      <c r="C21" s="2239"/>
      <c r="D21" s="2239"/>
      <c r="E21" s="2239"/>
      <c r="F21" s="1759"/>
      <c r="G21" s="792"/>
      <c r="H21" s="796"/>
      <c r="I21" s="796"/>
      <c r="J21" s="1760">
        <f>SUM(J18:J20)</f>
        <v>0</v>
      </c>
      <c r="K21" s="793"/>
    </row>
    <row r="22" spans="1:11" ht="13.5" thickTop="1" x14ac:dyDescent="0.2">
      <c r="A22" s="2219" t="s">
        <v>1812</v>
      </c>
      <c r="B22" s="2219"/>
      <c r="C22" s="2219"/>
      <c r="D22" s="2219"/>
      <c r="E22" s="2247"/>
      <c r="F22" s="789" t="s">
        <v>862</v>
      </c>
      <c r="G22" s="782"/>
      <c r="H22" s="764"/>
      <c r="I22" s="764"/>
      <c r="J22" s="797"/>
      <c r="K22" s="765"/>
    </row>
    <row r="23" spans="1:11" ht="13.5" thickBot="1" x14ac:dyDescent="0.25">
      <c r="A23" s="2240" t="s">
        <v>906</v>
      </c>
      <c r="B23" s="2239"/>
      <c r="C23" s="2239"/>
      <c r="D23" s="2239"/>
      <c r="E23" s="2239"/>
      <c r="F23" s="1761"/>
      <c r="G23" s="1758">
        <f>SUM(G14:G16,G21,G22)</f>
        <v>0</v>
      </c>
      <c r="H23" s="1758">
        <f>SUM(H14:H16,H21,H22)</f>
        <v>6348</v>
      </c>
      <c r="I23" s="1758">
        <f>SUM(I14:I16,I21,I22)</f>
        <v>0</v>
      </c>
      <c r="J23" s="1758">
        <f>SUM(J14:J16,J21,J22)</f>
        <v>0</v>
      </c>
      <c r="K23" s="1758">
        <f>SUM(K14:K16,K21,K22)</f>
        <v>4173</v>
      </c>
    </row>
    <row r="24" spans="1:11" ht="14.25" thickTop="1" thickBot="1" x14ac:dyDescent="0.25">
      <c r="A24" s="2240" t="s">
        <v>1962</v>
      </c>
      <c r="B24" s="2239"/>
      <c r="C24" s="2239"/>
      <c r="D24" s="2239"/>
      <c r="E24" s="2239"/>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9"/>
      <c r="I31" s="2250"/>
      <c r="J31" s="2250"/>
      <c r="K31" s="2250"/>
    </row>
    <row r="32" spans="1:11" x14ac:dyDescent="0.2">
      <c r="A32" s="809"/>
      <c r="B32" s="237"/>
      <c r="C32" s="237"/>
      <c r="D32" s="237"/>
      <c r="E32" s="805"/>
      <c r="F32" s="811" t="s">
        <v>540</v>
      </c>
      <c r="G32" s="764"/>
      <c r="H32" s="2251"/>
      <c r="I32" s="2250"/>
      <c r="J32" s="2250"/>
      <c r="K32" s="2250"/>
    </row>
    <row r="33" spans="1:11" ht="1.5" customHeight="1" x14ac:dyDescent="0.2">
      <c r="A33" s="812" t="s">
        <v>1169</v>
      </c>
      <c r="B33" s="364"/>
      <c r="C33" s="364"/>
      <c r="D33" s="364"/>
      <c r="E33" s="364"/>
      <c r="F33" s="364"/>
      <c r="G33" s="813"/>
      <c r="H33" s="2251"/>
      <c r="I33" s="2250"/>
      <c r="J33" s="2250"/>
      <c r="K33" s="2250"/>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9" t="s">
        <v>541</v>
      </c>
      <c r="B41" s="2220"/>
      <c r="C41" s="2220"/>
      <c r="D41" s="2220"/>
      <c r="E41" s="2220"/>
      <c r="F41" s="222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orizontalCentered="1" headings="1"/>
  <pageMargins left="0.35" right="0.17" top="0.83" bottom="0.4" header="0.46" footer="0.35"/>
  <pageSetup scale="75"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&amp;F&amp;CSee Independent Auditors' Report.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topLeftCell="A4" colorId="8" zoomScale="110" zoomScaleNormal="110" workbookViewId="0">
      <selection activeCell="R62" sqref="R6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1906</v>
      </c>
      <c r="B1" s="2259"/>
      <c r="C1" s="2260"/>
      <c r="D1" s="826"/>
      <c r="E1" s="827"/>
      <c r="F1" s="827"/>
      <c r="G1" s="828"/>
      <c r="H1" s="829"/>
      <c r="I1" s="830"/>
      <c r="J1" s="2256"/>
      <c r="K1" s="2257"/>
      <c r="L1" s="2257"/>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2038</v>
      </c>
      <c r="D5" s="841"/>
      <c r="E5" s="841"/>
      <c r="F5" s="1760">
        <f>(C5+D5)-E5</f>
        <v>2038</v>
      </c>
      <c r="G5" s="837"/>
      <c r="H5" s="842"/>
      <c r="I5" s="842"/>
      <c r="J5" s="842"/>
      <c r="K5" s="793"/>
      <c r="L5" s="1769">
        <f>F5-K5</f>
        <v>2038</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3528977</v>
      </c>
      <c r="D8" s="844">
        <v>698</v>
      </c>
      <c r="E8" s="844"/>
      <c r="F8" s="1760">
        <f>(C8+D8)-E8</f>
        <v>3529675</v>
      </c>
      <c r="G8" s="843">
        <v>50</v>
      </c>
      <c r="H8" s="765">
        <v>1893169</v>
      </c>
      <c r="I8" s="765">
        <v>70911</v>
      </c>
      <c r="J8" s="765"/>
      <c r="K8" s="1769">
        <f>(H8+I8)-J8</f>
        <v>1964080</v>
      </c>
      <c r="L8" s="1769">
        <f>F8-K8</f>
        <v>1565595</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1675996</v>
      </c>
      <c r="D10" s="846"/>
      <c r="E10" s="846"/>
      <c r="F10" s="1764">
        <f>(C10+D10)-E10</f>
        <v>1675996</v>
      </c>
      <c r="G10" s="843">
        <v>20</v>
      </c>
      <c r="H10" s="847">
        <v>956454</v>
      </c>
      <c r="I10" s="847">
        <v>52741</v>
      </c>
      <c r="J10" s="847"/>
      <c r="K10" s="1769">
        <f>(H10+I10)-J10</f>
        <v>1009195</v>
      </c>
      <c r="L10" s="1769">
        <f>F10-K10</f>
        <v>666801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2432777</v>
      </c>
      <c r="D12" s="844">
        <v>29898</v>
      </c>
      <c r="E12" s="844">
        <v>337262</v>
      </c>
      <c r="F12" s="1760">
        <f>(C12+D12)-E12</f>
        <v>2125413</v>
      </c>
      <c r="G12" s="843">
        <v>10</v>
      </c>
      <c r="H12" s="765">
        <v>2236249</v>
      </c>
      <c r="I12" s="765">
        <v>39031</v>
      </c>
      <c r="J12" s="765">
        <v>336185</v>
      </c>
      <c r="K12" s="1769">
        <f>(H12+I12)-J12</f>
        <v>1939095</v>
      </c>
      <c r="L12" s="1769">
        <f>F12-K12</f>
        <v>186318</v>
      </c>
    </row>
    <row r="13" spans="1:14" ht="14.25" thickTop="1" thickBot="1" x14ac:dyDescent="0.25">
      <c r="A13" s="848" t="s">
        <v>1122</v>
      </c>
      <c r="B13" s="840">
        <v>252</v>
      </c>
      <c r="C13" s="844">
        <v>913652</v>
      </c>
      <c r="D13" s="844">
        <v>35065</v>
      </c>
      <c r="E13" s="844">
        <v>444235</v>
      </c>
      <c r="F13" s="1760">
        <f>(C13+D13)-E13</f>
        <v>504482</v>
      </c>
      <c r="G13" s="843">
        <v>5</v>
      </c>
      <c r="H13" s="765">
        <v>799858</v>
      </c>
      <c r="I13" s="765">
        <v>33645</v>
      </c>
      <c r="J13" s="765">
        <v>443132</v>
      </c>
      <c r="K13" s="1769">
        <f>(H13+I13)-J13</f>
        <v>390371</v>
      </c>
      <c r="L13" s="1769">
        <f>F13-K13</f>
        <v>114111</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v>134540</v>
      </c>
      <c r="E15" s="844"/>
      <c r="F15" s="1760">
        <f>(C15+D15)-E15</f>
        <v>134540</v>
      </c>
      <c r="G15" s="849" t="s">
        <v>862</v>
      </c>
      <c r="H15" s="781"/>
      <c r="I15" s="781"/>
      <c r="J15" s="781"/>
      <c r="K15" s="781"/>
      <c r="L15" s="1769">
        <f>F15-K15</f>
        <v>134540</v>
      </c>
    </row>
    <row r="16" spans="1:14" ht="15" customHeight="1" thickTop="1" thickBot="1" x14ac:dyDescent="0.25">
      <c r="A16" s="1765" t="s">
        <v>643</v>
      </c>
      <c r="B16" s="1766">
        <v>200</v>
      </c>
      <c r="C16" s="1760">
        <f>SUM(C3,C5:C6,C8:C10,C12:C15)</f>
        <v>8553440</v>
      </c>
      <c r="D16" s="1760">
        <f>SUM(D3,D5:D6,D8:D10,D12:D15)</f>
        <v>200201</v>
      </c>
      <c r="E16" s="1760">
        <f>SUM(E3,E5:E6,E8:E10,E12:E15)</f>
        <v>781497</v>
      </c>
      <c r="F16" s="1760">
        <f>SUM(F3,F5:F6,F8:F10,F12:F15)</f>
        <v>7972144</v>
      </c>
      <c r="G16" s="843"/>
      <c r="H16" s="1760">
        <f>SUM(H3,H6,H8:H10,H12:H14,)</f>
        <v>5885730</v>
      </c>
      <c r="I16" s="1760">
        <f>SUM(I3,I6,I8:I10,I12:I14,)</f>
        <v>196328</v>
      </c>
      <c r="J16" s="1760">
        <f>SUM(J3,J6,J8:J10,J12:J14,)</f>
        <v>779317</v>
      </c>
      <c r="K16" s="1760">
        <f>(H16+I16)-J16</f>
        <v>5302741</v>
      </c>
      <c r="L16" s="1760">
        <f>F16-K16</f>
        <v>2669403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196328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orizontalCentered="1" verticalCentered="1" headings="1"/>
  <pageMargins left="0.25" right="0.17" top="1.1000000000000001" bottom="1.1000000000000001" header="0.39" footer="0.42"/>
  <pageSetup scale="70" firstPageNumber="26" orientation="landscape" useFirstPageNumber="1" r:id="rId1"/>
  <headerFooter alignWithMargins="0">
    <oddHeader>&amp;L&amp;8Page &amp;P&amp;C &amp;R&amp;8Page &amp;P</oddHeader>
    <oddFooter>&amp;L&amp;8Print Date: &amp;D
&amp;F&amp;CSee Independent Auditors' Report.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2"/>
  <sheetViews>
    <sheetView showGridLines="0" defaultGridColor="0" colorId="8" zoomScale="110" zoomScaleNormal="110" workbookViewId="0">
      <pane ySplit="5" topLeftCell="A132" activePane="bottomLeft" state="frozen"/>
      <selection activeCell="R62" sqref="R62"/>
      <selection pane="bottomLeft" activeCell="C193" sqref="C19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4" t="s">
        <v>1972</v>
      </c>
      <c r="B1" s="2265"/>
      <c r="C1" s="2265"/>
      <c r="D1" s="2265"/>
      <c r="E1" s="2265"/>
      <c r="F1" s="2266"/>
      <c r="G1" s="855"/>
    </row>
    <row r="2" spans="1:7" ht="15" customHeight="1" thickBot="1" x14ac:dyDescent="0.25">
      <c r="A2" s="2267" t="s">
        <v>477</v>
      </c>
      <c r="B2" s="2268"/>
      <c r="C2" s="2268"/>
      <c r="D2" s="2268"/>
      <c r="E2" s="2268"/>
      <c r="F2" s="226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0"/>
      <c r="B5" s="2271"/>
      <c r="C5" s="2271"/>
      <c r="D5" s="2271"/>
      <c r="E5" s="2271"/>
      <c r="F5" s="2271"/>
    </row>
    <row r="6" spans="1:7" ht="13.5" customHeight="1" thickBot="1" x14ac:dyDescent="0.25">
      <c r="A6" s="2261" t="s">
        <v>1104</v>
      </c>
      <c r="B6" s="2262"/>
      <c r="C6" s="2262"/>
      <c r="D6" s="2262"/>
      <c r="E6" s="2262"/>
      <c r="F6" s="2263"/>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4453914</v>
      </c>
      <c r="G8" s="865"/>
    </row>
    <row r="9" spans="1:7" x14ac:dyDescent="0.2">
      <c r="A9" s="869" t="s">
        <v>460</v>
      </c>
      <c r="B9" s="870" t="s">
        <v>1874</v>
      </c>
      <c r="C9" s="871"/>
      <c r="D9" s="869" t="s">
        <v>501</v>
      </c>
      <c r="E9" s="868"/>
      <c r="F9" s="1909">
        <f>'Expenditures 15-22'!K151</f>
        <v>90682</v>
      </c>
      <c r="G9" s="872"/>
    </row>
    <row r="10" spans="1:7" x14ac:dyDescent="0.2">
      <c r="A10" s="869" t="s">
        <v>499</v>
      </c>
      <c r="B10" s="870" t="s">
        <v>1875</v>
      </c>
      <c r="C10" s="871"/>
      <c r="D10" s="869" t="s">
        <v>501</v>
      </c>
      <c r="E10" s="868"/>
      <c r="F10" s="1909">
        <f>'Expenditures 15-22'!K174</f>
        <v>24228</v>
      </c>
      <c r="G10" s="872"/>
    </row>
    <row r="11" spans="1:7" x14ac:dyDescent="0.2">
      <c r="A11" s="869" t="s">
        <v>461</v>
      </c>
      <c r="B11" s="870" t="s">
        <v>1876</v>
      </c>
      <c r="C11" s="871"/>
      <c r="D11" s="869" t="s">
        <v>501</v>
      </c>
      <c r="E11" s="868"/>
      <c r="F11" s="1909">
        <f>'Expenditures 15-22'!K210</f>
        <v>273602</v>
      </c>
      <c r="G11" s="872"/>
    </row>
    <row r="12" spans="1:7" x14ac:dyDescent="0.2">
      <c r="A12" s="869" t="s">
        <v>462</v>
      </c>
      <c r="B12" s="870" t="s">
        <v>1877</v>
      </c>
      <c r="C12" s="871"/>
      <c r="D12" s="869" t="s">
        <v>501</v>
      </c>
      <c r="E12" s="868"/>
      <c r="F12" s="1909">
        <f>'Expenditures 15-22'!K295</f>
        <v>95406</v>
      </c>
      <c r="G12" s="872"/>
    </row>
    <row r="13" spans="1:7" x14ac:dyDescent="0.2">
      <c r="A13" s="869" t="s">
        <v>106</v>
      </c>
      <c r="B13" s="870" t="s">
        <v>1878</v>
      </c>
      <c r="C13" s="871"/>
      <c r="D13" s="869" t="s">
        <v>501</v>
      </c>
      <c r="E13" s="868"/>
      <c r="F13" s="1909">
        <f>'Expenditures 15-22'!K342</f>
        <v>27839</v>
      </c>
      <c r="G13" s="873"/>
    </row>
    <row r="14" spans="1:7" ht="12" customHeight="1" thickBot="1" x14ac:dyDescent="0.25">
      <c r="A14" s="1770"/>
      <c r="B14" s="1771"/>
      <c r="C14" s="1772"/>
      <c r="D14" s="1773" t="s">
        <v>501</v>
      </c>
      <c r="E14" s="1774" t="s">
        <v>958</v>
      </c>
      <c r="F14" s="1775">
        <f>SUM(F8:F13)</f>
        <v>4965671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4">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1999</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201005</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6750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60283</v>
      </c>
      <c r="G52" s="865"/>
    </row>
    <row r="53" spans="1:7" x14ac:dyDescent="0.2">
      <c r="A53" s="869" t="s">
        <v>459</v>
      </c>
      <c r="B53" s="869" t="s">
        <v>1475</v>
      </c>
      <c r="C53" s="889">
        <f>'Expenditures 15-22'!B102</f>
        <v>4000</v>
      </c>
      <c r="D53" s="888" t="str">
        <f>'Expenditures 15-22'!A102</f>
        <v>Total Payments to Other Govt Units</v>
      </c>
      <c r="E53" s="868"/>
      <c r="F53" s="1913">
        <f>'Expenditures 15-22'!K102</f>
        <v>164724</v>
      </c>
      <c r="G53" s="865"/>
    </row>
    <row r="54" spans="1:7" x14ac:dyDescent="0.2">
      <c r="A54" s="869" t="s">
        <v>459</v>
      </c>
      <c r="B54" s="869" t="s">
        <v>1476</v>
      </c>
      <c r="C54" s="889" t="s">
        <v>982</v>
      </c>
      <c r="D54" s="885" t="s">
        <v>1095</v>
      </c>
      <c r="E54" s="868"/>
      <c r="F54" s="1913">
        <f>'Expenditures 15-22'!G114</f>
        <v>67397</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3">
        <f>'Expenditures 15-22'!K139</f>
        <v>0</v>
      </c>
      <c r="G57" s="865"/>
    </row>
    <row r="58" spans="1:7" x14ac:dyDescent="0.2">
      <c r="A58" s="869" t="s">
        <v>460</v>
      </c>
      <c r="B58" s="869" t="s">
        <v>1880</v>
      </c>
      <c r="C58" s="886" t="s">
        <v>982</v>
      </c>
      <c r="D58" s="885" t="s">
        <v>1095</v>
      </c>
      <c r="E58" s="868"/>
      <c r="F58" s="1915">
        <f>'Expenditures 15-22'!G151</f>
        <v>19200</v>
      </c>
      <c r="G58" s="865"/>
    </row>
    <row r="59" spans="1:7" x14ac:dyDescent="0.2">
      <c r="A59" s="893" t="s">
        <v>460</v>
      </c>
      <c r="B59" s="856" t="s">
        <v>1881</v>
      </c>
      <c r="C59" s="894" t="s">
        <v>982</v>
      </c>
      <c r="D59" s="856" t="s">
        <v>291</v>
      </c>
      <c r="F59" s="1916">
        <f>'Expenditures 15-22'!I151</f>
        <v>0</v>
      </c>
      <c r="G59" s="865"/>
    </row>
    <row r="60" spans="1:7" x14ac:dyDescent="0.2">
      <c r="A60" s="893" t="s">
        <v>499</v>
      </c>
      <c r="B60" s="856" t="s">
        <v>1882</v>
      </c>
      <c r="C60" s="894">
        <v>4000</v>
      </c>
      <c r="D60" s="856" t="s">
        <v>312</v>
      </c>
      <c r="F60" s="1914">
        <f>'Expenditures 15-22'!K160</f>
        <v>0</v>
      </c>
      <c r="G60" s="865"/>
    </row>
    <row r="61" spans="1:7" x14ac:dyDescent="0.2">
      <c r="A61" s="895" t="s">
        <v>499</v>
      </c>
      <c r="B61" s="895" t="s">
        <v>1883</v>
      </c>
      <c r="C61" s="896" t="str">
        <f>'Expenditures 15-22'!B170</f>
        <v>5300</v>
      </c>
      <c r="D61" s="897" t="s">
        <v>311</v>
      </c>
      <c r="E61" s="879"/>
      <c r="F61" s="1913">
        <f>'Expenditures 15-22'!K170</f>
        <v>18000</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1886</v>
      </c>
      <c r="C64" s="896" t="str">
        <f>'Expenditures 15-22'!B206</f>
        <v>5300</v>
      </c>
      <c r="D64" s="892" t="s">
        <v>311</v>
      </c>
      <c r="E64" s="868"/>
      <c r="F64" s="1913">
        <f>'Expenditures 15-22'!K206</f>
        <v>0</v>
      </c>
      <c r="G64" s="865"/>
    </row>
    <row r="65" spans="1:8" x14ac:dyDescent="0.2">
      <c r="A65" s="869" t="s">
        <v>461</v>
      </c>
      <c r="B65" s="869" t="s">
        <v>1887</v>
      </c>
      <c r="C65" s="886" t="s">
        <v>982</v>
      </c>
      <c r="D65" s="885" t="s">
        <v>1095</v>
      </c>
      <c r="E65" s="868"/>
      <c r="F65" s="1913">
        <f>'Expenditures 15-22'!G210</f>
        <v>0</v>
      </c>
      <c r="G65" s="865"/>
    </row>
    <row r="66" spans="1:8" x14ac:dyDescent="0.2">
      <c r="A66" s="869" t="s">
        <v>461</v>
      </c>
      <c r="B66" s="869" t="s">
        <v>1888</v>
      </c>
      <c r="C66" s="886" t="s">
        <v>982</v>
      </c>
      <c r="D66" s="885" t="s">
        <v>291</v>
      </c>
      <c r="E66" s="868"/>
      <c r="F66" s="1913">
        <f>'Expenditures 15-22'!I210</f>
        <v>0</v>
      </c>
      <c r="G66" s="865"/>
    </row>
    <row r="67" spans="1:8" x14ac:dyDescent="0.2">
      <c r="A67" s="869" t="s">
        <v>462</v>
      </c>
      <c r="B67" s="869" t="s">
        <v>1889</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0</v>
      </c>
      <c r="G71" s="865"/>
    </row>
    <row r="72" spans="1:8" x14ac:dyDescent="0.2">
      <c r="A72" s="869" t="s">
        <v>462</v>
      </c>
      <c r="B72" s="869" t="s">
        <v>1893</v>
      </c>
      <c r="C72" s="886">
        <f>'Expenditures 15-22'!B280</f>
        <v>3000</v>
      </c>
      <c r="D72" s="876" t="s">
        <v>449</v>
      </c>
      <c r="E72" s="868"/>
      <c r="F72" s="1913">
        <f>'Expenditures 15-22'!K280</f>
        <v>0</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537359</v>
      </c>
      <c r="G76" s="865"/>
    </row>
    <row r="77" spans="1:8" s="893" customFormat="1" ht="12" customHeight="1" thickTop="1" thickBot="1" x14ac:dyDescent="0.25">
      <c r="A77" s="1779"/>
      <c r="B77" s="1776"/>
      <c r="C77" s="1772"/>
      <c r="D77" s="1777" t="s">
        <v>1897</v>
      </c>
      <c r="E77" s="1774"/>
      <c r="F77" s="1780">
        <f>(F14-F76)</f>
        <v>4428312</v>
      </c>
      <c r="G77" s="869"/>
    </row>
    <row r="78" spans="1:8" s="893" customFormat="1" ht="12" customHeight="1" thickTop="1" x14ac:dyDescent="0.2">
      <c r="A78" s="1781"/>
      <c r="B78" s="1776"/>
      <c r="C78" s="1772"/>
      <c r="D78" s="1777" t="s">
        <v>2059</v>
      </c>
      <c r="E78" s="1774"/>
      <c r="F78" s="898">
        <v>380.5</v>
      </c>
      <c r="G78" s="899"/>
      <c r="H78" s="869"/>
    </row>
    <row r="79" spans="1:8" s="893" customFormat="1" ht="12" customHeight="1" thickBot="1" x14ac:dyDescent="0.25">
      <c r="A79" s="1782"/>
      <c r="B79" s="1776"/>
      <c r="C79" s="1772"/>
      <c r="D79" s="1777" t="s">
        <v>1898</v>
      </c>
      <c r="E79" s="1774" t="s">
        <v>958</v>
      </c>
      <c r="F79" s="1783">
        <f>IF(F78&gt;0,F77/F78," Complete Line 78")</f>
        <v>11638.139290407358</v>
      </c>
      <c r="G79" s="869"/>
    </row>
    <row r="80" spans="1:8" s="893" customFormat="1" ht="8.25" customHeight="1" thickTop="1" x14ac:dyDescent="0.2">
      <c r="A80" s="900"/>
      <c r="B80" s="869"/>
      <c r="C80" s="871"/>
      <c r="D80" s="901"/>
      <c r="E80" s="868"/>
      <c r="F80" s="902"/>
      <c r="G80" s="869"/>
    </row>
    <row r="81" spans="1:7" s="893" customFormat="1" ht="12" thickBot="1" x14ac:dyDescent="0.25">
      <c r="A81" s="2261" t="s">
        <v>1105</v>
      </c>
      <c r="B81" s="2262"/>
      <c r="C81" s="2262"/>
      <c r="D81" s="2262"/>
      <c r="E81" s="2262"/>
      <c r="F81" s="226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19576</v>
      </c>
      <c r="G94" s="912"/>
    </row>
    <row r="95" spans="1:7" x14ac:dyDescent="0.2">
      <c r="A95" s="908" t="s">
        <v>140</v>
      </c>
      <c r="B95" s="908" t="s">
        <v>175</v>
      </c>
      <c r="C95" s="910">
        <v>1700</v>
      </c>
      <c r="D95" s="918" t="str">
        <f>'Revenues 9-14'!A82</f>
        <v>Total District/School Activity Income</v>
      </c>
      <c r="E95" s="906"/>
      <c r="F95" s="1789">
        <f>SUM('Revenues 9-14'!C82,'Revenues 9-14'!D82)</f>
        <v>9867</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71470</v>
      </c>
      <c r="G103" s="912"/>
    </row>
    <row r="104" spans="1:7" x14ac:dyDescent="0.2">
      <c r="A104" s="908" t="s">
        <v>459</v>
      </c>
      <c r="B104" s="908" t="s">
        <v>808</v>
      </c>
      <c r="C104" s="910">
        <f>'Revenues 9-14'!B106</f>
        <v>1993</v>
      </c>
      <c r="D104" s="911" t="str">
        <f>'Revenues 9-14'!A106</f>
        <v>Other Local Fees (Describe &amp; Itemize)</v>
      </c>
      <c r="E104" s="906"/>
      <c r="F104" s="1789">
        <f>('Revenues 9-14'!C106)</f>
        <v>24</v>
      </c>
      <c r="G104" s="912"/>
    </row>
    <row r="105" spans="1:7" x14ac:dyDescent="0.2">
      <c r="A105" s="908" t="s">
        <v>503</v>
      </c>
      <c r="B105" s="908" t="s">
        <v>2000</v>
      </c>
      <c r="C105" s="913">
        <v>3100</v>
      </c>
      <c r="D105" s="919" t="str">
        <f>'Revenues 9-14'!A132</f>
        <v>Total Special Education</v>
      </c>
      <c r="E105" s="906"/>
      <c r="F105" s="1789">
        <f>SUM('Revenues 9-14'!C132:D132,'Revenues 9-14'!F132)</f>
        <v>0</v>
      </c>
      <c r="G105" s="912"/>
    </row>
    <row r="106" spans="1:7" x14ac:dyDescent="0.2">
      <c r="A106" s="908" t="s">
        <v>673</v>
      </c>
      <c r="B106" s="908" t="s">
        <v>2001</v>
      </c>
      <c r="C106" s="920">
        <v>3200</v>
      </c>
      <c r="D106" s="911" t="str">
        <f>'Revenues 9-14'!A141</f>
        <v>Total Career and Technical Education</v>
      </c>
      <c r="E106" s="906"/>
      <c r="F106" s="1789">
        <f>SUM('Revenues 9-14'!C141,'Revenues 9-14'!D141,'Revenues 9-14'!G141)</f>
        <v>7031</v>
      </c>
      <c r="G106" s="912"/>
    </row>
    <row r="107" spans="1:7" x14ac:dyDescent="0.2">
      <c r="A107" s="921" t="s">
        <v>664</v>
      </c>
      <c r="B107" s="908" t="s">
        <v>2002</v>
      </c>
      <c r="C107" s="920">
        <v>3300</v>
      </c>
      <c r="D107" s="911" t="str">
        <f>'Revenues 9-14'!A145</f>
        <v>Total Bilingual Ed</v>
      </c>
      <c r="E107" s="906"/>
      <c r="F107" s="1789">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9">
        <f>'Revenues 9-14'!C146</f>
        <v>5934</v>
      </c>
      <c r="G108" s="912"/>
    </row>
    <row r="109" spans="1:7" x14ac:dyDescent="0.2">
      <c r="A109" s="908" t="s">
        <v>673</v>
      </c>
      <c r="B109" s="908" t="s">
        <v>2004</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9">
        <f>SUM('Revenues 9-14'!C148,'Revenues 9-14'!D148)</f>
        <v>4173</v>
      </c>
      <c r="G110" s="912"/>
    </row>
    <row r="111" spans="1:7" x14ac:dyDescent="0.2">
      <c r="A111" s="908" t="s">
        <v>668</v>
      </c>
      <c r="B111" s="908" t="s">
        <v>2006</v>
      </c>
      <c r="C111" s="922">
        <v>3500</v>
      </c>
      <c r="D111" s="911" t="str">
        <f>'Revenues 9-14'!A155</f>
        <v>Total Transportation</v>
      </c>
      <c r="E111" s="906"/>
      <c r="F111" s="1789">
        <f>SUM('Revenues 9-14'!C155,'Revenues 9-14'!D155,'Revenues 9-14'!F155,'Revenues 9-14'!G155)</f>
        <v>186852</v>
      </c>
      <c r="G111" s="912"/>
    </row>
    <row r="112" spans="1:7" x14ac:dyDescent="0.2">
      <c r="A112" s="908" t="s">
        <v>459</v>
      </c>
      <c r="B112" s="908" t="s">
        <v>2007</v>
      </c>
      <c r="C112" s="920">
        <f>'Revenues 9-14'!B156</f>
        <v>3610</v>
      </c>
      <c r="D112" s="911" t="str">
        <f>'Revenues 9-14'!A156</f>
        <v>Learning Improvement - Change Grants</v>
      </c>
      <c r="E112" s="906"/>
      <c r="F112" s="1789">
        <f>'Revenues 9-14'!C156</f>
        <v>750</v>
      </c>
      <c r="G112" s="912"/>
    </row>
    <row r="113" spans="1:7" x14ac:dyDescent="0.2">
      <c r="A113" s="908" t="s">
        <v>668</v>
      </c>
      <c r="B113" s="908" t="s">
        <v>2008</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7">
        <f>SUM('Revenues 9-14'!C163:G163)</f>
        <v>0</v>
      </c>
      <c r="G118" s="912"/>
    </row>
    <row r="119" spans="1:7" x14ac:dyDescent="0.2">
      <c r="A119" s="923" t="s">
        <v>504</v>
      </c>
      <c r="B119" s="923" t="s">
        <v>2014</v>
      </c>
      <c r="C119" s="924">
        <f>'Revenues 9-14'!B164</f>
        <v>3815</v>
      </c>
      <c r="D119" s="925" t="str">
        <f>'Revenues 9-14'!A164</f>
        <v>State Charter Schools</v>
      </c>
      <c r="E119" s="906"/>
      <c r="F119" s="1907">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9">
        <f>'Revenues 9-14'!D167</f>
        <v>0</v>
      </c>
      <c r="G120" s="930"/>
    </row>
    <row r="121" spans="1:7" x14ac:dyDescent="0.2">
      <c r="A121" s="927" t="s">
        <v>500</v>
      </c>
      <c r="B121" s="927" t="s">
        <v>2016</v>
      </c>
      <c r="C121" s="928">
        <f>'Revenues 9-14'!B168</f>
        <v>3999</v>
      </c>
      <c r="D121" s="929" t="s">
        <v>543</v>
      </c>
      <c r="E121" s="931"/>
      <c r="F121" s="1789">
        <f>SUM('Revenues 9-14'!C168:G168,'Revenues 9-14'!J168)</f>
        <v>58957</v>
      </c>
      <c r="G121" s="930"/>
    </row>
    <row r="122" spans="1:7" x14ac:dyDescent="0.2">
      <c r="A122" s="927" t="s">
        <v>459</v>
      </c>
      <c r="B122" s="927" t="s">
        <v>2017</v>
      </c>
      <c r="C122" s="932">
        <f>'Revenues 9-14'!B177</f>
        <v>4045</v>
      </c>
      <c r="D122" s="929" t="str">
        <f>'Revenues 9-14'!A177 &amp; " (Subtract)"</f>
        <v>Head Start (Subtract)</v>
      </c>
      <c r="E122" s="906"/>
      <c r="F122" s="1789">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2019</v>
      </c>
      <c r="C124" s="932">
        <v>4100</v>
      </c>
      <c r="D124" s="933" t="str">
        <f>'Revenues 9-14'!A188</f>
        <v>Total Title V</v>
      </c>
      <c r="E124" s="906"/>
      <c r="F124" s="1789">
        <f>SUM('Revenues 9-14'!C188,'Revenues 9-14'!D188,'Revenues 9-14'!F188,'Revenues 9-14'!G188)</f>
        <v>8804</v>
      </c>
      <c r="G124" s="930"/>
    </row>
    <row r="125" spans="1:7" x14ac:dyDescent="0.2">
      <c r="A125" s="927" t="s">
        <v>664</v>
      </c>
      <c r="B125" s="927" t="s">
        <v>2020</v>
      </c>
      <c r="C125" s="932">
        <v>4200</v>
      </c>
      <c r="D125" s="929" t="str">
        <f>'Revenues 9-14'!A198</f>
        <v>Total Food Service</v>
      </c>
      <c r="E125" s="906"/>
      <c r="F125" s="1789">
        <f>SUM('Revenues 9-14'!C198,'Revenues 9-14'!G198)</f>
        <v>300265</v>
      </c>
      <c r="G125" s="930"/>
    </row>
    <row r="126" spans="1:7" x14ac:dyDescent="0.2">
      <c r="A126" s="927" t="s">
        <v>668</v>
      </c>
      <c r="B126" s="927" t="s">
        <v>2021</v>
      </c>
      <c r="C126" s="932">
        <v>4300</v>
      </c>
      <c r="D126" s="933" t="str">
        <f>'Revenues 9-14'!A204</f>
        <v>Total Title I</v>
      </c>
      <c r="E126" s="906"/>
      <c r="F126" s="1789">
        <f>SUM('Revenues 9-14'!C204,'Revenues 9-14'!D204,'Revenues 9-14'!F204,'Revenues 9-14'!G204)</f>
        <v>386758</v>
      </c>
      <c r="G126" s="930"/>
    </row>
    <row r="127" spans="1:7" x14ac:dyDescent="0.2">
      <c r="A127" s="927" t="s">
        <v>668</v>
      </c>
      <c r="B127" s="927" t="s">
        <v>2022</v>
      </c>
      <c r="C127" s="932">
        <v>4400</v>
      </c>
      <c r="D127" s="933" t="str">
        <f>'Revenues 9-14'!A209</f>
        <v>Total Title IV</v>
      </c>
      <c r="E127" s="906"/>
      <c r="F127" s="1789">
        <f>SUM('Revenues 9-14'!C209,'Revenues 9-14'!D209,'Revenues 9-14'!F209,'Revenues 9-14'!G209)</f>
        <v>178119</v>
      </c>
      <c r="G127" s="930"/>
    </row>
    <row r="128" spans="1:7" x14ac:dyDescent="0.2">
      <c r="A128" s="927" t="s">
        <v>668</v>
      </c>
      <c r="B128" s="927" t="s">
        <v>2023</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2024</v>
      </c>
      <c r="C129" s="932">
        <f>'Revenues 9-14'!B214</f>
        <v>4625</v>
      </c>
      <c r="D129" s="933" t="str">
        <f>'Revenues 9-14'!A214</f>
        <v>Fed - Spec Education - IDEA - Room &amp; Board</v>
      </c>
      <c r="E129" s="906"/>
      <c r="F129" s="1789">
        <f>SUM('Revenues 9-14'!C214,'Revenues 9-14'!D214,'Revenues 9-14'!F214,'Revenues 9-14'!G214)</f>
        <v>735</v>
      </c>
      <c r="G129" s="930"/>
    </row>
    <row r="130" spans="1:7" x14ac:dyDescent="0.2">
      <c r="A130" s="927" t="s">
        <v>668</v>
      </c>
      <c r="B130" s="927" t="s">
        <v>2025</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2026</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9">
        <v>0</v>
      </c>
      <c r="G138" s="905"/>
    </row>
    <row r="139" spans="1:7" s="867" customFormat="1" hidden="1" x14ac:dyDescent="0.2">
      <c r="A139" s="934" t="s">
        <v>206</v>
      </c>
      <c r="B139" s="934" t="s">
        <v>2033</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2041</v>
      </c>
      <c r="C157" s="940" t="s">
        <v>841</v>
      </c>
      <c r="D157" s="941" t="s">
        <v>777</v>
      </c>
      <c r="E157" s="942"/>
      <c r="F157" s="1789">
        <f>SUM(F133:F156)</f>
        <v>0</v>
      </c>
      <c r="G157" s="905"/>
    </row>
    <row r="158" spans="1:7" s="867" customFormat="1" x14ac:dyDescent="0.2">
      <c r="A158" s="938" t="s">
        <v>459</v>
      </c>
      <c r="B158" s="939" t="s">
        <v>2042</v>
      </c>
      <c r="C158" s="940" t="s">
        <v>1427</v>
      </c>
      <c r="D158" s="941" t="s">
        <v>1428</v>
      </c>
      <c r="E158" s="942"/>
      <c r="F158" s="1789">
        <f>SUM('Revenues 9-14'!C253)</f>
        <v>0</v>
      </c>
      <c r="G158" s="905"/>
    </row>
    <row r="159" spans="1:7" s="867" customFormat="1" x14ac:dyDescent="0.2">
      <c r="A159" s="938" t="s">
        <v>500</v>
      </c>
      <c r="B159" s="939" t="s">
        <v>2043</v>
      </c>
      <c r="C159" s="940" t="s">
        <v>1466</v>
      </c>
      <c r="D159" s="941" t="s">
        <v>1467</v>
      </c>
      <c r="E159" s="942"/>
      <c r="F159" s="1789">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2046</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7">
        <f>SUM('Revenues 9-14'!C259,'Revenues 9-14'!D259,'Revenues 9-14'!F259,'Revenues 9-14'!G259)</f>
        <v>35460</v>
      </c>
      <c r="G164" s="930"/>
    </row>
    <row r="165" spans="1:7" x14ac:dyDescent="0.2">
      <c r="A165" s="927" t="s">
        <v>668</v>
      </c>
      <c r="B165" s="927" t="s">
        <v>2049</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2051</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2052</v>
      </c>
      <c r="C170" s="945">
        <f>'Revenues 9-14'!B265</f>
        <v>4999</v>
      </c>
      <c r="D170" s="946" t="str">
        <f>'Revenues 9-14'!A265</f>
        <v>Other Restricted Revenue from Federal Sources (Describe &amp; Itemize)</v>
      </c>
      <c r="E170" s="906"/>
      <c r="F170" s="1789">
        <f>SUM('Revenues 9-14'!C265:D265,'Revenues 9-14'!F265:G265)</f>
        <v>10135</v>
      </c>
      <c r="G170" s="927"/>
    </row>
    <row r="171" spans="1:7" x14ac:dyDescent="0.2">
      <c r="A171" s="1918" t="s">
        <v>5</v>
      </c>
      <c r="B171" s="1919" t="s">
        <v>1917</v>
      </c>
      <c r="C171" s="1920">
        <v>3100</v>
      </c>
      <c r="D171" s="1921" t="s">
        <v>1919</v>
      </c>
      <c r="E171" s="906"/>
      <c r="F171" s="1906">
        <v>143715</v>
      </c>
      <c r="G171" s="927"/>
    </row>
    <row r="172" spans="1:7" x14ac:dyDescent="0.2">
      <c r="A172" s="1918" t="s">
        <v>664</v>
      </c>
      <c r="B172" s="1919" t="s">
        <v>1917</v>
      </c>
      <c r="C172" s="1920">
        <v>3300</v>
      </c>
      <c r="D172" s="1921" t="s">
        <v>1920</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2053</v>
      </c>
      <c r="E174" s="1787" t="s">
        <v>958</v>
      </c>
      <c r="F174" s="1788">
        <f>SUM(F84:F132,F157:F172)</f>
        <v>1428625</v>
      </c>
    </row>
    <row r="175" spans="1:7" ht="12" customHeight="1" x14ac:dyDescent="0.2">
      <c r="A175" s="1770"/>
      <c r="B175" s="1784"/>
      <c r="C175" s="1785"/>
      <c r="D175" s="1786" t="s">
        <v>2054</v>
      </c>
      <c r="E175" s="1787"/>
      <c r="F175" s="1789">
        <f>'PCTC-OEPP 27-28'!F77-F174</f>
        <v>2999687</v>
      </c>
    </row>
    <row r="176" spans="1:7" ht="12" customHeight="1" x14ac:dyDescent="0.2">
      <c r="A176" s="1770"/>
      <c r="B176" s="1784"/>
      <c r="C176" s="1785"/>
      <c r="D176" s="1786" t="s">
        <v>1814</v>
      </c>
      <c r="E176" s="1787"/>
      <c r="F176" s="1789">
        <f>'Cap Outlay Deprec 26'!I18</f>
        <v>196328</v>
      </c>
    </row>
    <row r="177" spans="1:7" ht="12" customHeight="1" x14ac:dyDescent="0.2">
      <c r="A177" s="1770"/>
      <c r="B177" s="1784"/>
      <c r="C177" s="1785"/>
      <c r="D177" s="1786" t="s">
        <v>2055</v>
      </c>
      <c r="E177" s="1787"/>
      <c r="F177" s="1789">
        <f>F175+F176</f>
        <v>3196015</v>
      </c>
    </row>
    <row r="178" spans="1:7" ht="12" customHeight="1" x14ac:dyDescent="0.2">
      <c r="A178" s="1770"/>
      <c r="B178" s="1790"/>
      <c r="C178" s="1785"/>
      <c r="D178" s="1786" t="str">
        <f>D78</f>
        <v>9 Month ADA from District Average Daily Attendance/Prior General State Aid Inquiry 2018-2019</v>
      </c>
      <c r="E178" s="1787"/>
      <c r="F178" s="1791">
        <f>'PCTC-OEPP 27-28'!F78</f>
        <v>380.5</v>
      </c>
      <c r="G178" s="930"/>
    </row>
    <row r="179" spans="1:7" ht="12" customHeight="1" thickBot="1" x14ac:dyDescent="0.25">
      <c r="A179" s="1770"/>
      <c r="B179" s="1790"/>
      <c r="C179" s="1785"/>
      <c r="D179" s="1786" t="s">
        <v>2056</v>
      </c>
      <c r="E179" s="1787" t="s">
        <v>1545</v>
      </c>
      <c r="F179" s="1792">
        <f>F177/F178</f>
        <v>8399.5137976346905</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1991</v>
      </c>
      <c r="B182" s="1923"/>
      <c r="C182" s="1924"/>
      <c r="D182" s="1923"/>
      <c r="E182" s="1924"/>
      <c r="F182" s="1923"/>
      <c r="G182" s="1923"/>
    </row>
    <row r="183" spans="1:7" s="1922" customFormat="1" ht="12.2" customHeight="1" x14ac:dyDescent="0.2">
      <c r="A183" s="1925" t="s">
        <v>1993</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orizontalCentered="1" verticalCentered="1" headings="1"/>
  <pageMargins left="0.25" right="0.25" top="0.45" bottom="0.75" header="0.19" footer="0.65"/>
  <pageSetup scale="70" firstPageNumber="27" orientation="portrait" useFirstPageNumber="1" r:id="rId2"/>
  <headerFooter alignWithMargins="0">
    <oddHeader>&amp;L&amp;8Page &amp;P&amp;C &amp;R&amp;8Page &amp;P</oddHeader>
    <oddFooter>&amp;L&amp;8Print Date: &amp;D
&amp;F&amp;CSee Independent Auditors' Report.</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1"/>
  <sheetViews>
    <sheetView showGridLines="0" zoomScaleNormal="100" workbookViewId="0">
      <selection activeCell="R62" sqref="R62"/>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5" t="s">
        <v>1815</v>
      </c>
      <c r="B4" s="2276"/>
      <c r="C4" s="2276"/>
      <c r="D4" s="2276"/>
      <c r="E4" s="2276"/>
      <c r="F4" s="2276"/>
      <c r="G4" s="2277"/>
    </row>
    <row r="5" spans="1:7" x14ac:dyDescent="0.25">
      <c r="A5" s="2278"/>
      <c r="B5" s="2279"/>
      <c r="C5" s="2279"/>
      <c r="D5" s="2279"/>
      <c r="E5" s="2279"/>
      <c r="F5" s="2279"/>
      <c r="G5" s="2280"/>
    </row>
    <row r="6" spans="1:7" ht="18.75" x14ac:dyDescent="0.25">
      <c r="A6" s="1534" t="s">
        <v>1816</v>
      </c>
      <c r="B6" s="1535"/>
      <c r="C6" s="1535"/>
      <c r="D6" s="1535"/>
      <c r="E6" s="1535"/>
      <c r="F6" s="1535"/>
      <c r="G6" s="1536"/>
    </row>
    <row r="7" spans="1:7" ht="30.75" customHeight="1" x14ac:dyDescent="0.25">
      <c r="A7" s="2281" t="s">
        <v>1929</v>
      </c>
      <c r="B7" s="2282"/>
      <c r="C7" s="2282"/>
      <c r="D7" s="2282"/>
      <c r="E7" s="2282"/>
      <c r="F7" s="2282"/>
      <c r="G7" s="2283"/>
    </row>
    <row r="8" spans="1:7" ht="15.75" customHeight="1" x14ac:dyDescent="0.25">
      <c r="A8" s="2284" t="s">
        <v>1904</v>
      </c>
      <c r="B8" s="2285"/>
      <c r="C8" s="2285"/>
      <c r="D8" s="2285"/>
      <c r="E8" s="2285"/>
      <c r="F8" s="2285"/>
      <c r="G8" s="2286"/>
    </row>
    <row r="9" spans="1:7" ht="35.25" customHeight="1" x14ac:dyDescent="0.25">
      <c r="A9" s="2281" t="s">
        <v>1932</v>
      </c>
      <c r="B9" s="2282"/>
      <c r="C9" s="2282"/>
      <c r="D9" s="2282"/>
      <c r="E9" s="2282"/>
      <c r="F9" s="2282"/>
      <c r="G9" s="2283"/>
    </row>
    <row r="10" spans="1:7" ht="15" customHeight="1" x14ac:dyDescent="0.25">
      <c r="A10" s="1537" t="s">
        <v>1817</v>
      </c>
      <c r="B10" s="1538"/>
      <c r="C10" s="1538"/>
      <c r="D10" s="1538"/>
      <c r="E10" s="1538"/>
      <c r="F10" s="1538"/>
      <c r="G10" s="1539"/>
    </row>
    <row r="11" spans="1:7" ht="17.25" customHeight="1" x14ac:dyDescent="0.25">
      <c r="A11" s="2281" t="s">
        <v>1931</v>
      </c>
      <c r="B11" s="2282"/>
      <c r="C11" s="2282"/>
      <c r="D11" s="2282"/>
      <c r="E11" s="2282"/>
      <c r="F11" s="2282"/>
      <c r="G11" s="2283"/>
    </row>
    <row r="12" spans="1:7" ht="15" customHeight="1" x14ac:dyDescent="0.25">
      <c r="A12" s="1537" t="s">
        <v>1822</v>
      </c>
      <c r="B12" s="1538"/>
      <c r="C12" s="1538"/>
      <c r="D12" s="1538"/>
      <c r="E12" s="1538"/>
      <c r="F12" s="1538"/>
      <c r="G12" s="1539"/>
    </row>
    <row r="13" spans="1:7" ht="32.25" customHeight="1" x14ac:dyDescent="0.25">
      <c r="A13" s="2272" t="s">
        <v>1973</v>
      </c>
      <c r="B13" s="2273"/>
      <c r="C13" s="2273"/>
      <c r="D13" s="2273"/>
      <c r="E13" s="2273"/>
      <c r="F13" s="2273"/>
      <c r="G13" s="2274"/>
    </row>
    <row r="14" spans="1:7" x14ac:dyDescent="0.25">
      <c r="A14" s="1661" t="s">
        <v>1830</v>
      </c>
      <c r="B14" s="1662"/>
      <c r="C14" s="1662"/>
      <c r="D14" s="1662"/>
      <c r="E14" s="1662"/>
      <c r="F14" s="1662"/>
      <c r="G14" s="1663"/>
    </row>
    <row r="15" spans="1:7" ht="61.5" customHeight="1" x14ac:dyDescent="0.25">
      <c r="A15" s="1546" t="s">
        <v>1823</v>
      </c>
      <c r="B15" s="1546" t="s">
        <v>1824</v>
      </c>
      <c r="C15" s="1546" t="s">
        <v>1825</v>
      </c>
      <c r="D15" s="1547" t="s">
        <v>1826</v>
      </c>
      <c r="E15" s="1547" t="s">
        <v>1818</v>
      </c>
      <c r="F15" s="1547" t="s">
        <v>1827</v>
      </c>
      <c r="G15" s="1547" t="s">
        <v>1828</v>
      </c>
    </row>
    <row r="16" spans="1:7" x14ac:dyDescent="0.25">
      <c r="A16" s="1648" t="s">
        <v>1831</v>
      </c>
      <c r="B16" s="1649" t="s">
        <v>1821</v>
      </c>
      <c r="C16" s="1650" t="s">
        <v>1819</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ht="30" x14ac:dyDescent="0.25">
      <c r="A17" s="1937" t="s">
        <v>2079</v>
      </c>
      <c r="B17" s="1938" t="s">
        <v>2080</v>
      </c>
      <c r="C17" s="1939" t="s">
        <v>2081</v>
      </c>
      <c r="D17" s="1844">
        <v>261678</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236678</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261678</v>
      </c>
      <c r="E141" s="1541">
        <f t="shared" si="0"/>
        <v>25000</v>
      </c>
      <c r="F141" s="1933">
        <f>SUM(F17:F140)</f>
        <v>25000</v>
      </c>
      <c r="G141" s="1795">
        <f>SUM(G17:G140)</f>
        <v>236678</v>
      </c>
    </row>
  </sheetData>
  <sheetProtection password="F60E" sheet="1" selectLockedCells="1"/>
  <mergeCells count="6">
    <mergeCell ref="A13:G13"/>
    <mergeCell ref="A4:G5"/>
    <mergeCell ref="A11:G11"/>
    <mergeCell ref="A7:G7"/>
    <mergeCell ref="A8:G8"/>
    <mergeCell ref="A9:G9"/>
  </mergeCells>
  <pageMargins left="1" right="1" top="0.5" bottom="0.25" header="0.3" footer="0.3"/>
  <pageSetup scale="70"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colorId="8" zoomScale="110" zoomScaleNormal="110" workbookViewId="0">
      <selection activeCell="R62" sqref="R6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7" t="s">
        <v>1679</v>
      </c>
      <c r="B5" s="2288"/>
      <c r="C5" s="2288"/>
      <c r="D5" s="2288"/>
      <c r="E5" s="2288"/>
      <c r="F5" s="2288"/>
      <c r="G5" s="2289"/>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v>5193</v>
      </c>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178157</v>
      </c>
      <c r="F10" s="974"/>
      <c r="G10" s="975"/>
      <c r="H10" s="162"/>
      <c r="I10" s="162"/>
    </row>
    <row r="11" spans="1:9" s="668" customFormat="1" ht="22.5" customHeight="1" x14ac:dyDescent="0.2">
      <c r="A11" s="2292" t="s">
        <v>1974</v>
      </c>
      <c r="B11" s="2293"/>
      <c r="C11" s="2293"/>
      <c r="D11" s="2294"/>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v>2743</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2643280</v>
      </c>
      <c r="F19" s="1799"/>
      <c r="G19" s="1801">
        <f>'Expenditures 15-22'!K33-SUM('Expenditures 15-22'!G33,'Expenditures 15-22'!I33)+'Expenditures 15-22'!D229</f>
        <v>2643280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201881</v>
      </c>
      <c r="F21" s="1802"/>
      <c r="G21" s="1805">
        <f>'Expenditures 15-22'!K42-SUM('Expenditures 15-22'!G42,'Expenditures 15-22'!I42)+'Expenditures 15-22'!K120-SUM('Expenditures 15-22'!G120,'Expenditures 15-22'!I120)+'Expenditures 15-22'!K180-SUM('Expenditures 15-22'!G180,'Expenditures 15-22'!I180)+'Expenditures 15-22'!D238</f>
        <v>201881</v>
      </c>
      <c r="H21" s="987"/>
      <c r="I21" s="162"/>
    </row>
    <row r="22" spans="1:9" s="668" customFormat="1" ht="12" customHeight="1" x14ac:dyDescent="0.2">
      <c r="A22" s="994" t="s">
        <v>564</v>
      </c>
      <c r="B22" s="995"/>
      <c r="C22" s="993">
        <v>2200</v>
      </c>
      <c r="D22" s="1802"/>
      <c r="E22" s="1804">
        <f>'Expenditures 15-22'!K47-SUM('Expenditures 15-22'!G47,'Expenditures 15-22'!I47)+'Expenditures 15-22'!D243</f>
        <v>149796</v>
      </c>
      <c r="F22" s="1802"/>
      <c r="G22" s="1805">
        <f>'Expenditures 15-22'!K47-SUM('Expenditures 15-22'!G47,'Expenditures 15-22'!I47)+'Expenditures 15-22'!D243</f>
        <v>149796</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391257</v>
      </c>
      <c r="F23" s="1802"/>
      <c r="G23" s="1804">
        <f>'Expenditures 15-22'!K53-SUM('Expenditures 15-22'!G53,'Expenditures 15-22'!I53)+'Expenditures 15-22'!D257+'Expenditures 15-22'!K330-SUM('Expenditures 15-22'!G330,'Expenditures 15-22'!I330)</f>
        <v>391257</v>
      </c>
      <c r="H23" s="987"/>
      <c r="I23" s="162"/>
    </row>
    <row r="24" spans="1:9" s="668" customFormat="1" ht="12" customHeight="1" x14ac:dyDescent="0.2">
      <c r="A24" s="994" t="s">
        <v>566</v>
      </c>
      <c r="B24" s="995"/>
      <c r="C24" s="993">
        <v>2400</v>
      </c>
      <c r="D24" s="1802"/>
      <c r="E24" s="1804">
        <f>'Expenditures 15-22'!K57-SUM('Expenditures 15-22'!G57,'Expenditures 15-22'!I57)+'Expenditures 15-22'!D261</f>
        <v>161946</v>
      </c>
      <c r="F24" s="1802"/>
      <c r="G24" s="1805">
        <f>'Expenditures 15-22'!K57-SUM('Expenditures 15-22'!G57,'Expenditures 15-22'!I57)+'Expenditures 15-22'!D261</f>
        <v>161946</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20766</v>
      </c>
      <c r="E26" s="1804">
        <f>'Expenditures 15-22'!K122-SUM('Expenditures 15-22'!G122,'Expenditures 15-22'!I122)+E7</f>
        <v>0</v>
      </c>
      <c r="F26" s="1804">
        <f>'Expenditures 15-22'!K59-SUM('Expenditures 15-22'!G59,'Expenditures 15-22'!I59)+'Expenditures 15-22'!D263-E7</f>
        <v>20766</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5193</v>
      </c>
      <c r="F27" s="1804">
        <f>'Expenditures 15-22'!K60-SUM('Expenditures 15-22'!G60,'Expenditures 15-22'!I60)+'Expenditures 15-22'!D264-E8</f>
        <v>0</v>
      </c>
      <c r="G27" s="1805">
        <f>E8</f>
        <v>5193</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480468</v>
      </c>
      <c r="F28" s="1806">
        <f>'Expenditures 15-22'!K61-SUM('Expenditures 15-22'!G61,'Expenditures 15-22'!I61)+'Expenditures 15-22'!K124-SUM('Expenditures 15-22'!G124,'Expenditures 15-22'!I124)+'Expenditures 15-22'!D266-E9</f>
        <v>480468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273723</v>
      </c>
      <c r="F29" s="1802"/>
      <c r="G29" s="1805">
        <f>'Expenditures 15-22'!K62-SUM('Expenditures 15-22'!G62,'Expenditures 15-22'!I62)+'Expenditures 15-22'!K125-SUM('Expenditures 15-22'!G125,'Expenditures 15-22'!I125)+'Expenditures 15-22'!K182-SUM('Expenditures 15-22'!G182,'Expenditures 15-22'!I182)+'Expenditures 15-22'!D267</f>
        <v>273723</v>
      </c>
      <c r="H29" s="985"/>
    </row>
    <row r="30" spans="1:9" ht="12" customHeight="1" x14ac:dyDescent="0.2">
      <c r="A30" s="994" t="s">
        <v>100</v>
      </c>
      <c r="B30" s="997"/>
      <c r="C30" s="993">
        <v>2560</v>
      </c>
      <c r="D30" s="1802"/>
      <c r="E30" s="1804">
        <f>'Expenditures 15-22'!K63-SUM('Expenditures 15-22'!G63,'Expenditures 15-22'!I63)+'Expenditures 15-22'!D268-E10</f>
        <v>107201</v>
      </c>
      <c r="F30" s="1802"/>
      <c r="G30" s="1804">
        <f>'Expenditures 15-22'!K63-SUM('Expenditures 15-22'!G63,'Expenditures 15-22'!I63)+'Expenditures 15-22'!D268-E10</f>
        <v>107201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3000</v>
      </c>
      <c r="F34" s="1802"/>
      <c r="G34" s="1804">
        <f>'Expenditures 15-22'!K68-SUM('Expenditures 15-22'!G68,'Expenditures 15-22'!I68)+'Expenditures 15-22'!D273</f>
        <v>3000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-2500</v>
      </c>
      <c r="E37" s="1804">
        <f>E14</f>
        <v>2743</v>
      </c>
      <c r="F37" s="1804">
        <f>'Expenditures 15-22'!K71-SUM('Expenditures 15-22'!G71,'Expenditures 15-22'!I71)+'Expenditures 15-22'!D276-E14</f>
        <v>-2500</v>
      </c>
      <c r="G37" s="1804">
        <f>E14</f>
        <v>2743</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12928</v>
      </c>
      <c r="F38" s="1802"/>
      <c r="G38" s="1804">
        <f>'Expenditures 15-22'!K73-SUM('Expenditures 15-22'!G73,'Expenditures 15-22'!I73)+'Expenditures 15-22'!K128-SUM('Expenditures 15-22'!G128,'Expenditures 15-22'!I128)+'Expenditures 15-22'!K183-SUM('Expenditures 15-22'!G183,'Expenditures 15-22'!I183)+'Expenditures 15-22'!D278</f>
        <v>12928</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60283</v>
      </c>
      <c r="F39" s="1802"/>
      <c r="G39" s="1804">
        <f>'Expenditures 15-22'!K75-SUM('Expenditures 15-22'!G75,'Expenditures 15-22'!I75)+'Expenditures 15-22'!K130-SUM('Expenditures 15-22'!G130,'Expenditures 15-22'!I130)+'Expenditures 15-22'!K185-SUM('Expenditures 15-22'!G185,'Expenditures 15-22'!I185)+'Expenditures 15-22'!D280</f>
        <v>60283</v>
      </c>
    </row>
    <row r="40" spans="1:7" ht="12" customHeight="1" x14ac:dyDescent="0.2">
      <c r="A40" s="990" t="s">
        <v>1820</v>
      </c>
      <c r="B40" s="991"/>
      <c r="C40" s="993"/>
      <c r="D40" s="1802"/>
      <c r="E40" s="1806">
        <f>-'Contracts Paid in CY 29'!G141</f>
        <v>-236678</v>
      </c>
      <c r="F40" s="1802"/>
      <c r="G40" s="1806">
        <f>-'Contracts Paid in CY 29'!G141</f>
        <v>-236678</v>
      </c>
    </row>
    <row r="41" spans="1:7" ht="12" customHeight="1" x14ac:dyDescent="0.2">
      <c r="A41" s="998" t="s">
        <v>156</v>
      </c>
      <c r="B41" s="999"/>
      <c r="C41" s="1000"/>
      <c r="D41" s="1806">
        <f>SUM(D19:D39)</f>
        <v>18266</v>
      </c>
      <c r="E41" s="1806">
        <f>SUM(E19:E40)</f>
        <v>4257021</v>
      </c>
      <c r="F41" s="1806">
        <f>SUM(F19:F39)</f>
        <v>498734</v>
      </c>
      <c r="G41" s="1806">
        <f>SUM(G19:G40)</f>
        <v>3776553</v>
      </c>
    </row>
    <row r="42" spans="1:7" x14ac:dyDescent="0.2">
      <c r="A42" s="987"/>
      <c r="B42" s="162"/>
      <c r="C42" s="1001"/>
      <c r="D42" s="2290" t="s">
        <v>522</v>
      </c>
      <c r="E42" s="2291"/>
      <c r="F42" s="1002" t="s">
        <v>523</v>
      </c>
      <c r="G42" s="1003"/>
    </row>
    <row r="43" spans="1:7" ht="12" customHeight="1" x14ac:dyDescent="0.2">
      <c r="A43" s="987"/>
      <c r="B43" s="162"/>
      <c r="C43" s="1001"/>
      <c r="D43" s="1807" t="s">
        <v>473</v>
      </c>
      <c r="E43" s="1808">
        <f>D41</f>
        <v>18266</v>
      </c>
      <c r="F43" s="1807" t="s">
        <v>473</v>
      </c>
      <c r="G43" s="1808">
        <f>F41</f>
        <v>498734</v>
      </c>
    </row>
    <row r="44" spans="1:7" ht="12" customHeight="1" x14ac:dyDescent="0.2">
      <c r="A44" s="987"/>
      <c r="B44" s="162"/>
      <c r="C44" s="1001"/>
      <c r="D44" s="1807" t="s">
        <v>474</v>
      </c>
      <c r="E44" s="1808">
        <f>E41</f>
        <v>4257021</v>
      </c>
      <c r="F44" s="1807" t="s">
        <v>474</v>
      </c>
      <c r="G44" s="1808">
        <f>G41</f>
        <v>3776553</v>
      </c>
    </row>
    <row r="45" spans="1:7" ht="12" customHeight="1" x14ac:dyDescent="0.2">
      <c r="A45" s="987"/>
      <c r="B45" s="162"/>
      <c r="C45" s="162"/>
      <c r="D45" s="1809" t="s">
        <v>1006</v>
      </c>
      <c r="E45" s="1810">
        <f>(E43/E44)</f>
        <v>4.2907939613170808E-3</v>
      </c>
      <c r="F45" s="1809" t="s">
        <v>1006</v>
      </c>
      <c r="G45" s="1810">
        <f>(G43/G44)</f>
        <v>0.13206063836519705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5" header="0.42" footer="0.4"/>
  <pageSetup scale="80" firstPageNumber="30" orientation="landscape" useFirstPageNumber="1" r:id="rId1"/>
  <headerFooter alignWithMargins="0">
    <oddHeader>&amp;L&amp;8Page &amp;P&amp;C&amp;"Arial,Bold"
ESTIMATED INDIRECT COST DATA&amp;R&amp;8Page &amp;P</oddHeader>
    <oddFooter>&amp;L&amp;8Print Date:  &amp;D
&amp;F&amp;CSee Independent Auditors' Report.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L97"/>
  <sheetViews>
    <sheetView showGridLines="0" zoomScale="110" zoomScaleNormal="110" workbookViewId="0">
      <pane ySplit="4" topLeftCell="A5" activePane="bottomLeft" state="frozen"/>
      <selection activeCell="R62" sqref="R62"/>
      <selection pane="bottomLeft" activeCell="R62" sqref="R6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8" t="s">
        <v>1379</v>
      </c>
      <c r="B1" s="2298"/>
      <c r="C1" s="2298"/>
      <c r="D1" s="2298"/>
      <c r="E1" s="2298"/>
      <c r="F1" s="2298"/>
    </row>
    <row r="2" spans="1:10" x14ac:dyDescent="0.2">
      <c r="A2" s="1887" t="s">
        <v>1909</v>
      </c>
      <c r="B2" s="1848"/>
      <c r="C2" s="1887"/>
      <c r="D2" s="1848"/>
      <c r="E2" s="1848"/>
      <c r="F2" s="1849"/>
    </row>
    <row r="3" spans="1:10" x14ac:dyDescent="0.2">
      <c r="A3" s="1887" t="s">
        <v>1975</v>
      </c>
      <c r="B3" s="1848"/>
      <c r="C3" s="1887"/>
      <c r="D3" s="1848"/>
      <c r="E3" s="1848"/>
      <c r="F3" s="1849"/>
    </row>
    <row r="4" spans="1:10" ht="3.75" customHeight="1" x14ac:dyDescent="0.2">
      <c r="A4" s="1848"/>
      <c r="B4" s="1848"/>
      <c r="C4" s="1848"/>
      <c r="D4" s="1848"/>
      <c r="E4" s="1848"/>
      <c r="F4" s="1849"/>
    </row>
    <row r="5" spans="1:10" ht="15" x14ac:dyDescent="0.25">
      <c r="A5" s="2299" t="s">
        <v>1546</v>
      </c>
      <c r="B5" s="2300"/>
      <c r="C5" s="2301"/>
      <c r="D5" s="2301"/>
      <c r="E5" s="2301"/>
      <c r="F5" s="2301"/>
    </row>
    <row r="6" spans="1:10" ht="12" customHeight="1" x14ac:dyDescent="0.25">
      <c r="A6" s="1850"/>
      <c r="B6" s="1851"/>
      <c r="C6" s="2302" t="str">
        <f>COVER!A17</f>
        <v>Egyptian CUSD 5</v>
      </c>
      <c r="D6" s="2302"/>
      <c r="E6" s="2302"/>
      <c r="F6" s="1852"/>
    </row>
    <row r="7" spans="1:10" ht="11.25" customHeight="1" thickBot="1" x14ac:dyDescent="0.3">
      <c r="A7" s="1850"/>
      <c r="B7" s="1851"/>
      <c r="C7" s="2303">
        <f>COVER!A13</f>
        <v>30002005026</v>
      </c>
      <c r="D7" s="2303"/>
      <c r="E7" s="2303"/>
      <c r="F7" s="1852"/>
    </row>
    <row r="8" spans="1:10" ht="25.5" customHeight="1" thickBot="1" x14ac:dyDescent="0.25">
      <c r="A8" s="1893" t="s">
        <v>1905</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c r="F26" s="1867" t="s">
        <v>2077</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2064</v>
      </c>
      <c r="D31" s="1865" t="s">
        <v>2064</v>
      </c>
      <c r="E31" s="1868"/>
      <c r="F31" s="1867" t="s">
        <v>2078</v>
      </c>
      <c r="H31" s="1878">
        <f t="shared" si="0"/>
        <v>5</v>
      </c>
      <c r="I31" s="1878">
        <f t="shared" si="1"/>
        <v>5</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0</v>
      </c>
      <c r="K34" s="1878">
        <f>SUM(H34:J34)</f>
        <v>20</v>
      </c>
    </row>
    <row r="35" spans="1:11" ht="12" customHeight="1" x14ac:dyDescent="0.2">
      <c r="A35" s="1871" t="s">
        <v>1392</v>
      </c>
      <c r="B35" s="1872"/>
      <c r="C35" s="2304"/>
      <c r="D35" s="2304"/>
      <c r="E35" s="2304"/>
      <c r="F35" s="2305"/>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309"/>
      <c r="B38" s="2310"/>
      <c r="C38" s="2310"/>
      <c r="D38" s="2310"/>
      <c r="E38" s="2310"/>
      <c r="F38" s="2311"/>
    </row>
    <row r="39" spans="1:11" ht="4.5" hidden="1" customHeight="1" x14ac:dyDescent="0.2">
      <c r="A39" s="1873"/>
      <c r="B39" s="1873"/>
      <c r="C39" s="1873"/>
      <c r="D39" s="1873"/>
      <c r="E39" s="1873"/>
      <c r="F39" s="1873"/>
    </row>
    <row r="40" spans="1:11" s="1870" customFormat="1" ht="12" customHeight="1" x14ac:dyDescent="0.25">
      <c r="A40" s="1874" t="s">
        <v>1391</v>
      </c>
      <c r="B40" s="1875"/>
      <c r="C40" s="2312"/>
      <c r="D40" s="2312"/>
      <c r="E40" s="2312"/>
      <c r="F40" s="2313"/>
      <c r="H40" s="1879"/>
      <c r="I40" s="1879"/>
      <c r="J40" s="1879"/>
      <c r="K40" s="1879"/>
    </row>
    <row r="41" spans="1:11" s="1870" customFormat="1" ht="12" customHeight="1" x14ac:dyDescent="0.25">
      <c r="A41" s="2314"/>
      <c r="B41" s="2315"/>
      <c r="C41" s="2315"/>
      <c r="D41" s="2315"/>
      <c r="E41" s="2315"/>
      <c r="F41" s="2316"/>
      <c r="H41" s="1879"/>
      <c r="I41" s="1879"/>
      <c r="J41" s="1879"/>
      <c r="K41" s="1879"/>
    </row>
    <row r="42" spans="1:11" s="1870" customFormat="1" ht="12" customHeight="1" x14ac:dyDescent="0.25">
      <c r="A42" s="2314"/>
      <c r="B42" s="2315"/>
      <c r="C42" s="2315"/>
      <c r="D42" s="2315"/>
      <c r="E42" s="2315"/>
      <c r="F42" s="2316"/>
      <c r="H42" s="1879"/>
      <c r="I42" s="1879"/>
      <c r="J42" s="1879"/>
      <c r="K42" s="1879"/>
    </row>
    <row r="43" spans="1:11" s="1870" customFormat="1" ht="15" x14ac:dyDescent="0.25">
      <c r="A43" s="2306"/>
      <c r="B43" s="2307"/>
      <c r="C43" s="2307"/>
      <c r="D43" s="2307"/>
      <c r="E43" s="2307"/>
      <c r="F43" s="2308"/>
      <c r="H43" s="1879"/>
      <c r="I43" s="1879"/>
      <c r="J43" s="1879"/>
      <c r="K43" s="1879"/>
    </row>
    <row r="44" spans="1:11" s="1870" customFormat="1" ht="12" hidden="1" customHeight="1" x14ac:dyDescent="0.25">
      <c r="A44" s="2306"/>
      <c r="B44" s="2307"/>
      <c r="C44" s="2307"/>
      <c r="D44" s="2307"/>
      <c r="E44" s="2307"/>
      <c r="F44" s="2308"/>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verticalCentered="1" headings="1"/>
  <pageMargins left="0.3" right="0.2" top="0.68" bottom="0.5" header="0.17" footer="0.4"/>
  <pageSetup scale="75" orientation="landscape" r:id="rId1"/>
  <headerFooter>
    <oddFooter>&amp;C&amp;8See Independent Auditors Report.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5" colorId="8" zoomScale="110" zoomScaleNormal="110" workbookViewId="0">
      <selection activeCell="F20" sqref="F2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2" t="str">
        <f>COVER!A17</f>
        <v>Egyptian CUSD 5</v>
      </c>
      <c r="J6" s="2323"/>
      <c r="Q6" s="1664"/>
    </row>
    <row r="7" spans="1:17" x14ac:dyDescent="0.2">
      <c r="A7" s="2324" t="s">
        <v>869</v>
      </c>
      <c r="B7" s="2325"/>
      <c r="C7" s="2325"/>
      <c r="D7" s="2325"/>
      <c r="E7" s="2326"/>
      <c r="F7" s="1017"/>
      <c r="G7" s="1009"/>
      <c r="H7" s="1016" t="s">
        <v>372</v>
      </c>
      <c r="I7" s="2327">
        <f>COVER!A13</f>
        <v>30002005026</v>
      </c>
      <c r="J7" s="2327"/>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1976</v>
      </c>
      <c r="F9" s="1023"/>
      <c r="G9" s="1023"/>
      <c r="H9" s="1896"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8" t="s">
        <v>481</v>
      </c>
      <c r="B11" s="2329"/>
      <c r="C11" s="233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303506</v>
      </c>
      <c r="F12" s="1039"/>
      <c r="G12" s="1811">
        <f t="shared" ref="G12:G18" si="0">SUM(E12:F12)</f>
        <v>303506</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18407</v>
      </c>
      <c r="F15" s="1811">
        <f>'Expenditures 15-22'!K122</f>
        <v>0</v>
      </c>
      <c r="G15" s="1811">
        <f t="shared" si="0"/>
        <v>18407</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1" t="s">
        <v>7</v>
      </c>
      <c r="C18" s="2332"/>
      <c r="D18" s="2333"/>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321913</v>
      </c>
      <c r="F19" s="1813">
        <f t="shared" si="2"/>
        <v>0</v>
      </c>
      <c r="G19" s="1813">
        <f t="shared" si="2"/>
        <v>321913</v>
      </c>
      <c r="H19" s="1813">
        <f t="shared" si="2"/>
        <v>0</v>
      </c>
      <c r="I19" s="1813">
        <f t="shared" si="2"/>
        <v>0</v>
      </c>
      <c r="J19" s="1813">
        <f t="shared" si="2"/>
        <v>0</v>
      </c>
    </row>
    <row r="20" spans="1:10" ht="13.5" thickTop="1" x14ac:dyDescent="0.2">
      <c r="A20" s="1035">
        <v>9</v>
      </c>
      <c r="B20" s="2334" t="s">
        <v>1978</v>
      </c>
      <c r="C20" s="2334"/>
      <c r="D20" s="2335"/>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40"/>
      <c r="D26" s="2340"/>
      <c r="E26" s="1050"/>
      <c r="F26" s="2339"/>
      <c r="G26" s="2339"/>
    </row>
    <row r="27" spans="1:10" x14ac:dyDescent="0.2">
      <c r="B27" s="1047"/>
      <c r="C27" s="1051" t="s">
        <v>1033</v>
      </c>
      <c r="D27" s="1052"/>
      <c r="E27" s="1053"/>
      <c r="F27" s="2336" t="s">
        <v>1509</v>
      </c>
      <c r="G27" s="2336"/>
    </row>
    <row r="28" spans="1:10" ht="28.5" customHeight="1" x14ac:dyDescent="0.2">
      <c r="B28" s="1047"/>
      <c r="C28" s="2338"/>
      <c r="D28" s="2338"/>
      <c r="E28" s="1054"/>
      <c r="F28" s="2338"/>
      <c r="G28" s="2338"/>
    </row>
    <row r="29" spans="1:10" x14ac:dyDescent="0.2">
      <c r="B29" s="1047"/>
      <c r="C29" s="1055" t="s">
        <v>1561</v>
      </c>
      <c r="E29" s="1056"/>
      <c r="F29" s="2337" t="s">
        <v>1510</v>
      </c>
      <c r="G29" s="233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2"/>
    </row>
    <row r="36" spans="1:10" ht="13.5" customHeight="1" x14ac:dyDescent="0.2">
      <c r="B36" s="1061"/>
      <c r="C36" s="2321" t="s">
        <v>1980</v>
      </c>
      <c r="D36" s="2320"/>
      <c r="E36" s="2320"/>
      <c r="F36" s="2320"/>
      <c r="G36" s="2320"/>
      <c r="H36" s="2320"/>
      <c r="I36" s="2320"/>
      <c r="J36" s="1063"/>
    </row>
    <row r="37" spans="1:10" ht="22.5" customHeight="1" x14ac:dyDescent="0.2">
      <c r="C37" s="2320"/>
      <c r="D37" s="2320"/>
      <c r="E37" s="2320"/>
      <c r="F37" s="2320"/>
      <c r="G37" s="2320"/>
      <c r="H37" s="2320"/>
      <c r="I37" s="2320"/>
      <c r="J37" s="1063"/>
    </row>
    <row r="38" spans="1:10" ht="7.5" customHeight="1" x14ac:dyDescent="0.2">
      <c r="C38" s="1062"/>
      <c r="D38" s="1064"/>
      <c r="E38" s="1065"/>
      <c r="F38" s="1066"/>
      <c r="G38" s="1065"/>
    </row>
    <row r="39" spans="1:10" ht="13.5" customHeight="1" x14ac:dyDescent="0.2">
      <c r="B39" s="1061"/>
      <c r="C39" s="2317" t="s">
        <v>882</v>
      </c>
      <c r="D39" s="2318"/>
      <c r="E39" s="2318"/>
      <c r="F39" s="2318"/>
      <c r="G39" s="2318"/>
      <c r="H39" s="2318"/>
      <c r="I39" s="231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verticalCentered="1"/>
  <pageMargins left="0.5" right="0.5" top="0.9" bottom="0.63" header="0.28000000000000003" footer="0.5"/>
  <pageSetup scale="80" firstPageNumber="31" orientation="landscape" useFirstPageNumber="1" r:id="rId1"/>
  <headerFooter alignWithMargins="0">
    <oddHeader>&amp;L&amp;8Page 32&amp;C &amp;R&amp;8Page 32</oddHeader>
    <oddFooter>&amp;CSee Independent Auditors' Report.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J60"/>
  <sheetViews>
    <sheetView showGridLines="0" topLeftCell="A19" zoomScale="110" zoomScaleNormal="110" workbookViewId="0">
      <selection activeCell="O31" sqref="O31"/>
    </sheetView>
  </sheetViews>
  <sheetFormatPr defaultRowHeight="12.75" x14ac:dyDescent="0.2"/>
  <cols>
    <col min="1" max="1" width="3" style="329" customWidth="1"/>
    <col min="2" max="2" width="19.7109375" style="329" customWidth="1"/>
    <col min="3" max="3" width="1.42578125" style="329" customWidth="1"/>
    <col min="4" max="4" width="5" style="329" bestFit="1" customWidth="1"/>
    <col min="5" max="5" width="1.5703125" style="329" customWidth="1"/>
    <col min="6" max="6" width="10.85546875" style="329" bestFit="1" customWidth="1"/>
    <col min="7" max="7" width="1.5703125" style="329" customWidth="1"/>
    <col min="8" max="8" width="35.42578125" style="329" bestFit="1" customWidth="1"/>
    <col min="9" max="9" width="1.85546875" style="329" customWidth="1"/>
    <col min="10" max="10" width="11" style="329" bestFit="1" customWidth="1"/>
    <col min="11" max="16384" width="9.140625" style="329"/>
  </cols>
  <sheetData>
    <row r="2" spans="1:10" x14ac:dyDescent="0.2">
      <c r="A2" s="389" t="s">
        <v>258</v>
      </c>
    </row>
    <row r="3" spans="1:10" x14ac:dyDescent="0.2">
      <c r="A3" s="329" t="s">
        <v>259</v>
      </c>
    </row>
    <row r="6" spans="1:10" x14ac:dyDescent="0.2">
      <c r="B6" s="1941" t="s">
        <v>2082</v>
      </c>
      <c r="C6" s="1940"/>
      <c r="D6" s="1941" t="s">
        <v>1077</v>
      </c>
      <c r="E6" s="1940"/>
      <c r="F6" s="1941" t="s">
        <v>2083</v>
      </c>
      <c r="G6" s="1940"/>
      <c r="H6" s="1941" t="s">
        <v>481</v>
      </c>
      <c r="I6" s="1940"/>
      <c r="J6" s="1941" t="s">
        <v>865</v>
      </c>
    </row>
    <row r="7" spans="1:10" x14ac:dyDescent="0.2">
      <c r="A7" s="1068">
        <v>1</v>
      </c>
      <c r="B7" s="1940">
        <v>190</v>
      </c>
      <c r="C7" s="1940"/>
      <c r="D7" s="1940">
        <v>10</v>
      </c>
      <c r="E7" s="1940"/>
      <c r="F7" s="1940"/>
      <c r="H7" s="329" t="s">
        <v>2084</v>
      </c>
      <c r="J7" s="1943">
        <v>21462</v>
      </c>
    </row>
    <row r="8" spans="1:10" x14ac:dyDescent="0.2">
      <c r="A8" s="1068"/>
      <c r="B8" s="1940"/>
      <c r="C8" s="1940"/>
      <c r="D8" s="1940"/>
      <c r="E8" s="1940"/>
      <c r="F8" s="1940"/>
      <c r="H8" s="329" t="s">
        <v>2085</v>
      </c>
      <c r="J8" s="1942">
        <v>1995</v>
      </c>
    </row>
    <row r="9" spans="1:10" ht="15" x14ac:dyDescent="0.35">
      <c r="A9" s="1068"/>
      <c r="B9" s="1940"/>
      <c r="C9" s="1940"/>
      <c r="D9" s="1940"/>
      <c r="E9" s="1940"/>
      <c r="F9" s="1940"/>
      <c r="J9" s="1944">
        <f>SUM(J7:J8)</f>
        <v>23457</v>
      </c>
    </row>
    <row r="10" spans="1:10" ht="15" x14ac:dyDescent="0.35">
      <c r="A10" s="1068"/>
      <c r="B10" s="1940"/>
      <c r="C10" s="1940"/>
      <c r="D10" s="1940"/>
      <c r="E10" s="1940"/>
      <c r="F10" s="1940"/>
      <c r="J10" s="1944"/>
    </row>
    <row r="11" spans="1:10" ht="15" x14ac:dyDescent="0.35">
      <c r="A11" s="1068">
        <v>2</v>
      </c>
      <c r="B11" s="1940">
        <v>1993</v>
      </c>
      <c r="C11" s="1940"/>
      <c r="D11" s="1940">
        <v>10</v>
      </c>
      <c r="E11" s="1940"/>
      <c r="F11" s="1940"/>
      <c r="H11" s="329" t="s">
        <v>2086</v>
      </c>
      <c r="J11" s="1944">
        <v>24</v>
      </c>
    </row>
    <row r="12" spans="1:10" x14ac:dyDescent="0.2">
      <c r="A12" s="1068"/>
      <c r="B12" s="1940"/>
      <c r="C12" s="1940"/>
      <c r="D12" s="1940"/>
      <c r="E12" s="1940"/>
      <c r="F12" s="1940"/>
    </row>
    <row r="13" spans="1:10" ht="15" x14ac:dyDescent="0.35">
      <c r="A13" s="1068">
        <v>3</v>
      </c>
      <c r="B13" s="1940">
        <v>1999</v>
      </c>
      <c r="C13" s="1940"/>
      <c r="D13" s="1940">
        <v>10</v>
      </c>
      <c r="E13" s="1940"/>
      <c r="F13" s="1940"/>
      <c r="H13" s="329" t="s">
        <v>2087</v>
      </c>
      <c r="J13" s="1944">
        <v>7753</v>
      </c>
    </row>
    <row r="14" spans="1:10" x14ac:dyDescent="0.2">
      <c r="A14" s="1068"/>
      <c r="B14" s="1940"/>
      <c r="C14" s="1940"/>
      <c r="D14" s="1940"/>
      <c r="E14" s="1940"/>
      <c r="F14" s="1940"/>
    </row>
    <row r="15" spans="1:10" ht="15" x14ac:dyDescent="0.35">
      <c r="A15" s="1068">
        <v>4</v>
      </c>
      <c r="B15" s="1940">
        <v>1999</v>
      </c>
      <c r="C15" s="1940"/>
      <c r="D15" s="1940">
        <v>40</v>
      </c>
      <c r="E15" s="1940"/>
      <c r="F15" s="1940"/>
      <c r="H15" s="329" t="s">
        <v>2088</v>
      </c>
      <c r="J15" s="1944">
        <v>103</v>
      </c>
    </row>
    <row r="16" spans="1:10" x14ac:dyDescent="0.2">
      <c r="A16" s="1068"/>
      <c r="B16" s="1940"/>
      <c r="C16" s="1940"/>
      <c r="D16" s="1940"/>
      <c r="E16" s="1940"/>
      <c r="F16" s="1940"/>
    </row>
    <row r="17" spans="1:10" ht="15" x14ac:dyDescent="0.35">
      <c r="A17" s="1068">
        <v>5</v>
      </c>
      <c r="B17" s="1940">
        <v>4299</v>
      </c>
      <c r="C17" s="1940"/>
      <c r="D17" s="1940">
        <v>10</v>
      </c>
      <c r="E17" s="1940"/>
      <c r="F17" s="1940"/>
      <c r="H17" s="329" t="s">
        <v>2089</v>
      </c>
      <c r="J17" s="1944">
        <v>18004</v>
      </c>
    </row>
    <row r="18" spans="1:10" x14ac:dyDescent="0.2">
      <c r="A18" s="1068"/>
      <c r="B18" s="1940"/>
      <c r="C18" s="1940"/>
      <c r="D18" s="1940"/>
      <c r="E18" s="1940"/>
      <c r="F18" s="1940"/>
    </row>
    <row r="19" spans="1:10" ht="15" x14ac:dyDescent="0.35">
      <c r="A19" s="1068">
        <v>6</v>
      </c>
      <c r="B19" s="1940">
        <v>4999</v>
      </c>
      <c r="C19" s="1940"/>
      <c r="D19" s="1940">
        <v>10</v>
      </c>
      <c r="E19" s="1940"/>
      <c r="F19" s="1940"/>
      <c r="H19" s="329" t="s">
        <v>2090</v>
      </c>
      <c r="J19" s="1944">
        <v>10135</v>
      </c>
    </row>
    <row r="20" spans="1:10" x14ac:dyDescent="0.2">
      <c r="A20" s="1069"/>
      <c r="B20" s="1940"/>
      <c r="C20" s="1940"/>
      <c r="D20" s="1940"/>
      <c r="E20" s="1940"/>
      <c r="F20" s="1940"/>
    </row>
    <row r="21" spans="1:10" ht="15" x14ac:dyDescent="0.35">
      <c r="A21" s="1068">
        <v>7</v>
      </c>
      <c r="B21" s="1940">
        <v>2190</v>
      </c>
      <c r="C21" s="1940"/>
      <c r="D21" s="1940">
        <v>10</v>
      </c>
      <c r="E21" s="1940"/>
      <c r="F21" s="1940">
        <v>100</v>
      </c>
      <c r="H21" s="329" t="s">
        <v>2091</v>
      </c>
      <c r="J21" s="1944">
        <v>14071</v>
      </c>
    </row>
    <row r="22" spans="1:10" ht="15" x14ac:dyDescent="0.35">
      <c r="A22" s="1069"/>
      <c r="B22" s="1940"/>
      <c r="C22" s="1940"/>
      <c r="D22" s="1940"/>
      <c r="E22" s="1940"/>
      <c r="F22" s="1940"/>
      <c r="J22" s="1944"/>
    </row>
    <row r="23" spans="1:10" ht="15" x14ac:dyDescent="0.35">
      <c r="A23" s="1068">
        <v>8</v>
      </c>
      <c r="B23" s="1940">
        <v>2190</v>
      </c>
      <c r="C23" s="1940"/>
      <c r="D23" s="1940">
        <v>10</v>
      </c>
      <c r="E23" s="1940"/>
      <c r="F23" s="1940">
        <v>200</v>
      </c>
      <c r="H23" s="329" t="s">
        <v>2092</v>
      </c>
      <c r="J23" s="1944">
        <v>11</v>
      </c>
    </row>
    <row r="24" spans="1:10" x14ac:dyDescent="0.2">
      <c r="A24" s="1068"/>
      <c r="B24" s="1940"/>
      <c r="C24" s="1940"/>
      <c r="D24" s="1940"/>
      <c r="E24" s="1940"/>
      <c r="F24" s="1940"/>
    </row>
    <row r="25" spans="1:10" ht="15" x14ac:dyDescent="0.35">
      <c r="A25" s="1068">
        <v>9</v>
      </c>
      <c r="B25" s="1940">
        <v>2900</v>
      </c>
      <c r="C25" s="1940"/>
      <c r="D25" s="1940">
        <v>10</v>
      </c>
      <c r="E25" s="1940"/>
      <c r="F25" s="1940">
        <v>100</v>
      </c>
      <c r="H25" s="329" t="s">
        <v>2093</v>
      </c>
      <c r="J25" s="1944">
        <v>8000</v>
      </c>
    </row>
    <row r="26" spans="1:10" ht="15" x14ac:dyDescent="0.35">
      <c r="A26" s="1068"/>
      <c r="B26" s="1940"/>
      <c r="C26" s="1940"/>
      <c r="D26" s="1940"/>
      <c r="E26" s="1940"/>
      <c r="F26" s="1940"/>
      <c r="J26" s="1944"/>
    </row>
    <row r="27" spans="1:10" ht="15" x14ac:dyDescent="0.35">
      <c r="A27" s="1068">
        <v>10</v>
      </c>
      <c r="B27" s="1940">
        <v>2900</v>
      </c>
      <c r="C27" s="1940"/>
      <c r="D27" s="1940">
        <v>10</v>
      </c>
      <c r="E27" s="1940"/>
      <c r="F27" s="1940">
        <v>400</v>
      </c>
      <c r="H27" s="329" t="s">
        <v>2095</v>
      </c>
      <c r="J27" s="1944">
        <v>4740</v>
      </c>
    </row>
    <row r="28" spans="1:10" ht="15" x14ac:dyDescent="0.35">
      <c r="A28" s="1068"/>
      <c r="B28" s="1940"/>
      <c r="C28" s="1940"/>
      <c r="D28" s="1940"/>
      <c r="E28" s="1940"/>
      <c r="F28" s="1940"/>
      <c r="J28" s="1944"/>
    </row>
    <row r="29" spans="1:10" ht="15" x14ac:dyDescent="0.35">
      <c r="A29" s="1068">
        <v>11</v>
      </c>
      <c r="B29" s="1940">
        <v>2900</v>
      </c>
      <c r="C29" s="1940"/>
      <c r="D29" s="1940">
        <v>10</v>
      </c>
      <c r="E29" s="1940"/>
      <c r="F29" s="1940">
        <v>500</v>
      </c>
      <c r="H29" s="329" t="s">
        <v>2096</v>
      </c>
      <c r="J29" s="1944">
        <v>5375</v>
      </c>
    </row>
    <row r="30" spans="1:10" ht="15" x14ac:dyDescent="0.35">
      <c r="A30" s="1068"/>
      <c r="B30" s="1940"/>
      <c r="C30" s="1940"/>
      <c r="D30" s="1940"/>
      <c r="E30" s="1940"/>
      <c r="F30" s="1940"/>
      <c r="J30" s="1944"/>
    </row>
    <row r="31" spans="1:10" ht="15" x14ac:dyDescent="0.35">
      <c r="A31" s="1068">
        <v>12</v>
      </c>
      <c r="B31" s="1940">
        <v>4190</v>
      </c>
      <c r="C31" s="1940"/>
      <c r="D31" s="1940">
        <v>10</v>
      </c>
      <c r="E31" s="1940"/>
      <c r="F31" s="1940">
        <v>300</v>
      </c>
      <c r="H31" s="329" t="s">
        <v>2097</v>
      </c>
      <c r="J31" s="1944">
        <v>24000</v>
      </c>
    </row>
    <row r="32" spans="1:10" ht="15" x14ac:dyDescent="0.35">
      <c r="A32" s="1068"/>
      <c r="B32" s="1940"/>
      <c r="C32" s="1940"/>
      <c r="D32" s="1940"/>
      <c r="E32" s="1940"/>
      <c r="F32" s="1940"/>
      <c r="J32" s="1944"/>
    </row>
    <row r="33" spans="1:10" ht="15" x14ac:dyDescent="0.35">
      <c r="A33" s="1068">
        <v>13</v>
      </c>
      <c r="B33" s="1940">
        <v>4190</v>
      </c>
      <c r="C33" s="1940"/>
      <c r="D33" s="1940">
        <v>10</v>
      </c>
      <c r="E33" s="1940"/>
      <c r="F33" s="1940">
        <v>600</v>
      </c>
      <c r="H33" s="329" t="s">
        <v>2098</v>
      </c>
      <c r="J33" s="1944">
        <v>728</v>
      </c>
    </row>
    <row r="34" spans="1:10" ht="15" x14ac:dyDescent="0.35">
      <c r="A34" s="1068"/>
      <c r="B34" s="1940"/>
      <c r="C34" s="1940"/>
      <c r="D34" s="1940"/>
      <c r="E34" s="1940"/>
      <c r="F34" s="1940"/>
      <c r="J34" s="1944"/>
    </row>
    <row r="35" spans="1:10" ht="15" x14ac:dyDescent="0.35">
      <c r="A35" s="1068">
        <v>14</v>
      </c>
      <c r="B35" s="1940">
        <v>2190</v>
      </c>
      <c r="C35" s="1940"/>
      <c r="D35" s="1940">
        <v>50</v>
      </c>
      <c r="E35" s="1940"/>
      <c r="F35" s="1940">
        <v>200</v>
      </c>
      <c r="H35" s="329" t="s">
        <v>2092</v>
      </c>
      <c r="J35" s="1944">
        <v>1760</v>
      </c>
    </row>
    <row r="36" spans="1:10" ht="15" x14ac:dyDescent="0.35">
      <c r="A36" s="1068"/>
      <c r="B36" s="1940"/>
      <c r="C36" s="1940"/>
      <c r="D36" s="1940"/>
      <c r="E36" s="1940"/>
      <c r="F36" s="1940"/>
      <c r="J36" s="1944"/>
    </row>
    <row r="37" spans="1:10" ht="15" x14ac:dyDescent="0.35">
      <c r="A37" s="1068">
        <v>15</v>
      </c>
      <c r="B37" s="1940">
        <v>2900</v>
      </c>
      <c r="C37" s="1940"/>
      <c r="D37" s="1940">
        <v>50</v>
      </c>
      <c r="E37" s="1940"/>
      <c r="F37" s="1940">
        <v>200</v>
      </c>
      <c r="H37" s="329" t="s">
        <v>2094</v>
      </c>
      <c r="J37" s="1944">
        <v>188</v>
      </c>
    </row>
    <row r="38" spans="1:10" ht="15" x14ac:dyDescent="0.35">
      <c r="A38" s="1068"/>
      <c r="B38" s="1940"/>
      <c r="C38" s="1940"/>
      <c r="D38" s="1940"/>
      <c r="E38" s="1940"/>
      <c r="F38" s="1940"/>
      <c r="J38" s="1944"/>
    </row>
    <row r="39" spans="1:10" ht="15" x14ac:dyDescent="0.35">
      <c r="A39" s="1068">
        <v>16</v>
      </c>
      <c r="B39" s="1940">
        <v>3999</v>
      </c>
      <c r="C39" s="1940"/>
      <c r="D39" s="1940">
        <v>10</v>
      </c>
      <c r="E39" s="1940"/>
      <c r="F39" s="1940"/>
      <c r="H39" s="329" t="s">
        <v>2169</v>
      </c>
      <c r="J39" s="1944">
        <v>58957</v>
      </c>
    </row>
    <row r="40" spans="1:10" x14ac:dyDescent="0.2">
      <c r="A40" s="1069"/>
      <c r="B40" s="1940"/>
      <c r="C40" s="1940"/>
      <c r="D40" s="1940"/>
      <c r="E40" s="1940"/>
      <c r="F40" s="1940"/>
    </row>
    <row r="41" spans="1:10" x14ac:dyDescent="0.2">
      <c r="A41" s="1069"/>
      <c r="B41" s="1940"/>
      <c r="C41" s="1940"/>
      <c r="D41" s="1940"/>
      <c r="E41" s="1940"/>
      <c r="F41" s="1940"/>
    </row>
    <row r="42" spans="1:10" x14ac:dyDescent="0.2">
      <c r="A42" s="1069"/>
      <c r="B42" s="1940"/>
      <c r="C42" s="1940"/>
      <c r="D42" s="1940"/>
      <c r="E42" s="1940"/>
      <c r="F42" s="1940"/>
    </row>
    <row r="43" spans="1:10" x14ac:dyDescent="0.2">
      <c r="A43" s="1069"/>
      <c r="B43" s="1940"/>
      <c r="C43" s="1940"/>
      <c r="D43" s="1940"/>
      <c r="E43" s="1940"/>
      <c r="F43" s="1940"/>
    </row>
    <row r="44" spans="1:10" x14ac:dyDescent="0.2">
      <c r="A44" s="1069"/>
      <c r="B44" s="1940"/>
      <c r="C44" s="1940"/>
      <c r="D44" s="1940"/>
      <c r="E44" s="1940"/>
      <c r="F44" s="1940"/>
    </row>
    <row r="45" spans="1:10" x14ac:dyDescent="0.2">
      <c r="A45" s="1069"/>
      <c r="B45" s="1940"/>
      <c r="C45" s="1940"/>
      <c r="D45" s="1940"/>
      <c r="E45" s="1940"/>
      <c r="F45" s="1940"/>
    </row>
    <row r="46" spans="1:10" x14ac:dyDescent="0.2">
      <c r="A46" s="1069"/>
      <c r="B46" s="1940"/>
      <c r="C46" s="1940"/>
      <c r="D46" s="1940"/>
      <c r="E46" s="1940"/>
      <c r="F46" s="1940"/>
    </row>
    <row r="47" spans="1:10" x14ac:dyDescent="0.2">
      <c r="A47" s="1069"/>
      <c r="B47" s="1940"/>
      <c r="C47" s="1940"/>
      <c r="D47" s="1940"/>
      <c r="E47" s="1940"/>
      <c r="F47" s="1940"/>
    </row>
    <row r="48" spans="1:10" x14ac:dyDescent="0.2">
      <c r="A48" s="1069"/>
      <c r="B48" s="1940"/>
      <c r="C48" s="1940"/>
      <c r="D48" s="1940"/>
      <c r="E48" s="1940"/>
      <c r="F48" s="1940"/>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c r="B59" s="258" t="str">
        <f>COVER!A17</f>
        <v>Egyptian CUSD 5</v>
      </c>
    </row>
    <row r="60" spans="1:2" x14ac:dyDescent="0.2">
      <c r="B60" s="1070">
        <f>COVER!A13</f>
        <v>30002005026</v>
      </c>
    </row>
  </sheetData>
  <phoneticPr fontId="14" type="noConversion"/>
  <pageMargins left="1" right="1"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1" t="s">
        <v>1685</v>
      </c>
      <c r="B18" s="234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5841" r:id="rId4">
          <objectPr defaultSize="0" r:id="rId5">
            <anchor moveWithCells="1">
              <from>
                <xdr:col>1</xdr:col>
                <xdr:colOff>0</xdr:colOff>
                <xdr:row>5</xdr:row>
                <xdr:rowOff>0</xdr:rowOff>
              </from>
              <to>
                <xdr:col>1</xdr:col>
                <xdr:colOff>904875</xdr:colOff>
                <xdr:row>8</xdr:row>
                <xdr:rowOff>28575</xdr:rowOff>
              </to>
            </anchor>
          </objectPr>
        </oleObject>
      </mc:Choice>
      <mc:Fallback>
        <oleObject progId="Packager Shell Objec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fitToPage="1"/>
  </sheetPr>
  <dimension ref="A1:H48"/>
  <sheetViews>
    <sheetView showGridLines="0" showZeros="0" zoomScale="110" zoomScaleNormal="110" workbookViewId="0">
      <selection activeCell="F20" sqref="F2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2" t="s">
        <v>1690</v>
      </c>
      <c r="B1" s="2343"/>
      <c r="C1" s="2343"/>
      <c r="D1" s="2343"/>
      <c r="E1" s="2343"/>
      <c r="F1" s="2344"/>
    </row>
    <row r="2" spans="1:8" ht="45" customHeight="1" x14ac:dyDescent="0.2">
      <c r="A2" s="2352" t="s">
        <v>1984</v>
      </c>
      <c r="B2" s="2353"/>
      <c r="C2" s="2353"/>
      <c r="D2" s="2353"/>
      <c r="E2" s="2353"/>
      <c r="F2" s="2354"/>
      <c r="G2" s="1074"/>
      <c r="H2" s="1074"/>
    </row>
    <row r="3" spans="1:8" ht="57" customHeight="1" x14ac:dyDescent="0.2">
      <c r="A3" s="2355" t="s">
        <v>1686</v>
      </c>
      <c r="B3" s="2356"/>
      <c r="C3" s="2356"/>
      <c r="D3" s="2356"/>
      <c r="E3" s="2356"/>
      <c r="F3" s="2357"/>
      <c r="G3" s="1074"/>
      <c r="H3" s="1074"/>
    </row>
    <row r="4" spans="1:8" ht="14.25" customHeight="1" x14ac:dyDescent="0.2">
      <c r="A4" s="2361" t="s">
        <v>1985</v>
      </c>
      <c r="B4" s="2362"/>
      <c r="C4" s="2362"/>
      <c r="D4" s="2362"/>
      <c r="E4" s="2362"/>
      <c r="F4" s="2363"/>
      <c r="G4" s="1074"/>
      <c r="H4" s="1074"/>
    </row>
    <row r="5" spans="1:8" ht="14.25" customHeight="1" x14ac:dyDescent="0.2">
      <c r="A5" s="2364" t="s">
        <v>1981</v>
      </c>
      <c r="B5" s="2365"/>
      <c r="C5" s="2365"/>
      <c r="D5" s="2365"/>
      <c r="E5" s="2365"/>
      <c r="F5" s="2366"/>
      <c r="G5" s="1074"/>
      <c r="H5" s="1074"/>
    </row>
    <row r="6" spans="1:8" s="1075" customFormat="1" ht="41.25" customHeight="1" x14ac:dyDescent="0.2">
      <c r="A6" s="2358" t="s">
        <v>1691</v>
      </c>
      <c r="B6" s="2359"/>
      <c r="C6" s="2359"/>
      <c r="D6" s="2359"/>
      <c r="E6" s="2359"/>
      <c r="F6" s="2360"/>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4725233</v>
      </c>
      <c r="C8" s="1815">
        <f>'Acct Summary 7-8'!D8</f>
        <v>118661</v>
      </c>
      <c r="D8" s="1815">
        <f>'Acct Summary 7-8'!F8</f>
        <v>278219</v>
      </c>
      <c r="E8" s="1815">
        <f>'Acct Summary 7-8'!I8</f>
        <v>0</v>
      </c>
      <c r="F8" s="1815">
        <f>SUM(B8:E8)</f>
        <v>5122113</v>
      </c>
    </row>
    <row r="9" spans="1:8" s="1079" customFormat="1" ht="14.25" customHeight="1" thickBot="1" x14ac:dyDescent="0.25">
      <c r="A9" s="1078" t="s">
        <v>1369</v>
      </c>
      <c r="B9" s="1816">
        <f>'Acct Summary 7-8'!C17</f>
        <v>4453914</v>
      </c>
      <c r="C9" s="1816">
        <f>'Acct Summary 7-8'!D17</f>
        <v>90682</v>
      </c>
      <c r="D9" s="1816">
        <f>'Acct Summary 7-8'!F17</f>
        <v>273602</v>
      </c>
      <c r="E9" s="1815"/>
      <c r="F9" s="1815">
        <f>SUM(B9:E9)</f>
        <v>4818198</v>
      </c>
    </row>
    <row r="10" spans="1:8" s="1079" customFormat="1" ht="14.25" thickTop="1" thickBot="1" x14ac:dyDescent="0.25">
      <c r="A10" s="1080" t="s">
        <v>1370</v>
      </c>
      <c r="B10" s="1817">
        <f>(B8-B9)</f>
        <v>271319</v>
      </c>
      <c r="C10" s="1817">
        <f>(C8-C9)</f>
        <v>27979</v>
      </c>
      <c r="D10" s="1817">
        <f>(D8-D9)</f>
        <v>4617</v>
      </c>
      <c r="E10" s="1816">
        <f>(E8-E9)</f>
        <v>0</v>
      </c>
      <c r="F10" s="1818">
        <f>SUM(F8-F9)</f>
        <v>303915</v>
      </c>
    </row>
    <row r="11" spans="1:8" s="1079" customFormat="1" ht="14.25" thickTop="1" thickBot="1" x14ac:dyDescent="0.25">
      <c r="A11" s="1081" t="s">
        <v>1982</v>
      </c>
      <c r="B11" s="1819">
        <f>'Acct Summary 7-8'!C81</f>
        <v>3483487</v>
      </c>
      <c r="C11" s="1819">
        <f>'Acct Summary 7-8'!D81</f>
        <v>184310</v>
      </c>
      <c r="D11" s="1819">
        <f>'Acct Summary 7-8'!F81</f>
        <v>102187</v>
      </c>
      <c r="E11" s="1819">
        <f>'Acct Summary 7-8'!I81</f>
        <v>0</v>
      </c>
      <c r="F11" s="1820">
        <f>SUM(B11:E11)</f>
        <v>3769984</v>
      </c>
    </row>
    <row r="12" spans="1:8" ht="16.5" customHeight="1" thickTop="1" x14ac:dyDescent="0.2">
      <c r="A12" s="1082"/>
      <c r="B12" s="1083"/>
      <c r="C12" s="2346" t="str">
        <f>IF(AND(F10&lt;0,F11&gt;=0,ABS(F10*3)&gt;ABS(F11)),A16,IF(AND(F10&lt;0,F11&gt;0,ABS(F10*3)&lt;=ABS(F11)),A17,IF(AND(F10&lt;0,F11&lt;0),A16,IF(F11=0,A19,A18))))</f>
        <v>Balanced - no deficit reduction plan is required.</v>
      </c>
      <c r="D12" s="2347"/>
      <c r="E12" s="2347"/>
      <c r="F12" s="2348"/>
    </row>
    <row r="13" spans="1:8" ht="19.5" customHeight="1" x14ac:dyDescent="0.2">
      <c r="A13" s="1084"/>
      <c r="B13" s="1085"/>
      <c r="C13" s="2346"/>
      <c r="D13" s="2347"/>
      <c r="E13" s="2347"/>
      <c r="F13" s="2348"/>
      <c r="H13" s="1074"/>
    </row>
    <row r="14" spans="1:8" ht="19.5" customHeight="1" x14ac:dyDescent="0.2">
      <c r="A14" s="1084"/>
      <c r="B14" s="1085"/>
      <c r="C14" s="2346"/>
      <c r="D14" s="2347"/>
      <c r="E14" s="2347"/>
      <c r="F14" s="2348"/>
      <c r="H14" s="1074"/>
    </row>
    <row r="15" spans="1:8" ht="17.25" customHeight="1" x14ac:dyDescent="0.2">
      <c r="A15" s="1084"/>
      <c r="B15" s="1085"/>
      <c r="C15" s="2349"/>
      <c r="D15" s="2350"/>
      <c r="E15" s="2350"/>
      <c r="F15" s="2351"/>
      <c r="H15" s="1074"/>
    </row>
    <row r="16" spans="1:8" s="310" customFormat="1" ht="51.75" hidden="1" customHeight="1" x14ac:dyDescent="0.2">
      <c r="A16" s="2345" t="s">
        <v>1687</v>
      </c>
      <c r="B16" s="2345"/>
      <c r="C16" s="2345"/>
      <c r="D16" s="2345"/>
      <c r="E16" s="2345"/>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verticalCentered="1" headings="1"/>
  <pageMargins left="0.75" right="0.75" top="1" bottom="1" header="0.5" footer="0.5"/>
  <pageSetup firstPageNumber="19" fitToHeight="0" orientation="landscape" useFirstPageNumber="1" r:id="rId1"/>
  <headerFooter alignWithMargins="0">
    <oddHeader xml:space="preserve">&amp;L&amp;8Page 36&amp;R&amp;8Page 36
</oddHeader>
    <oddFooter>&amp;CSee Independent Auditors' Report.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1" colorId="8" zoomScale="110" zoomScaleNormal="110" workbookViewId="0">
      <selection activeCell="D78" sqref="D7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7" t="s">
        <v>665</v>
      </c>
      <c r="B3" s="2368"/>
      <c r="C3" s="2368"/>
      <c r="D3" s="2369"/>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8" t="s">
        <v>1504</v>
      </c>
      <c r="D7" s="2379"/>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0" t="s">
        <v>1008</v>
      </c>
      <c r="B15" s="2371"/>
      <c r="C15" s="2371"/>
      <c r="D15" s="2372"/>
    </row>
    <row r="16" spans="1:4" s="668" customFormat="1" ht="24" customHeight="1" x14ac:dyDescent="0.2">
      <c r="A16" s="2373" t="s">
        <v>663</v>
      </c>
      <c r="B16" s="2374"/>
      <c r="C16" s="2374"/>
      <c r="D16" s="2375"/>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2" t="s">
        <v>314</v>
      </c>
      <c r="D21" s="2383"/>
    </row>
    <row r="22" spans="1:10" ht="12.75" x14ac:dyDescent="0.2">
      <c r="A22" s="1139"/>
      <c r="B22" s="1140">
        <v>2</v>
      </c>
      <c r="C22" s="2380" t="s">
        <v>1524</v>
      </c>
      <c r="D22" s="2381"/>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4" t="s">
        <v>536</v>
      </c>
      <c r="D43" s="2385"/>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6" t="s">
        <v>784</v>
      </c>
      <c r="D56" s="2377"/>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76" t="s">
        <v>1696</v>
      </c>
      <c r="D70" s="2377"/>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30002005026</v>
      </c>
    </row>
    <row r="3" spans="1:2" x14ac:dyDescent="0.2">
      <c r="A3" t="s">
        <v>956</v>
      </c>
      <c r="B3" s="138" t="str">
        <f>COVER!A15</f>
        <v>Alexander</v>
      </c>
    </row>
    <row r="4" spans="1:2" x14ac:dyDescent="0.2">
      <c r="A4" t="s">
        <v>1007</v>
      </c>
      <c r="B4" s="138" t="str">
        <f>COVER!A17</f>
        <v>Egyptian CUSD 5</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066-003889</v>
      </c>
    </row>
    <row r="16" spans="1:2" x14ac:dyDescent="0.2">
      <c r="A16" t="s">
        <v>422</v>
      </c>
      <c r="B16" s="138" t="str">
        <f>COVER!T13</f>
        <v>Beussink, Hey, Roe &amp; Stroder, LLC</v>
      </c>
    </row>
    <row r="17" spans="1:2" x14ac:dyDescent="0.2">
      <c r="A17" t="s">
        <v>884</v>
      </c>
      <c r="B17" s="138" t="str">
        <f>COVER!T15</f>
        <v>Jeffrey C. Stroder, CPA</v>
      </c>
    </row>
    <row r="18" spans="1:2" x14ac:dyDescent="0.2">
      <c r="A18" t="s">
        <v>1150</v>
      </c>
      <c r="B18" s="138" t="str">
        <f>COVER!T17</f>
        <v>16 S. Silver Springs Road</v>
      </c>
    </row>
    <row r="19" spans="1:2" x14ac:dyDescent="0.2">
      <c r="A19" t="s">
        <v>886</v>
      </c>
      <c r="B19" s="138" t="str">
        <f>COVER!T25</f>
        <v>jstroder@bhrcpas.com</v>
      </c>
    </row>
    <row r="20" spans="1:2" x14ac:dyDescent="0.2">
      <c r="A20" t="s">
        <v>887</v>
      </c>
      <c r="B20" s="138" t="str">
        <f>COVER!T19</f>
        <v>Cape Girardeau</v>
      </c>
    </row>
    <row r="21" spans="1:2" x14ac:dyDescent="0.2">
      <c r="A21" t="s">
        <v>479</v>
      </c>
      <c r="B21" s="138" t="str">
        <f>COVER!X19</f>
        <v>MO</v>
      </c>
    </row>
    <row r="22" spans="1:2" x14ac:dyDescent="0.2">
      <c r="A22" t="s">
        <v>888</v>
      </c>
      <c r="B22" s="138">
        <f>COVER!Z19</f>
        <v>63703</v>
      </c>
    </row>
    <row r="23" spans="1:2" x14ac:dyDescent="0.2">
      <c r="A23" t="s">
        <v>1152</v>
      </c>
      <c r="B23" s="138" t="str">
        <f>COVER!T21</f>
        <v>573-334-7971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2758961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23457</v>
      </c>
      <c r="D76" s="2" t="str">
        <f t="shared" si="0"/>
        <v>Error?</v>
      </c>
    </row>
    <row r="77" spans="1:4" x14ac:dyDescent="0.2">
      <c r="A77" s="5">
        <v>16</v>
      </c>
      <c r="B77" s="138">
        <f>'Assets-Liab 5-6'!C13</f>
        <v>3483487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3483487</v>
      </c>
      <c r="D92" s="2" t="str">
        <f t="shared" si="0"/>
        <v>Error?</v>
      </c>
    </row>
    <row r="93" spans="1:4" x14ac:dyDescent="0.2">
      <c r="A93" s="5">
        <v>32</v>
      </c>
      <c r="B93" s="138">
        <f>'Assets-Liab 5-6'!C41</f>
        <v>3483487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160740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184310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184310</v>
      </c>
      <c r="D123" s="2" t="str">
        <f t="shared" si="0"/>
        <v>Error?</v>
      </c>
    </row>
    <row r="124" spans="1:4" x14ac:dyDescent="0.2">
      <c r="A124" s="5">
        <v>63</v>
      </c>
      <c r="B124" s="138">
        <f>'Assets-Liab 5-6'!D41</f>
        <v>184310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34346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34346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102187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102187</v>
      </c>
      <c r="D170" s="2" t="str">
        <f t="shared" si="1"/>
        <v>Error?</v>
      </c>
    </row>
    <row r="171" spans="1:4" x14ac:dyDescent="0.2">
      <c r="A171" s="5">
        <v>110</v>
      </c>
      <c r="B171" s="138">
        <f>'Assets-Liab 5-6'!F41</f>
        <v>102187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60988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60988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71692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71692</v>
      </c>
      <c r="D212" s="2" t="str">
        <f t="shared" si="2"/>
        <v>Error?</v>
      </c>
    </row>
    <row r="213" spans="1:4" x14ac:dyDescent="0.2">
      <c r="A213" s="12">
        <v>152</v>
      </c>
      <c r="B213" s="138">
        <f>'Assets-Liab 5-6'!H41</f>
        <v>71692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2038</v>
      </c>
      <c r="D273" s="2" t="str">
        <f t="shared" si="3"/>
        <v>Error?</v>
      </c>
    </row>
    <row r="274" spans="1:4" x14ac:dyDescent="0.2">
      <c r="A274" s="5">
        <v>213</v>
      </c>
      <c r="B274" s="138">
        <f>'Assets-Liab 5-6'!M17</f>
        <v>3529675</v>
      </c>
      <c r="D274" s="2" t="str">
        <f t="shared" si="3"/>
        <v>Error?</v>
      </c>
    </row>
    <row r="275" spans="1:4" x14ac:dyDescent="0.2">
      <c r="A275" s="5">
        <v>214</v>
      </c>
      <c r="B275" s="138">
        <f>'Assets-Liab 5-6'!M18</f>
        <v>1675996</v>
      </c>
      <c r="D275" s="2" t="str">
        <f t="shared" si="3"/>
        <v>Error?</v>
      </c>
    </row>
    <row r="276" spans="1:4" x14ac:dyDescent="0.2">
      <c r="A276" s="5">
        <v>215</v>
      </c>
      <c r="B276" s="138">
        <f>'Assets-Liab 5-6'!M19</f>
        <v>2629895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7972144</v>
      </c>
      <c r="C279" s="2" t="s">
        <v>573</v>
      </c>
      <c r="D279" s="2" t="str">
        <f t="shared" si="3"/>
        <v>Error?</v>
      </c>
    </row>
    <row r="280" spans="1:4" x14ac:dyDescent="0.2">
      <c r="A280" s="5">
        <v>219</v>
      </c>
      <c r="B280" s="138">
        <f>'Assets-Liab 5-6'!M40</f>
        <v>7972144</v>
      </c>
      <c r="D280" s="2" t="str">
        <f t="shared" si="3"/>
        <v>Error?</v>
      </c>
    </row>
    <row r="281" spans="1:4" x14ac:dyDescent="0.2">
      <c r="A281" s="5">
        <v>220</v>
      </c>
      <c r="B281" s="138">
        <f>'Assets-Liab 5-6'!M41</f>
        <v>7972144</v>
      </c>
      <c r="C281" s="2" t="s">
        <v>573</v>
      </c>
      <c r="D281" s="2" t="str">
        <f t="shared" si="3"/>
        <v>Error?</v>
      </c>
    </row>
    <row r="282" spans="1:4" x14ac:dyDescent="0.2">
      <c r="A282" s="5">
        <v>221</v>
      </c>
      <c r="B282" s="138">
        <f>'Assets-Liab 5-6'!N21</f>
        <v>34346</v>
      </c>
      <c r="D282" s="2" t="str">
        <f t="shared" si="3"/>
        <v>Error?</v>
      </c>
    </row>
    <row r="283" spans="1:4" x14ac:dyDescent="0.2">
      <c r="A283" s="5">
        <v>222</v>
      </c>
      <c r="B283" s="138">
        <f>'Assets-Liab 5-6'!N22</f>
        <v>98631</v>
      </c>
      <c r="D283" s="2" t="str">
        <f t="shared" si="3"/>
        <v>Error?</v>
      </c>
    </row>
    <row r="284" spans="1:4" x14ac:dyDescent="0.2">
      <c r="A284" s="5">
        <v>223</v>
      </c>
      <c r="B284" s="138">
        <f>'Assets-Liab 5-6'!N23</f>
        <v>132977</v>
      </c>
      <c r="C284" s="2" t="s">
        <v>573</v>
      </c>
      <c r="D284" s="2" t="str">
        <f t="shared" si="3"/>
        <v>Error?</v>
      </c>
    </row>
    <row r="285" spans="1:4" x14ac:dyDescent="0.2">
      <c r="A285" s="5">
        <v>224</v>
      </c>
      <c r="B285" s="138">
        <f>'Assets-Liab 5-6'!N36</f>
        <v>132977</v>
      </c>
      <c r="D285" s="2" t="str">
        <f t="shared" si="3"/>
        <v>Error?</v>
      </c>
    </row>
    <row r="286" spans="1:4" x14ac:dyDescent="0.2">
      <c r="A286" s="10">
        <v>225</v>
      </c>
      <c r="D286" s="2" t="str">
        <f t="shared" si="3"/>
        <v>OK</v>
      </c>
    </row>
    <row r="287" spans="1:4" x14ac:dyDescent="0.2">
      <c r="A287" s="5">
        <v>226</v>
      </c>
      <c r="B287" s="138">
        <f>'Assets-Liab 5-6'!N37</f>
        <v>132977</v>
      </c>
      <c r="C287" s="2" t="s">
        <v>573</v>
      </c>
      <c r="D287" s="2" t="str">
        <f t="shared" si="3"/>
        <v>Error?</v>
      </c>
    </row>
    <row r="288" spans="1:4" x14ac:dyDescent="0.2">
      <c r="A288" s="5">
        <v>227</v>
      </c>
      <c r="B288" s="138">
        <f>'Assets-Liab 5-6'!N41</f>
        <v>132977</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1187082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30022</v>
      </c>
      <c r="D717" s="2" t="str">
        <f t="shared" si="10"/>
        <v>Error?</v>
      </c>
    </row>
    <row r="718" spans="1:4" x14ac:dyDescent="0.2">
      <c r="A718" s="5">
        <v>657</v>
      </c>
      <c r="B718" s="138">
        <f>'Expenditures 15-22'!C14</f>
        <v>49541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2036039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80171</v>
      </c>
      <c r="D722" s="2" t="str">
        <f t="shared" si="10"/>
        <v>Error?</v>
      </c>
    </row>
    <row r="723" spans="1:4" x14ac:dyDescent="0.2">
      <c r="A723" s="5">
        <v>662</v>
      </c>
      <c r="B723" s="138">
        <f>'Expenditures 15-22'!C38</f>
        <v>37225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41818</v>
      </c>
      <c r="D725" s="2" t="str">
        <f t="shared" si="10"/>
        <v>Error?</v>
      </c>
    </row>
    <row r="726" spans="1:4" x14ac:dyDescent="0.2">
      <c r="A726" s="5">
        <v>665</v>
      </c>
      <c r="B726" s="138">
        <f>'Expenditures 15-22'!C41</f>
        <v>14071</v>
      </c>
      <c r="D726" s="2" t="str">
        <f t="shared" si="10"/>
        <v>Error?</v>
      </c>
    </row>
    <row r="727" spans="1:4" x14ac:dyDescent="0.2">
      <c r="A727" s="5">
        <v>666</v>
      </c>
      <c r="B727" s="138">
        <f>'Expenditures 15-22'!C42</f>
        <v>173285</v>
      </c>
      <c r="C727" s="2" t="s">
        <v>573</v>
      </c>
      <c r="D727" s="2" t="str">
        <f t="shared" si="10"/>
        <v>Error?</v>
      </c>
    </row>
    <row r="728" spans="1:4" x14ac:dyDescent="0.2">
      <c r="A728" s="5">
        <v>667</v>
      </c>
      <c r="B728" s="138">
        <f>'Expenditures 15-22'!C44</f>
        <v>60805</v>
      </c>
      <c r="D728" s="2" t="str">
        <f t="shared" si="10"/>
        <v>Error?</v>
      </c>
    </row>
    <row r="729" spans="1:4" x14ac:dyDescent="0.2">
      <c r="A729" s="5">
        <v>668</v>
      </c>
      <c r="B729" s="138">
        <f>'Expenditures 15-22'!C45</f>
        <v>39181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99986</v>
      </c>
      <c r="C731" s="2" t="s">
        <v>573</v>
      </c>
      <c r="D731" s="2" t="str">
        <f t="shared" si="10"/>
        <v>Error?</v>
      </c>
    </row>
    <row r="732" spans="1:4" x14ac:dyDescent="0.2">
      <c r="A732" s="5">
        <v>671</v>
      </c>
      <c r="B732" s="138">
        <f>'Expenditures 15-22'!C49</f>
        <v>4324</v>
      </c>
      <c r="D732" s="2" t="str">
        <f t="shared" si="10"/>
        <v>Error?</v>
      </c>
    </row>
    <row r="733" spans="1:4" x14ac:dyDescent="0.2">
      <c r="A733" s="5">
        <v>672</v>
      </c>
      <c r="B733" s="138">
        <f>'Expenditures 15-22'!C50</f>
        <v>203405</v>
      </c>
      <c r="D733" s="2" t="str">
        <f t="shared" si="10"/>
        <v>Error?</v>
      </c>
    </row>
    <row r="734" spans="1:4" x14ac:dyDescent="0.2">
      <c r="A734" s="5">
        <v>673</v>
      </c>
      <c r="B734" s="138">
        <f>'Expenditures 15-22'!C53</f>
        <v>207729</v>
      </c>
      <c r="C734" s="2" t="s">
        <v>573</v>
      </c>
      <c r="D734" s="2" t="str">
        <f t="shared" si="10"/>
        <v>Error?</v>
      </c>
    </row>
    <row r="735" spans="1:4" x14ac:dyDescent="0.2">
      <c r="A735" s="5">
        <v>674</v>
      </c>
      <c r="B735" s="138">
        <f>'Expenditures 15-22'!C55</f>
        <v>135296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135296</v>
      </c>
      <c r="C737" s="2" t="s">
        <v>573</v>
      </c>
      <c r="D737" s="2" t="str">
        <f t="shared" si="10"/>
        <v>Error?</v>
      </c>
    </row>
    <row r="738" spans="1:4" x14ac:dyDescent="0.2">
      <c r="A738" s="5">
        <v>677</v>
      </c>
      <c r="B738" s="138">
        <f>'Expenditures 15-22'!C59</f>
        <v>18152</v>
      </c>
      <c r="D738" s="2" t="str">
        <f t="shared" si="10"/>
        <v>Error?</v>
      </c>
    </row>
    <row r="739" spans="1:4" x14ac:dyDescent="0.2">
      <c r="A739" s="5">
        <v>678</v>
      </c>
      <c r="B739" s="138">
        <f>'Expenditures 15-22'!C60</f>
        <v>4611</v>
      </c>
      <c r="D739" s="2" t="str">
        <f t="shared" si="10"/>
        <v>Error?</v>
      </c>
    </row>
    <row r="740" spans="1:4" x14ac:dyDescent="0.2">
      <c r="A740" s="5">
        <v>679</v>
      </c>
      <c r="B740" s="138">
        <f>'Expenditures 15-22'!C61</f>
        <v>168551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90987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282301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2500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2500</v>
      </c>
      <c r="C753" s="2" t="s">
        <v>573</v>
      </c>
      <c r="D753" s="2" t="str">
        <f t="shared" si="10"/>
        <v>Error?</v>
      </c>
    </row>
    <row r="754" spans="1:4" x14ac:dyDescent="0.2">
      <c r="A754" s="5">
        <v>693</v>
      </c>
      <c r="B754" s="138">
        <f>'Expenditures 15-22'!C73</f>
        <v>8000</v>
      </c>
      <c r="D754" s="2" t="str">
        <f t="shared" si="10"/>
        <v>Error?</v>
      </c>
    </row>
    <row r="755" spans="1:4" x14ac:dyDescent="0.2">
      <c r="A755" s="5">
        <v>694</v>
      </c>
      <c r="B755" s="138">
        <f>'Expenditures 15-22'!C74</f>
        <v>909097</v>
      </c>
      <c r="C755" s="2" t="s">
        <v>573</v>
      </c>
      <c r="D755" s="2" t="str">
        <f t="shared" si="10"/>
        <v>Error?</v>
      </c>
    </row>
    <row r="756" spans="1:4" x14ac:dyDescent="0.2">
      <c r="A756" s="5">
        <v>695</v>
      </c>
      <c r="B756" s="138">
        <f>'Expenditures 15-22'!C75</f>
        <v>49435</v>
      </c>
      <c r="D756" s="2" t="str">
        <f t="shared" si="10"/>
        <v>Error?</v>
      </c>
    </row>
    <row r="757" spans="1:4" x14ac:dyDescent="0.2">
      <c r="A757" s="5">
        <v>696</v>
      </c>
      <c r="B757" s="138">
        <f>'Expenditures 15-22'!C114</f>
        <v>2994571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165618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725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264864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11762</v>
      </c>
      <c r="D780" s="2" t="str">
        <f t="shared" si="11"/>
        <v>Error?</v>
      </c>
    </row>
    <row r="781" spans="1:4" x14ac:dyDescent="0.2">
      <c r="A781" s="5">
        <v>720</v>
      </c>
      <c r="B781" s="138">
        <f>'Expenditures 15-22'!D38</f>
        <v>4540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1296</v>
      </c>
      <c r="D783" s="2" t="str">
        <f t="shared" si="11"/>
        <v>Error?</v>
      </c>
    </row>
    <row r="784" spans="1:4" x14ac:dyDescent="0.2">
      <c r="A784" s="5">
        <v>723</v>
      </c>
      <c r="B784" s="138">
        <f>'Expenditures 15-22'!D41</f>
        <v>11</v>
      </c>
      <c r="D784" s="2" t="str">
        <f t="shared" si="11"/>
        <v>Error?</v>
      </c>
    </row>
    <row r="785" spans="1:4" x14ac:dyDescent="0.2">
      <c r="A785" s="5">
        <v>724</v>
      </c>
      <c r="B785" s="138">
        <f>'Expenditures 15-22'!D42</f>
        <v>17609</v>
      </c>
      <c r="C785" s="2" t="s">
        <v>573</v>
      </c>
      <c r="D785" s="2" t="str">
        <f t="shared" si="11"/>
        <v>Error?</v>
      </c>
    </row>
    <row r="786" spans="1:4" x14ac:dyDescent="0.2">
      <c r="A786" s="5">
        <v>725</v>
      </c>
      <c r="B786" s="138">
        <f>'Expenditures 15-22'!D44</f>
        <v>5295</v>
      </c>
      <c r="D786" s="2" t="str">
        <f t="shared" si="11"/>
        <v>Error?</v>
      </c>
    </row>
    <row r="787" spans="1:4" x14ac:dyDescent="0.2">
      <c r="A787" s="5">
        <v>726</v>
      </c>
      <c r="B787" s="138">
        <f>'Expenditures 15-22'!D45</f>
        <v>8274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13569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20588</v>
      </c>
      <c r="D791" s="2" t="str">
        <f t="shared" si="11"/>
        <v>Error?</v>
      </c>
    </row>
    <row r="792" spans="1:4" x14ac:dyDescent="0.2">
      <c r="A792" s="5">
        <v>731</v>
      </c>
      <c r="B792" s="138">
        <f>'Expenditures 15-22'!D53</f>
        <v>20588</v>
      </c>
      <c r="C792" s="2" t="s">
        <v>573</v>
      </c>
      <c r="D792" s="2" t="str">
        <f t="shared" si="11"/>
        <v>Error?</v>
      </c>
    </row>
    <row r="793" spans="1:4" x14ac:dyDescent="0.2">
      <c r="A793" s="5">
        <v>732</v>
      </c>
      <c r="B793" s="138">
        <f>'Expenditures 15-22'!D55</f>
        <v>16914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16914</v>
      </c>
      <c r="C795" s="2" t="s">
        <v>573</v>
      </c>
      <c r="D795" s="2" t="str">
        <f t="shared" si="11"/>
        <v>Error?</v>
      </c>
    </row>
    <row r="796" spans="1:4" x14ac:dyDescent="0.2">
      <c r="A796" s="5">
        <v>735</v>
      </c>
      <c r="B796" s="138">
        <f>'Expenditures 15-22'!D59</f>
        <v>22</v>
      </c>
      <c r="D796" s="2" t="str">
        <f t="shared" si="11"/>
        <v>Error?</v>
      </c>
    </row>
    <row r="797" spans="1:4" x14ac:dyDescent="0.2">
      <c r="A797" s="5">
        <v>736</v>
      </c>
      <c r="B797" s="138">
        <f>'Expenditures 15-22'!D60</f>
        <v>0</v>
      </c>
      <c r="D797" s="2" t="str">
        <f t="shared" si="11"/>
        <v>Error?</v>
      </c>
    </row>
    <row r="798" spans="1:4" x14ac:dyDescent="0.2">
      <c r="A798" s="5">
        <v>737</v>
      </c>
      <c r="B798" s="138">
        <f>'Expenditures 15-22'!D61</f>
        <v>23460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5179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28661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97341</v>
      </c>
      <c r="C813" s="2" t="s">
        <v>573</v>
      </c>
      <c r="D813" s="2" t="str">
        <f t="shared" si="11"/>
        <v>Error?</v>
      </c>
    </row>
    <row r="814" spans="1:4" x14ac:dyDescent="0.2">
      <c r="A814" s="5">
        <v>753</v>
      </c>
      <c r="B814" s="138">
        <f>'Expenditures 15-22'!D75</f>
        <v>10248</v>
      </c>
      <c r="D814" s="2" t="str">
        <f t="shared" si="11"/>
        <v>Error?</v>
      </c>
    </row>
    <row r="815" spans="1:4" x14ac:dyDescent="0.2">
      <c r="A815" s="5">
        <v>754</v>
      </c>
      <c r="B815" s="138">
        <f>'Expenditures 15-22'!D114</f>
        <v>372453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11633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772</v>
      </c>
      <c r="D833" s="2" t="str">
        <f t="shared" si="12"/>
        <v>OK</v>
      </c>
    </row>
    <row r="834" spans="1:4" x14ac:dyDescent="0.2">
      <c r="A834" s="5">
        <v>773</v>
      </c>
      <c r="B834" s="138">
        <f>'Expenditures 15-22'!E14</f>
        <v>18186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48961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776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776</v>
      </c>
      <c r="C843" s="2" t="s">
        <v>573</v>
      </c>
      <c r="D843" s="2" t="str">
        <f t="shared" si="12"/>
        <v>Error?</v>
      </c>
    </row>
    <row r="844" spans="1:4" x14ac:dyDescent="0.2">
      <c r="A844" s="5">
        <v>783</v>
      </c>
      <c r="B844" s="138">
        <f>'Expenditures 15-22'!E44</f>
        <v>31870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31870</v>
      </c>
      <c r="C847" s="2" t="s">
        <v>573</v>
      </c>
      <c r="D847" s="2" t="str">
        <f t="shared" si="12"/>
        <v>Error?</v>
      </c>
    </row>
    <row r="848" spans="1:4" x14ac:dyDescent="0.2">
      <c r="A848" s="5">
        <v>787</v>
      </c>
      <c r="B848" s="138">
        <f>'Expenditures 15-22'!E49</f>
        <v>55360</v>
      </c>
      <c r="D848" s="2" t="str">
        <f t="shared" si="12"/>
        <v>Error?</v>
      </c>
    </row>
    <row r="849" spans="1:4" x14ac:dyDescent="0.2">
      <c r="A849" s="5">
        <v>788</v>
      </c>
      <c r="B849" s="138">
        <f>'Expenditures 15-22'!E50</f>
        <v>24843</v>
      </c>
      <c r="D849" s="2" t="str">
        <f t="shared" si="12"/>
        <v>Error?</v>
      </c>
    </row>
    <row r="850" spans="1:4" x14ac:dyDescent="0.2">
      <c r="A850" s="5">
        <v>789</v>
      </c>
      <c r="B850" s="138">
        <f>'Expenditures 15-22'!E53</f>
        <v>80203</v>
      </c>
      <c r="C850" s="2" t="s">
        <v>573</v>
      </c>
      <c r="D850" s="2" t="str">
        <f t="shared" si="12"/>
        <v>Error?</v>
      </c>
    </row>
    <row r="851" spans="1:4" x14ac:dyDescent="0.2">
      <c r="A851" s="5">
        <v>790</v>
      </c>
      <c r="B851" s="138">
        <f>'Expenditures 15-22'!E55</f>
        <v>3609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3609</v>
      </c>
      <c r="C853" s="2" t="s">
        <v>573</v>
      </c>
      <c r="D853" s="2" t="str">
        <f t="shared" si="12"/>
        <v>Error?</v>
      </c>
    </row>
    <row r="854" spans="1:4" x14ac:dyDescent="0.2">
      <c r="A854" s="5">
        <v>793</v>
      </c>
      <c r="B854" s="138">
        <f>'Expenditures 15-22'!E59</f>
        <v>233</v>
      </c>
      <c r="D854" s="2" t="str">
        <f t="shared" si="12"/>
        <v>Error?</v>
      </c>
    </row>
    <row r="855" spans="1:4" x14ac:dyDescent="0.2">
      <c r="A855" s="5">
        <v>794</v>
      </c>
      <c r="B855" s="138">
        <f>'Expenditures 15-22'!E60</f>
        <v>0</v>
      </c>
      <c r="D855" s="2" t="str">
        <f t="shared" si="12"/>
        <v>Error?</v>
      </c>
    </row>
    <row r="856" spans="1:4" x14ac:dyDescent="0.2">
      <c r="A856" s="5">
        <v>795</v>
      </c>
      <c r="B856" s="138">
        <f>'Expenditures 15-22'!E61</f>
        <v>40181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6766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47180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500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500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164138</v>
      </c>
      <c r="C871" s="2" t="s">
        <v>573</v>
      </c>
      <c r="D871" s="2" t="str">
        <f t="shared" si="12"/>
        <v>Error?</v>
      </c>
    </row>
    <row r="872" spans="1:4" x14ac:dyDescent="0.2">
      <c r="A872" s="5">
        <v>811</v>
      </c>
      <c r="B872" s="138">
        <f>'Expenditures 15-22'!E75</f>
        <v>100</v>
      </c>
      <c r="D872" s="2" t="str">
        <f t="shared" si="12"/>
        <v>Error?</v>
      </c>
    </row>
    <row r="873" spans="1:4" x14ac:dyDescent="0.2">
      <c r="A873" s="5">
        <v>812</v>
      </c>
      <c r="B873" s="138">
        <f>'Expenditures 15-22'!E114</f>
        <v>237199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143159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4710</v>
      </c>
      <c r="D891" s="2" t="str">
        <f t="shared" si="12"/>
        <v>Error?</v>
      </c>
    </row>
    <row r="892" spans="1:4" x14ac:dyDescent="0.2">
      <c r="A892" s="5">
        <v>831</v>
      </c>
      <c r="B892" s="138">
        <f>'Expenditures 15-22'!F14</f>
        <v>21333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247344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2594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990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3584</v>
      </c>
      <c r="C901" s="2" t="s">
        <v>573</v>
      </c>
      <c r="D901" s="2" t="str">
        <f t="shared" si="13"/>
        <v>Error?</v>
      </c>
    </row>
    <row r="902" spans="1:4" x14ac:dyDescent="0.2">
      <c r="A902" s="5">
        <v>841</v>
      </c>
      <c r="B902" s="138">
        <f>'Expenditures 15-22'!F44</f>
        <v>2256</v>
      </c>
      <c r="D902" s="2" t="str">
        <f t="shared" si="13"/>
        <v>Error?</v>
      </c>
    </row>
    <row r="903" spans="1:4" x14ac:dyDescent="0.2">
      <c r="A903" s="5">
        <v>842</v>
      </c>
      <c r="B903" s="138">
        <f>'Expenditures 15-22'!F45</f>
        <v>1111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3367</v>
      </c>
      <c r="C905" s="2" t="s">
        <v>573</v>
      </c>
      <c r="D905" s="2" t="str">
        <f t="shared" si="13"/>
        <v>Error?</v>
      </c>
    </row>
    <row r="906" spans="1:4" x14ac:dyDescent="0.2">
      <c r="A906" s="5">
        <v>845</v>
      </c>
      <c r="B906" s="138">
        <f>'Expenditures 15-22'!F49</f>
        <v>13507</v>
      </c>
      <c r="D906" s="2" t="str">
        <f t="shared" si="13"/>
        <v>Error?</v>
      </c>
    </row>
    <row r="907" spans="1:4" x14ac:dyDescent="0.2">
      <c r="A907" s="5">
        <v>846</v>
      </c>
      <c r="B907" s="138">
        <f>'Expenditures 15-22'!F50</f>
        <v>20841</v>
      </c>
      <c r="D907" s="2" t="str">
        <f t="shared" si="13"/>
        <v>Error?</v>
      </c>
    </row>
    <row r="908" spans="1:4" x14ac:dyDescent="0.2">
      <c r="A908" s="5">
        <v>847</v>
      </c>
      <c r="B908" s="138">
        <f>'Expenditures 15-22'!F53</f>
        <v>34348</v>
      </c>
      <c r="C908" s="2" t="s">
        <v>573</v>
      </c>
      <c r="D908" s="2" t="str">
        <f t="shared" si="13"/>
        <v>Error?</v>
      </c>
    </row>
    <row r="909" spans="1:4" x14ac:dyDescent="0.2">
      <c r="A909" s="5">
        <v>848</v>
      </c>
      <c r="B909" s="138">
        <f>'Expenditures 15-22'!F55</f>
        <v>527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527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157506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171391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328897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4740</v>
      </c>
      <c r="D928" s="2" t="str">
        <f t="shared" si="13"/>
        <v>Error?</v>
      </c>
    </row>
    <row r="929" spans="1:4" x14ac:dyDescent="0.2">
      <c r="A929" s="5">
        <v>868</v>
      </c>
      <c r="B929" s="138">
        <f>'Expenditures 15-22'!F74</f>
        <v>375463</v>
      </c>
      <c r="C929" s="2" t="s">
        <v>573</v>
      </c>
      <c r="D929" s="2" t="str">
        <f t="shared" si="13"/>
        <v>Error?</v>
      </c>
    </row>
    <row r="930" spans="1:4" x14ac:dyDescent="0.2">
      <c r="A930" s="5">
        <v>869</v>
      </c>
      <c r="B930" s="138">
        <f>'Expenditures 15-22'!F75</f>
        <v>500</v>
      </c>
      <c r="D930" s="2" t="str">
        <f t="shared" si="13"/>
        <v>Error?</v>
      </c>
    </row>
    <row r="931" spans="1:4" x14ac:dyDescent="0.2">
      <c r="A931" s="5">
        <v>870</v>
      </c>
      <c r="B931" s="138">
        <f>'Expenditures 15-22'!F114</f>
        <v>623307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7718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999</v>
      </c>
      <c r="D949" s="2" t="str">
        <f t="shared" si="13"/>
        <v>Error?</v>
      </c>
    </row>
    <row r="950" spans="1:4" x14ac:dyDescent="0.2">
      <c r="A950" s="5">
        <v>889</v>
      </c>
      <c r="B950" s="138">
        <f>'Expenditures 15-22'!G14</f>
        <v>1007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27056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929</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929</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32121</v>
      </c>
      <c r="D965" s="2" t="str">
        <f t="shared" si="14"/>
        <v>Error?</v>
      </c>
    </row>
    <row r="966" spans="1:4" x14ac:dyDescent="0.2">
      <c r="A966" s="5">
        <v>905</v>
      </c>
      <c r="B966" s="138">
        <f>'Expenditures 15-22'!G53</f>
        <v>32121</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698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1218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1916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5375</v>
      </c>
      <c r="D986" s="2" t="str">
        <f t="shared" si="14"/>
        <v>Error?</v>
      </c>
    </row>
    <row r="987" spans="1:4" x14ac:dyDescent="0.2">
      <c r="A987" s="5">
        <v>926</v>
      </c>
      <c r="B987" s="138">
        <f>'Expenditures 15-22'!G74</f>
        <v>40341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67397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2407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1965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4372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11802</v>
      </c>
      <c r="D1022" s="2" t="str">
        <f t="shared" si="14"/>
        <v>Error?</v>
      </c>
    </row>
    <row r="1023" spans="1:4" x14ac:dyDescent="0.2">
      <c r="A1023" s="5">
        <v>962</v>
      </c>
      <c r="B1023" s="138">
        <f>'Expenditures 15-22'!H50</f>
        <v>1708</v>
      </c>
      <c r="D1023" s="2" t="str">
        <f t="shared" ref="D1023:D1086" si="15">IF(ISBLANK(B1023),"OK",IF(A1023-B1023=0,"OK","Error?"))</f>
        <v>Error?</v>
      </c>
    </row>
    <row r="1024" spans="1:4" x14ac:dyDescent="0.2">
      <c r="A1024" s="5">
        <v>963</v>
      </c>
      <c r="B1024" s="138">
        <f>'Expenditures 15-22'!H53</f>
        <v>13510</v>
      </c>
      <c r="C1024" s="2" t="s">
        <v>573</v>
      </c>
      <c r="D1024" s="2" t="str">
        <f t="shared" si="15"/>
        <v>Error?</v>
      </c>
    </row>
    <row r="1025" spans="1:4" x14ac:dyDescent="0.2">
      <c r="A1025" s="5">
        <v>964</v>
      </c>
      <c r="B1025" s="138">
        <f>'Expenditures 15-22'!H55</f>
        <v>381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381</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13891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140724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158987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1517617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36503</v>
      </c>
      <c r="C1105" s="2" t="s">
        <v>573</v>
      </c>
      <c r="D1105" s="2" t="str">
        <f t="shared" si="16"/>
        <v>Error?</v>
      </c>
    </row>
    <row r="1106" spans="1:4" x14ac:dyDescent="0.2">
      <c r="A1106" s="5">
        <v>1045</v>
      </c>
      <c r="B1106" s="138">
        <f>'Expenditures 15-22'!K14</f>
        <v>92757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2628636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91933</v>
      </c>
      <c r="C1110" s="2" t="s">
        <v>573</v>
      </c>
      <c r="D1110" s="2" t="str">
        <f t="shared" si="16"/>
        <v>Error?</v>
      </c>
    </row>
    <row r="1111" spans="1:4" x14ac:dyDescent="0.2">
      <c r="A1111" s="5">
        <v>1050</v>
      </c>
      <c r="B1111" s="138">
        <f>'Expenditures 15-22'!K38</f>
        <v>45135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44104</v>
      </c>
      <c r="C1113" s="2" t="s">
        <v>573</v>
      </c>
      <c r="D1113" s="2" t="str">
        <f t="shared" si="16"/>
        <v>Error?</v>
      </c>
    </row>
    <row r="1114" spans="1:4" x14ac:dyDescent="0.2">
      <c r="A1114" s="5">
        <v>1053</v>
      </c>
      <c r="B1114" s="138">
        <f>'Expenditures 15-22'!K41</f>
        <v>14082</v>
      </c>
      <c r="C1114" s="2" t="s">
        <v>573</v>
      </c>
      <c r="D1114" s="2" t="str">
        <f t="shared" si="16"/>
        <v>Error?</v>
      </c>
    </row>
    <row r="1115" spans="1:4" x14ac:dyDescent="0.2">
      <c r="A1115" s="5">
        <v>1054</v>
      </c>
      <c r="B1115" s="138">
        <f>'Expenditures 15-22'!K42</f>
        <v>195254</v>
      </c>
      <c r="C1115" s="2" t="s">
        <v>573</v>
      </c>
      <c r="D1115" s="2" t="str">
        <f t="shared" si="16"/>
        <v>Error?</v>
      </c>
    </row>
    <row r="1116" spans="1:4" x14ac:dyDescent="0.2">
      <c r="A1116" s="5">
        <v>1055</v>
      </c>
      <c r="B1116" s="138">
        <f>'Expenditures 15-22'!K44</f>
        <v>101155</v>
      </c>
      <c r="C1116" s="2" t="s">
        <v>573</v>
      </c>
      <c r="D1116" s="2" t="str">
        <f t="shared" si="16"/>
        <v>Error?</v>
      </c>
    </row>
    <row r="1117" spans="1:4" x14ac:dyDescent="0.2">
      <c r="A1117" s="5">
        <v>1056</v>
      </c>
      <c r="B1117" s="138">
        <f>'Expenditures 15-22'!K45</f>
        <v>48566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149721</v>
      </c>
      <c r="C1119" s="2" t="s">
        <v>573</v>
      </c>
      <c r="D1119" s="2" t="str">
        <f t="shared" si="16"/>
        <v>Error?</v>
      </c>
    </row>
    <row r="1120" spans="1:4" x14ac:dyDescent="0.2">
      <c r="A1120" s="5">
        <v>1059</v>
      </c>
      <c r="B1120" s="138">
        <f>'Expenditures 15-22'!K49</f>
        <v>84993</v>
      </c>
      <c r="C1120" s="2" t="s">
        <v>573</v>
      </c>
      <c r="D1120" s="2" t="str">
        <f t="shared" si="16"/>
        <v>Error?</v>
      </c>
    </row>
    <row r="1121" spans="1:4" x14ac:dyDescent="0.2">
      <c r="A1121" s="5">
        <v>1060</v>
      </c>
      <c r="B1121" s="138">
        <f>'Expenditures 15-22'!K50</f>
        <v>303506</v>
      </c>
      <c r="C1121" s="2" t="s">
        <v>573</v>
      </c>
      <c r="D1121" s="2" t="str">
        <f t="shared" si="16"/>
        <v>Error?</v>
      </c>
    </row>
    <row r="1122" spans="1:4" x14ac:dyDescent="0.2">
      <c r="A1122" s="5">
        <v>1061</v>
      </c>
      <c r="B1122" s="138">
        <f>'Expenditures 15-22'!K53</f>
        <v>388499</v>
      </c>
      <c r="C1122" s="2" t="s">
        <v>573</v>
      </c>
      <c r="D1122" s="2" t="str">
        <f t="shared" si="16"/>
        <v>Error?</v>
      </c>
    </row>
    <row r="1123" spans="1:4" x14ac:dyDescent="0.2">
      <c r="A1123" s="5">
        <v>1062</v>
      </c>
      <c r="B1123" s="138">
        <f>'Expenditures 15-22'!K55</f>
        <v>156727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156727</v>
      </c>
      <c r="C1125" s="2" t="s">
        <v>573</v>
      </c>
      <c r="D1125" s="2" t="str">
        <f t="shared" si="16"/>
        <v>Error?</v>
      </c>
    </row>
    <row r="1126" spans="1:4" x14ac:dyDescent="0.2">
      <c r="A1126" s="5">
        <v>1065</v>
      </c>
      <c r="B1126" s="138">
        <f>'Expenditures 15-22'!K59</f>
        <v>18407</v>
      </c>
      <c r="C1126" s="2" t="s">
        <v>573</v>
      </c>
      <c r="D1126" s="2" t="str">
        <f t="shared" si="16"/>
        <v>Error?</v>
      </c>
    </row>
    <row r="1127" spans="1:4" x14ac:dyDescent="0.2">
      <c r="A1127" s="5">
        <v>1066</v>
      </c>
      <c r="B1127" s="138">
        <f>'Expenditures 15-22'!K60</f>
        <v>4611</v>
      </c>
      <c r="C1127" s="2" t="s">
        <v>573</v>
      </c>
      <c r="D1127" s="2" t="str">
        <f t="shared" si="16"/>
        <v>Error?</v>
      </c>
    </row>
    <row r="1128" spans="1:4" x14ac:dyDescent="0.2">
      <c r="A1128" s="5">
        <v>1067</v>
      </c>
      <c r="B1128" s="138">
        <f>'Expenditures 15-22'!K61</f>
        <v>390396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275541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688955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3000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3000</v>
      </c>
      <c r="C1141" s="2" t="s">
        <v>573</v>
      </c>
      <c r="D1141" s="2" t="str">
        <f t="shared" si="16"/>
        <v>Error?</v>
      </c>
    </row>
    <row r="1142" spans="1:4" x14ac:dyDescent="0.2">
      <c r="A1142" s="5">
        <v>1081</v>
      </c>
      <c r="B1142" s="138">
        <f>'Expenditures 15-22'!K73</f>
        <v>18115</v>
      </c>
      <c r="C1142" s="2" t="s">
        <v>573</v>
      </c>
      <c r="D1142" s="2" t="str">
        <f t="shared" si="16"/>
        <v>Error?</v>
      </c>
    </row>
    <row r="1143" spans="1:4" x14ac:dyDescent="0.2">
      <c r="A1143" s="5">
        <v>1082</v>
      </c>
      <c r="B1143" s="138">
        <f>'Expenditures 15-22'!K74</f>
        <v>1600271</v>
      </c>
      <c r="C1143" s="2" t="s">
        <v>573</v>
      </c>
      <c r="D1143" s="2" t="str">
        <f t="shared" si="16"/>
        <v>Error?</v>
      </c>
    </row>
    <row r="1144" spans="1:4" x14ac:dyDescent="0.2">
      <c r="A1144" s="5">
        <v>1083</v>
      </c>
      <c r="B1144" s="138">
        <f>'Expenditures 15-22'!K75</f>
        <v>60283</v>
      </c>
      <c r="C1144" s="2" t="s">
        <v>573</v>
      </c>
      <c r="D1144" s="2" t="str">
        <f t="shared" si="16"/>
        <v>Error?</v>
      </c>
    </row>
    <row r="1145" spans="1:4" x14ac:dyDescent="0.2">
      <c r="A1145" s="5">
        <v>1084</v>
      </c>
      <c r="B1145" s="138">
        <f>'Expenditures 15-22'!K102</f>
        <v>164724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4453914</v>
      </c>
      <c r="C1152" s="2" t="s">
        <v>573</v>
      </c>
      <c r="D1152" s="2" t="str">
        <f t="shared" si="17"/>
        <v>Error?</v>
      </c>
    </row>
    <row r="1153" spans="1:4" x14ac:dyDescent="0.2">
      <c r="A1153" s="5">
        <v>1092</v>
      </c>
      <c r="B1153" s="138">
        <f>'Expenditures 15-22'!K115</f>
        <v>271319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57479</v>
      </c>
      <c r="D1237" s="2" t="str">
        <f t="shared" si="18"/>
        <v>Error?</v>
      </c>
    </row>
    <row r="1238" spans="1:4" x14ac:dyDescent="0.2">
      <c r="A1238" s="10">
        <v>1177</v>
      </c>
      <c r="D1238" s="2" t="str">
        <f t="shared" si="18"/>
        <v>OK</v>
      </c>
    </row>
    <row r="1239" spans="1:4" x14ac:dyDescent="0.2">
      <c r="A1239" s="5">
        <v>1178</v>
      </c>
      <c r="B1239" s="138">
        <f>'Expenditures 15-22'!E127</f>
        <v>57479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57479</v>
      </c>
      <c r="C1241" s="2" t="s">
        <v>573</v>
      </c>
      <c r="D1241" s="2" t="str">
        <f t="shared" si="18"/>
        <v>Error?</v>
      </c>
    </row>
    <row r="1242" spans="1:4" x14ac:dyDescent="0.2">
      <c r="A1242" s="5">
        <v>1181</v>
      </c>
      <c r="B1242" s="138">
        <f>'Expenditures 15-22'!E151</f>
        <v>57479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14003</v>
      </c>
      <c r="D1245" s="2" t="str">
        <f t="shared" si="18"/>
        <v>Error?</v>
      </c>
    </row>
    <row r="1246" spans="1:4" x14ac:dyDescent="0.2">
      <c r="A1246" s="10">
        <v>1185</v>
      </c>
      <c r="D1246" s="2" t="str">
        <f t="shared" si="18"/>
        <v>OK</v>
      </c>
    </row>
    <row r="1247" spans="1:4" x14ac:dyDescent="0.2">
      <c r="A1247" s="5">
        <v>1186</v>
      </c>
      <c r="B1247" s="138">
        <f>'Expenditures 15-22'!F127</f>
        <v>14003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14003</v>
      </c>
      <c r="C1249" s="2" t="s">
        <v>573</v>
      </c>
      <c r="D1249" s="2" t="str">
        <f t="shared" si="18"/>
        <v>Error?</v>
      </c>
    </row>
    <row r="1250" spans="1:4" x14ac:dyDescent="0.2">
      <c r="A1250" s="5">
        <v>1189</v>
      </c>
      <c r="B1250" s="138">
        <f>'Expenditures 15-22'!F151</f>
        <v>14003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19200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19200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19200</v>
      </c>
      <c r="C1258" s="2" t="s">
        <v>573</v>
      </c>
      <c r="D1258" s="2" t="str">
        <f t="shared" si="18"/>
        <v>Error?</v>
      </c>
    </row>
    <row r="1259" spans="1:4" x14ac:dyDescent="0.2">
      <c r="A1259" s="5">
        <v>1198</v>
      </c>
      <c r="B1259" s="138">
        <f>'Expenditures 15-22'!G151</f>
        <v>19200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90682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90682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90682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90682</v>
      </c>
      <c r="C1288" s="2" t="s">
        <v>573</v>
      </c>
      <c r="D1288" s="2" t="str">
        <f t="shared" si="19"/>
        <v>Error?</v>
      </c>
    </row>
    <row r="1289" spans="1:4" x14ac:dyDescent="0.2">
      <c r="A1289" s="5">
        <v>1228</v>
      </c>
      <c r="B1289" s="138">
        <f>'Expenditures 15-22'!K152</f>
        <v>27979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6228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18000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24228</v>
      </c>
      <c r="C1317" s="2" t="s">
        <v>573</v>
      </c>
      <c r="D1317" s="2" t="str">
        <f t="shared" si="19"/>
        <v>Error?</v>
      </c>
    </row>
    <row r="1318" spans="1:4" x14ac:dyDescent="0.2">
      <c r="A1318" s="5">
        <v>1257</v>
      </c>
      <c r="B1318" s="138">
        <f>'Expenditures 15-22'!H174</f>
        <v>24228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6228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18000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24228</v>
      </c>
      <c r="C1331" s="2" t="s">
        <v>573</v>
      </c>
      <c r="D1331" s="2" t="str">
        <f t="shared" si="19"/>
        <v>Error?</v>
      </c>
    </row>
    <row r="1332" spans="1:4" x14ac:dyDescent="0.2">
      <c r="A1332" s="5">
        <v>1271</v>
      </c>
      <c r="B1332" s="138">
        <f>'Expenditures 15-22'!K174</f>
        <v>24228</v>
      </c>
      <c r="C1332" s="2" t="s">
        <v>573</v>
      </c>
      <c r="D1332" s="2" t="str">
        <f t="shared" si="19"/>
        <v>Error?</v>
      </c>
    </row>
    <row r="1333" spans="1:4" x14ac:dyDescent="0.2">
      <c r="A1333" s="5">
        <v>1272</v>
      </c>
      <c r="B1333" s="138">
        <f>'Expenditures 15-22'!K175</f>
        <v>-24013</v>
      </c>
      <c r="C1333" s="2" t="s">
        <v>573</v>
      </c>
      <c r="D1333" s="2" t="str">
        <f t="shared" si="19"/>
        <v>Error?</v>
      </c>
    </row>
    <row r="1334" spans="1:4" x14ac:dyDescent="0.2">
      <c r="A1334" s="10">
        <v>1273</v>
      </c>
      <c r="D1334" s="2" t="str">
        <f t="shared" si="19"/>
        <v>OK</v>
      </c>
    </row>
    <row r="1335" spans="1:4" x14ac:dyDescent="0.2">
      <c r="A1335" s="5">
        <v>1274</v>
      </c>
      <c r="B1335" s="138">
        <f>'Expenditures 15-22'!C182</f>
        <v>8345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8345</v>
      </c>
      <c r="C1339" s="2" t="s">
        <v>573</v>
      </c>
      <c r="D1339" s="2" t="str">
        <f t="shared" si="19"/>
        <v>Error?</v>
      </c>
    </row>
    <row r="1340" spans="1:4" x14ac:dyDescent="0.2">
      <c r="A1340" s="5">
        <v>1279</v>
      </c>
      <c r="B1340" s="138">
        <f>'Expenditures 15-22'!C210</f>
        <v>8345</v>
      </c>
      <c r="C1340" s="2" t="s">
        <v>573</v>
      </c>
      <c r="D1340" s="2" t="str">
        <f t="shared" si="19"/>
        <v>Error?</v>
      </c>
    </row>
    <row r="1341" spans="1:4" x14ac:dyDescent="0.2">
      <c r="A1341" s="5">
        <v>1280</v>
      </c>
      <c r="B1341" s="138">
        <f>'Expenditures 15-22'!D182</f>
        <v>125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125</v>
      </c>
      <c r="C1345" s="2" t="s">
        <v>573</v>
      </c>
      <c r="D1345" s="2" t="str">
        <f t="shared" si="20"/>
        <v>Error?</v>
      </c>
    </row>
    <row r="1346" spans="1:4" x14ac:dyDescent="0.2">
      <c r="A1346" s="5">
        <v>1285</v>
      </c>
      <c r="B1346" s="138">
        <f>'Expenditures 15-22'!D210</f>
        <v>125</v>
      </c>
      <c r="C1346" s="2" t="s">
        <v>573</v>
      </c>
      <c r="D1346" s="2" t="str">
        <f t="shared" si="20"/>
        <v>Error?</v>
      </c>
    </row>
    <row r="1347" spans="1:4" x14ac:dyDescent="0.2">
      <c r="A1347" s="5">
        <v>1286</v>
      </c>
      <c r="B1347" s="138">
        <f>'Expenditures 15-22'!E182</f>
        <v>263912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263912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263912</v>
      </c>
      <c r="C1353" s="2" t="s">
        <v>573</v>
      </c>
      <c r="D1353" s="2" t="str">
        <f t="shared" si="20"/>
        <v>Error?</v>
      </c>
    </row>
    <row r="1354" spans="1:4" x14ac:dyDescent="0.2">
      <c r="A1354" s="5">
        <v>1293</v>
      </c>
      <c r="B1354" s="138">
        <f>'Expenditures 15-22'!F182</f>
        <v>1220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1220</v>
      </c>
      <c r="C1358" s="2" t="s">
        <v>573</v>
      </c>
      <c r="D1358" s="2" t="str">
        <f t="shared" si="20"/>
        <v>Error?</v>
      </c>
    </row>
    <row r="1359" spans="1:4" x14ac:dyDescent="0.2">
      <c r="A1359" s="5">
        <v>1298</v>
      </c>
      <c r="B1359" s="138">
        <f>'Expenditures 15-22'!F210</f>
        <v>1220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273602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273602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273602</v>
      </c>
      <c r="C1388" s="2" t="s">
        <v>573</v>
      </c>
      <c r="D1388" s="2" t="str">
        <f t="shared" si="20"/>
        <v>Error?</v>
      </c>
    </row>
    <row r="1389" spans="1:4" x14ac:dyDescent="0.2">
      <c r="A1389" s="5">
        <v>1328</v>
      </c>
      <c r="B1389" s="138">
        <f>'Expenditures 15-22'!K211</f>
        <v>4617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2918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41700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4261</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606</v>
      </c>
      <c r="D1415" s="2" t="str">
        <f t="shared" si="21"/>
        <v>Error?</v>
      </c>
    </row>
    <row r="1416" spans="1:4" x14ac:dyDescent="0.2">
      <c r="A1416" s="5">
        <v>1355</v>
      </c>
      <c r="B1416" s="138">
        <f>'Expenditures 15-22'!D237</f>
        <v>1760</v>
      </c>
      <c r="D1416" s="2" t="str">
        <f t="shared" si="21"/>
        <v>Error?</v>
      </c>
    </row>
    <row r="1417" spans="1:4" x14ac:dyDescent="0.2">
      <c r="A1417" s="5">
        <v>1356</v>
      </c>
      <c r="B1417" s="138">
        <f>'Expenditures 15-22'!D238</f>
        <v>6627</v>
      </c>
      <c r="C1417" s="2" t="s">
        <v>573</v>
      </c>
      <c r="D1417" s="2" t="str">
        <f t="shared" si="21"/>
        <v>Error?</v>
      </c>
    </row>
    <row r="1418" spans="1:4" x14ac:dyDescent="0.2">
      <c r="A1418" s="5">
        <v>1357</v>
      </c>
      <c r="B1418" s="138">
        <f>'Expenditures 15-22'!D240</f>
        <v>1004</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1004</v>
      </c>
      <c r="C1421" s="2" t="s">
        <v>573</v>
      </c>
      <c r="D1421" s="2" t="str">
        <f t="shared" si="21"/>
        <v>Error?</v>
      </c>
    </row>
    <row r="1422" spans="1:4" x14ac:dyDescent="0.2">
      <c r="A1422" s="5">
        <v>1361</v>
      </c>
      <c r="B1422" s="138">
        <f>'Expenditures 15-22'!D245</f>
        <v>559</v>
      </c>
      <c r="D1422" s="2" t="str">
        <f t="shared" si="21"/>
        <v>Error?</v>
      </c>
    </row>
    <row r="1423" spans="1:4" x14ac:dyDescent="0.2">
      <c r="A1423" s="5">
        <v>1362</v>
      </c>
      <c r="B1423" s="138">
        <f>'Expenditures 15-22'!D246</f>
        <v>6481</v>
      </c>
      <c r="D1423" s="2" t="str">
        <f t="shared" si="21"/>
        <v>Error?</v>
      </c>
    </row>
    <row r="1424" spans="1:4" x14ac:dyDescent="0.2">
      <c r="A1424" s="5">
        <v>1363</v>
      </c>
      <c r="B1424" s="138">
        <f>'Expenditures 15-22'!D257</f>
        <v>7040</v>
      </c>
      <c r="C1424" s="2" t="s">
        <v>573</v>
      </c>
      <c r="D1424" s="2" t="str">
        <f t="shared" si="21"/>
        <v>Error?</v>
      </c>
    </row>
    <row r="1425" spans="1:4" x14ac:dyDescent="0.2">
      <c r="A1425" s="5">
        <v>1364</v>
      </c>
      <c r="B1425" s="138">
        <f>'Expenditures 15-22'!D259</f>
        <v>5219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5219</v>
      </c>
      <c r="C1427" s="2" t="s">
        <v>573</v>
      </c>
      <c r="D1427" s="2" t="str">
        <f t="shared" si="21"/>
        <v>Error?</v>
      </c>
    </row>
    <row r="1428" spans="1:4" x14ac:dyDescent="0.2">
      <c r="A1428" s="5">
        <v>1367</v>
      </c>
      <c r="B1428" s="138">
        <f>'Expenditures 15-22'!D263</f>
        <v>2359</v>
      </c>
      <c r="D1428" s="2" t="str">
        <f t="shared" si="21"/>
        <v>Error?</v>
      </c>
    </row>
    <row r="1429" spans="1:4" x14ac:dyDescent="0.2">
      <c r="A1429" s="5">
        <v>1368</v>
      </c>
      <c r="B1429" s="138">
        <f>'Expenditures 15-22'!D264</f>
        <v>582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19288</v>
      </c>
      <c r="D1431" s="2" t="str">
        <f t="shared" si="21"/>
        <v>Error?</v>
      </c>
    </row>
    <row r="1432" spans="1:4" x14ac:dyDescent="0.2">
      <c r="A1432" s="5">
        <v>1371</v>
      </c>
      <c r="B1432" s="138">
        <f>'Expenditures 15-22'!D267</f>
        <v>121</v>
      </c>
      <c r="D1432" s="2" t="str">
        <f t="shared" si="21"/>
        <v>Error?</v>
      </c>
    </row>
    <row r="1433" spans="1:4" x14ac:dyDescent="0.2">
      <c r="A1433" s="5">
        <v>1372</v>
      </c>
      <c r="B1433" s="138">
        <f>'Expenditures 15-22'!D268</f>
        <v>11035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33385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243</v>
      </c>
      <c r="D1442" s="2" t="str">
        <f t="shared" si="21"/>
        <v>Error?</v>
      </c>
    </row>
    <row r="1443" spans="1:4" x14ac:dyDescent="0.2">
      <c r="A1443" s="10">
        <v>1382</v>
      </c>
      <c r="D1443" s="2" t="str">
        <f t="shared" si="21"/>
        <v>OK</v>
      </c>
    </row>
    <row r="1444" spans="1:4" x14ac:dyDescent="0.2">
      <c r="A1444" s="5">
        <v>1383</v>
      </c>
      <c r="B1444" s="138">
        <f>'Expenditures 15-22'!D277</f>
        <v>243</v>
      </c>
      <c r="C1444" s="2" t="s">
        <v>573</v>
      </c>
      <c r="D1444" s="2" t="str">
        <f t="shared" si="21"/>
        <v>Error?</v>
      </c>
    </row>
    <row r="1445" spans="1:4" x14ac:dyDescent="0.2">
      <c r="A1445" s="5">
        <v>1384</v>
      </c>
      <c r="B1445" s="138">
        <f>'Expenditures 15-22'!D278</f>
        <v>188</v>
      </c>
      <c r="D1445" s="2" t="str">
        <f t="shared" si="21"/>
        <v>Error?</v>
      </c>
    </row>
    <row r="1446" spans="1:4" x14ac:dyDescent="0.2">
      <c r="A1446" s="5">
        <v>1385</v>
      </c>
      <c r="B1446" s="138">
        <f>'Expenditures 15-22'!D279</f>
        <v>53706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95406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2918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41700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4261</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606</v>
      </c>
      <c r="C1479" s="2" t="s">
        <v>573</v>
      </c>
      <c r="D1479" s="2" t="str">
        <f t="shared" si="22"/>
        <v>Error?</v>
      </c>
    </row>
    <row r="1480" spans="1:4" x14ac:dyDescent="0.2">
      <c r="A1480" s="5">
        <v>1419</v>
      </c>
      <c r="B1480" s="138">
        <f>'Expenditures 15-22'!K237</f>
        <v>1760</v>
      </c>
      <c r="C1480" s="2" t="s">
        <v>573</v>
      </c>
      <c r="D1480" s="2" t="str">
        <f t="shared" si="22"/>
        <v>Error?</v>
      </c>
    </row>
    <row r="1481" spans="1:4" x14ac:dyDescent="0.2">
      <c r="A1481" s="5">
        <v>1420</v>
      </c>
      <c r="B1481" s="138">
        <f>'Expenditures 15-22'!K238</f>
        <v>6627</v>
      </c>
      <c r="C1481" s="2" t="s">
        <v>573</v>
      </c>
      <c r="D1481" s="2" t="str">
        <f t="shared" si="22"/>
        <v>Error?</v>
      </c>
    </row>
    <row r="1482" spans="1:4" x14ac:dyDescent="0.2">
      <c r="A1482" s="5">
        <v>1421</v>
      </c>
      <c r="B1482" s="138">
        <f>'Expenditures 15-22'!K240</f>
        <v>1004</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1004</v>
      </c>
      <c r="C1485" s="2" t="s">
        <v>573</v>
      </c>
      <c r="D1485" s="2" t="str">
        <f t="shared" si="22"/>
        <v>Error?</v>
      </c>
    </row>
    <row r="1486" spans="1:4" x14ac:dyDescent="0.2">
      <c r="A1486" s="5">
        <v>1425</v>
      </c>
      <c r="B1486" s="138">
        <f>'Expenditures 15-22'!K245</f>
        <v>559</v>
      </c>
      <c r="C1486" s="2" t="s">
        <v>573</v>
      </c>
      <c r="D1486" s="2" t="str">
        <f t="shared" si="22"/>
        <v>Error?</v>
      </c>
    </row>
    <row r="1487" spans="1:4" x14ac:dyDescent="0.2">
      <c r="A1487" s="5">
        <v>1426</v>
      </c>
      <c r="B1487" s="138">
        <f>'Expenditures 15-22'!K246</f>
        <v>6481</v>
      </c>
      <c r="C1487" s="2" t="s">
        <v>573</v>
      </c>
      <c r="D1487" s="2" t="str">
        <f t="shared" si="22"/>
        <v>Error?</v>
      </c>
    </row>
    <row r="1488" spans="1:4" x14ac:dyDescent="0.2">
      <c r="A1488" s="5">
        <v>1427</v>
      </c>
      <c r="B1488" s="138">
        <f>'Expenditures 15-22'!K257</f>
        <v>7040</v>
      </c>
      <c r="C1488" s="2" t="s">
        <v>573</v>
      </c>
      <c r="D1488" s="2" t="str">
        <f t="shared" si="22"/>
        <v>Error?</v>
      </c>
    </row>
    <row r="1489" spans="1:4" x14ac:dyDescent="0.2">
      <c r="A1489" s="5">
        <v>1428</v>
      </c>
      <c r="B1489" s="138">
        <f>'Expenditures 15-22'!K259</f>
        <v>5219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5219</v>
      </c>
      <c r="C1491" s="2" t="s">
        <v>573</v>
      </c>
      <c r="D1491" s="2" t="str">
        <f t="shared" si="22"/>
        <v>Error?</v>
      </c>
    </row>
    <row r="1492" spans="1:4" x14ac:dyDescent="0.2">
      <c r="A1492" s="5">
        <v>1431</v>
      </c>
      <c r="B1492" s="138">
        <f>'Expenditures 15-22'!K263</f>
        <v>2359</v>
      </c>
      <c r="C1492" s="2" t="s">
        <v>573</v>
      </c>
      <c r="D1492" s="2" t="str">
        <f t="shared" si="22"/>
        <v>Error?</v>
      </c>
    </row>
    <row r="1493" spans="1:4" x14ac:dyDescent="0.2">
      <c r="A1493" s="5">
        <v>1432</v>
      </c>
      <c r="B1493" s="138">
        <f>'Expenditures 15-22'!K264</f>
        <v>582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19288</v>
      </c>
      <c r="C1495" s="2" t="s">
        <v>573</v>
      </c>
      <c r="D1495" s="2" t="str">
        <f t="shared" si="22"/>
        <v>Error?</v>
      </c>
    </row>
    <row r="1496" spans="1:4" x14ac:dyDescent="0.2">
      <c r="A1496" s="5">
        <v>1435</v>
      </c>
      <c r="B1496" s="138">
        <f>'Expenditures 15-22'!K267</f>
        <v>121</v>
      </c>
      <c r="C1496" s="2" t="s">
        <v>573</v>
      </c>
      <c r="D1496" s="2" t="str">
        <f t="shared" si="22"/>
        <v>Error?</v>
      </c>
    </row>
    <row r="1497" spans="1:4" x14ac:dyDescent="0.2">
      <c r="A1497" s="5">
        <v>1436</v>
      </c>
      <c r="B1497" s="138">
        <f>'Expenditures 15-22'!K268</f>
        <v>11035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33385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243</v>
      </c>
      <c r="C1506" s="2" t="s">
        <v>573</v>
      </c>
      <c r="D1506" s="2" t="str">
        <f t="shared" si="22"/>
        <v>Error?</v>
      </c>
    </row>
    <row r="1507" spans="1:4" x14ac:dyDescent="0.2">
      <c r="A1507" s="10">
        <v>1446</v>
      </c>
      <c r="D1507" s="2" t="str">
        <f t="shared" si="22"/>
        <v>OK</v>
      </c>
    </row>
    <row r="1508" spans="1:4" x14ac:dyDescent="0.2">
      <c r="A1508" s="5">
        <v>1447</v>
      </c>
      <c r="B1508" s="138">
        <f>'Expenditures 15-22'!K277</f>
        <v>243</v>
      </c>
      <c r="C1508" s="2" t="s">
        <v>573</v>
      </c>
      <c r="D1508" s="2" t="str">
        <f t="shared" si="22"/>
        <v>Error?</v>
      </c>
    </row>
    <row r="1509" spans="1:4" x14ac:dyDescent="0.2">
      <c r="A1509" s="5">
        <v>1448</v>
      </c>
      <c r="B1509" s="138">
        <f>'Expenditures 15-22'!K278</f>
        <v>188</v>
      </c>
      <c r="C1509" s="2" t="s">
        <v>573</v>
      </c>
      <c r="D1509" s="2" t="str">
        <f t="shared" si="22"/>
        <v>Error?</v>
      </c>
    </row>
    <row r="1510" spans="1:4" x14ac:dyDescent="0.2">
      <c r="A1510" s="5">
        <v>1449</v>
      </c>
      <c r="B1510" s="138">
        <f>'Expenditures 15-22'!K279</f>
        <v>53706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95406</v>
      </c>
      <c r="C1517" s="2" t="s">
        <v>573</v>
      </c>
      <c r="D1517" s="2" t="str">
        <f t="shared" si="22"/>
        <v>Error?</v>
      </c>
    </row>
    <row r="1518" spans="1:4" x14ac:dyDescent="0.2">
      <c r="A1518" s="5">
        <v>1457</v>
      </c>
      <c r="B1518" s="138">
        <f>'Expenditures 15-22'!K296</f>
        <v>8735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95301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95301</v>
      </c>
      <c r="C1547" s="2" t="s">
        <v>573</v>
      </c>
      <c r="D1547" s="2" t="str">
        <f t="shared" si="23"/>
        <v>Error?</v>
      </c>
    </row>
    <row r="1548" spans="1:4" x14ac:dyDescent="0.2">
      <c r="A1548" s="5">
        <v>1487</v>
      </c>
      <c r="B1548" s="138">
        <f>'Expenditures 15-22'!G312</f>
        <v>95301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95301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95301</v>
      </c>
      <c r="C1559" s="2" t="s">
        <v>573</v>
      </c>
      <c r="D1559" s="2" t="str">
        <f t="shared" si="23"/>
        <v>Error?</v>
      </c>
    </row>
    <row r="1560" spans="1:4" x14ac:dyDescent="0.2">
      <c r="A1560" s="5">
        <v>1499</v>
      </c>
      <c r="B1560" s="138">
        <f>'Expenditures 15-22'!K312</f>
        <v>95301</v>
      </c>
      <c r="C1560" s="2" t="s">
        <v>573</v>
      </c>
      <c r="D1560" s="2" t="str">
        <f t="shared" si="23"/>
        <v>Error?</v>
      </c>
    </row>
    <row r="1561" spans="1:4" x14ac:dyDescent="0.2">
      <c r="A1561" s="5">
        <v>1500</v>
      </c>
      <c r="B1561" s="138">
        <f>'Expenditures 15-22'!K313</f>
        <v>70699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3212168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3483487</v>
      </c>
      <c r="C1630" s="2" t="s">
        <v>573</v>
      </c>
      <c r="D1630" s="2" t="str">
        <f t="shared" si="24"/>
        <v>Error?</v>
      </c>
    </row>
    <row r="1631" spans="1:4" x14ac:dyDescent="0.2">
      <c r="A1631" s="5">
        <v>1570</v>
      </c>
      <c r="B1631" s="138">
        <f>'Acct Summary 7-8'!D79</f>
        <v>182021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184310</v>
      </c>
      <c r="C1644" s="2" t="s">
        <v>573</v>
      </c>
      <c r="D1644" s="2" t="str">
        <f t="shared" si="24"/>
        <v>Error?</v>
      </c>
    </row>
    <row r="1645" spans="1:4" x14ac:dyDescent="0.2">
      <c r="A1645" s="5">
        <v>1584</v>
      </c>
      <c r="B1645" s="138">
        <f>'Acct Summary 7-8'!E79</f>
        <v>32669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34346</v>
      </c>
      <c r="C1658" s="2" t="s">
        <v>573</v>
      </c>
      <c r="D1658" s="2" t="str">
        <f t="shared" si="24"/>
        <v>Error?</v>
      </c>
    </row>
    <row r="1659" spans="1:4" x14ac:dyDescent="0.2">
      <c r="A1659" s="5">
        <v>1598</v>
      </c>
      <c r="B1659" s="138">
        <f>'Acct Summary 7-8'!F79</f>
        <v>97570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102187</v>
      </c>
      <c r="C1672" s="2" t="s">
        <v>573</v>
      </c>
      <c r="D1672" s="2" t="str">
        <f t="shared" si="25"/>
        <v>Error?</v>
      </c>
    </row>
    <row r="1673" spans="1:4" x14ac:dyDescent="0.2">
      <c r="A1673" s="5">
        <v>1612</v>
      </c>
      <c r="B1673" s="138">
        <f>'Acct Summary 7-8'!G79</f>
        <v>52253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60988</v>
      </c>
      <c r="C1686" s="2" t="s">
        <v>573</v>
      </c>
      <c r="D1686" s="2" t="str">
        <f t="shared" si="25"/>
        <v>Error?</v>
      </c>
    </row>
    <row r="1687" spans="1:4" x14ac:dyDescent="0.2">
      <c r="A1687" s="5">
        <v>1626</v>
      </c>
      <c r="B1687" s="138">
        <f>'Acct Summary 7-8'!H79</f>
        <v>993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71692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337470</v>
      </c>
      <c r="C1744" s="2" t="s">
        <v>573</v>
      </c>
      <c r="D1744" s="2" t="str">
        <f t="shared" si="26"/>
        <v>Error?</v>
      </c>
    </row>
    <row r="1745" spans="1:5" x14ac:dyDescent="0.2">
      <c r="A1745" s="5">
        <v>1684</v>
      </c>
      <c r="B1745" s="138">
        <f>'Tax Sched 23'!B5</f>
        <v>90661</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36264</v>
      </c>
      <c r="C1747" s="2" t="s">
        <v>573</v>
      </c>
      <c r="D1747" s="2" t="str">
        <f t="shared" si="26"/>
        <v>Error?</v>
      </c>
    </row>
    <row r="1748" spans="1:5" x14ac:dyDescent="0.2">
      <c r="A1748" s="5">
        <v>1687</v>
      </c>
      <c r="B1748" s="138">
        <f>'Tax Sched 23'!B8</f>
        <v>52396</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27839</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6348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600623</v>
      </c>
      <c r="C1759" s="2" t="s">
        <v>573</v>
      </c>
      <c r="D1759" s="2" t="str">
        <f t="shared" si="26"/>
        <v>Error?</v>
      </c>
    </row>
    <row r="1760" spans="1:5" x14ac:dyDescent="0.2">
      <c r="A1760" s="5">
        <v>1699</v>
      </c>
      <c r="B1760" s="138">
        <f>'Tax Sched 23'!D4</f>
        <v>337470</v>
      </c>
      <c r="C1760" s="2" t="s">
        <v>573</v>
      </c>
      <c r="D1760" s="2" t="str">
        <f t="shared" si="26"/>
        <v>Error?</v>
      </c>
    </row>
    <row r="1761" spans="1:5" x14ac:dyDescent="0.2">
      <c r="A1761" s="5">
        <v>1700</v>
      </c>
      <c r="B1761" s="138">
        <f>'Tax Sched 23'!D5</f>
        <v>90661</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36264</v>
      </c>
      <c r="C1763" s="2" t="s">
        <v>573</v>
      </c>
      <c r="D1763" s="2" t="str">
        <f t="shared" si="26"/>
        <v>Error?</v>
      </c>
    </row>
    <row r="1764" spans="1:5" x14ac:dyDescent="0.2">
      <c r="A1764" s="5">
        <v>1703</v>
      </c>
      <c r="B1764" s="138">
        <f>'Tax Sched 23'!D8</f>
        <v>52396</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27839</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6348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600623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342941</v>
      </c>
      <c r="C1792" s="2" t="s">
        <v>573</v>
      </c>
      <c r="D1792" s="2" t="str">
        <f t="shared" si="27"/>
        <v>Error?</v>
      </c>
    </row>
    <row r="1793" spans="1:4" x14ac:dyDescent="0.2">
      <c r="A1793" s="5">
        <v>1732</v>
      </c>
      <c r="B1793" s="138">
        <f>'Tax Sched 23'!F5</f>
        <v>93192</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37278</v>
      </c>
      <c r="C1795" s="2" t="s">
        <v>573</v>
      </c>
      <c r="D1795" s="2" t="str">
        <f t="shared" si="27"/>
        <v>Error?</v>
      </c>
    </row>
    <row r="1796" spans="1:4" x14ac:dyDescent="0.2">
      <c r="A1796" s="5">
        <v>1735</v>
      </c>
      <c r="B1796" s="138">
        <f>'Tax Sched 23'!F8</f>
        <v>53819</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28564</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6524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613302</v>
      </c>
      <c r="C1807" s="2" t="s">
        <v>573</v>
      </c>
      <c r="D1807" s="2" t="str">
        <f t="shared" si="27"/>
        <v>Error?</v>
      </c>
    </row>
    <row r="1808" spans="1:4" x14ac:dyDescent="0.2">
      <c r="A1808" s="5">
        <v>1747</v>
      </c>
      <c r="B1808" s="138">
        <f>'Tax Sched 23'!E4</f>
        <v>342941</v>
      </c>
      <c r="D1808" s="2" t="str">
        <f t="shared" si="27"/>
        <v>Error?</v>
      </c>
    </row>
    <row r="1809" spans="1:4" x14ac:dyDescent="0.2">
      <c r="A1809" s="5">
        <v>1748</v>
      </c>
      <c r="B1809" s="138">
        <f>'Tax Sched 23'!E5</f>
        <v>93192</v>
      </c>
      <c r="D1809" s="2" t="str">
        <f t="shared" si="27"/>
        <v>Error?</v>
      </c>
    </row>
    <row r="1810" spans="1:4" x14ac:dyDescent="0.2">
      <c r="A1810" s="5">
        <v>1749</v>
      </c>
      <c r="B1810" s="138">
        <f>'Tax Sched 23'!E6</f>
        <v>0</v>
      </c>
      <c r="D1810" s="2" t="str">
        <f t="shared" si="27"/>
        <v>Error?</v>
      </c>
    </row>
    <row r="1811" spans="1:4" x14ac:dyDescent="0.2">
      <c r="A1811" s="5">
        <v>1750</v>
      </c>
      <c r="B1811" s="138">
        <f>'Tax Sched 23'!E7</f>
        <v>37278</v>
      </c>
      <c r="D1811" s="2" t="str">
        <f t="shared" si="27"/>
        <v>Error?</v>
      </c>
    </row>
    <row r="1812" spans="1:4" x14ac:dyDescent="0.2">
      <c r="A1812" s="5">
        <v>1751</v>
      </c>
      <c r="B1812" s="138">
        <f>'Tax Sched 23'!E8</f>
        <v>53819</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28564</v>
      </c>
      <c r="D1816" s="2" t="str">
        <f t="shared" si="27"/>
        <v>Error?</v>
      </c>
    </row>
    <row r="1817" spans="1:4" x14ac:dyDescent="0.2">
      <c r="A1817" s="5">
        <v>1756</v>
      </c>
      <c r="B1817" s="138">
        <f>'Tax Sched 23'!E12</f>
        <v>0</v>
      </c>
      <c r="D1817" s="2" t="str">
        <f t="shared" si="27"/>
        <v>Error?</v>
      </c>
    </row>
    <row r="1818" spans="1:4" x14ac:dyDescent="0.2">
      <c r="A1818" s="5">
        <v>1757</v>
      </c>
      <c r="B1818" s="138">
        <f>'Tax Sched 23'!E14</f>
        <v>6524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613302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150977</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6348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6348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6348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2038</v>
      </c>
      <c r="D2008" s="2" t="str">
        <f t="shared" si="30"/>
        <v>Error?</v>
      </c>
    </row>
    <row r="2009" spans="1:4" x14ac:dyDescent="0.2">
      <c r="A2009" s="5">
        <v>1948</v>
      </c>
      <c r="B2009" s="138">
        <f>'Cap Outlay Deprec 26'!C8</f>
        <v>3528977</v>
      </c>
      <c r="D2009" s="2" t="str">
        <f t="shared" si="30"/>
        <v>Error?</v>
      </c>
    </row>
    <row r="2010" spans="1:4" x14ac:dyDescent="0.2">
      <c r="A2010" s="5">
        <v>1949</v>
      </c>
      <c r="B2010" s="138">
        <f>'Cap Outlay Deprec 26'!C10</f>
        <v>1675996</v>
      </c>
      <c r="D2010" s="2" t="str">
        <f t="shared" si="30"/>
        <v>Error?</v>
      </c>
    </row>
    <row r="2011" spans="1:4" x14ac:dyDescent="0.2">
      <c r="A2011" s="5">
        <v>1950</v>
      </c>
      <c r="B2011" s="138">
        <f>'Cap Outlay Deprec 26'!C12</f>
        <v>2432777</v>
      </c>
      <c r="D2011" s="2" t="str">
        <f t="shared" si="30"/>
        <v>Error?</v>
      </c>
    </row>
    <row r="2012" spans="1:4" x14ac:dyDescent="0.2">
      <c r="A2012" s="5">
        <v>1951</v>
      </c>
      <c r="B2012" s="138">
        <f>'Cap Outlay Deprec 26'!C13</f>
        <v>913652</v>
      </c>
      <c r="D2012" s="2" t="str">
        <f t="shared" si="30"/>
        <v>Error?</v>
      </c>
    </row>
    <row r="2013" spans="1:4" x14ac:dyDescent="0.2">
      <c r="A2013" s="5">
        <v>1952</v>
      </c>
      <c r="B2013" s="138">
        <f>'Cap Outlay Deprec 26'!C16</f>
        <v>8553440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698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29898</v>
      </c>
      <c r="D2017" s="2" t="str">
        <f t="shared" si="30"/>
        <v>Error?</v>
      </c>
    </row>
    <row r="2018" spans="1:4" x14ac:dyDescent="0.2">
      <c r="A2018" s="5">
        <v>1957</v>
      </c>
      <c r="B2018" s="138">
        <f>'Cap Outlay Deprec 26'!D13</f>
        <v>35065</v>
      </c>
      <c r="D2018" s="2" t="str">
        <f t="shared" si="30"/>
        <v>Error?</v>
      </c>
    </row>
    <row r="2019" spans="1:4" x14ac:dyDescent="0.2">
      <c r="A2019" s="5">
        <v>1958</v>
      </c>
      <c r="B2019" s="138">
        <f>'Cap Outlay Deprec 26'!D16</f>
        <v>200201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337262</v>
      </c>
      <c r="D2023" s="2" t="str">
        <f t="shared" si="30"/>
        <v>Error?</v>
      </c>
    </row>
    <row r="2024" spans="1:4" x14ac:dyDescent="0.2">
      <c r="A2024" s="5">
        <v>1963</v>
      </c>
      <c r="B2024" s="138">
        <f>'Cap Outlay Deprec 26'!E13</f>
        <v>444235</v>
      </c>
      <c r="D2024" s="2" t="str">
        <f t="shared" si="30"/>
        <v>Error?</v>
      </c>
    </row>
    <row r="2025" spans="1:4" x14ac:dyDescent="0.2">
      <c r="A2025" s="5">
        <v>1964</v>
      </c>
      <c r="B2025" s="138">
        <f>'Cap Outlay Deprec 26'!E16</f>
        <v>781497</v>
      </c>
      <c r="C2025" s="2" t="s">
        <v>573</v>
      </c>
      <c r="D2025" s="2" t="str">
        <f t="shared" si="30"/>
        <v>Error?</v>
      </c>
    </row>
    <row r="2026" spans="1:4" x14ac:dyDescent="0.2">
      <c r="A2026" s="5">
        <v>1965</v>
      </c>
      <c r="B2026" s="138">
        <f>'Cap Outlay Deprec 26'!F5</f>
        <v>2038</v>
      </c>
      <c r="C2026" s="2" t="s">
        <v>573</v>
      </c>
      <c r="D2026" s="2" t="str">
        <f t="shared" si="30"/>
        <v>Error?</v>
      </c>
    </row>
    <row r="2027" spans="1:4" x14ac:dyDescent="0.2">
      <c r="A2027" s="5">
        <v>1966</v>
      </c>
      <c r="B2027" s="138">
        <f>'Cap Outlay Deprec 26'!F8</f>
        <v>3529675</v>
      </c>
      <c r="C2027" s="2" t="s">
        <v>573</v>
      </c>
      <c r="D2027" s="2" t="str">
        <f t="shared" si="30"/>
        <v>Error?</v>
      </c>
    </row>
    <row r="2028" spans="1:4" x14ac:dyDescent="0.2">
      <c r="A2028" s="5">
        <v>1967</v>
      </c>
      <c r="B2028" s="138">
        <f>'Cap Outlay Deprec 26'!F10</f>
        <v>1675996</v>
      </c>
      <c r="C2028" s="2" t="s">
        <v>573</v>
      </c>
      <c r="D2028" s="2" t="str">
        <f t="shared" si="30"/>
        <v>Error?</v>
      </c>
    </row>
    <row r="2029" spans="1:4" x14ac:dyDescent="0.2">
      <c r="A2029" s="5">
        <v>1968</v>
      </c>
      <c r="B2029" s="138">
        <f>'Cap Outlay Deprec 26'!F12</f>
        <v>2125413</v>
      </c>
      <c r="C2029" s="2" t="s">
        <v>573</v>
      </c>
      <c r="D2029" s="2" t="str">
        <f t="shared" si="30"/>
        <v>Error?</v>
      </c>
    </row>
    <row r="2030" spans="1:4" x14ac:dyDescent="0.2">
      <c r="A2030" s="5">
        <v>1969</v>
      </c>
      <c r="B2030" s="138">
        <f>'Cap Outlay Deprec 26'!F13</f>
        <v>504482</v>
      </c>
      <c r="C2030" s="2" t="s">
        <v>573</v>
      </c>
      <c r="D2030" s="2" t="str">
        <f t="shared" si="30"/>
        <v>Error?</v>
      </c>
    </row>
    <row r="2031" spans="1:4" x14ac:dyDescent="0.2">
      <c r="A2031" s="5">
        <v>1970</v>
      </c>
      <c r="B2031" s="138">
        <f>'Cap Outlay Deprec 26'!F16</f>
        <v>7972144</v>
      </c>
      <c r="C2031" s="2" t="s">
        <v>573</v>
      </c>
      <c r="D2031" s="2" t="str">
        <f t="shared" si="30"/>
        <v>Error?</v>
      </c>
    </row>
    <row r="2032" spans="1:4" x14ac:dyDescent="0.2">
      <c r="A2032" s="10">
        <v>1971</v>
      </c>
      <c r="D2032" s="2" t="str">
        <f t="shared" si="30"/>
        <v>OK</v>
      </c>
    </row>
    <row r="2033" spans="1:4" x14ac:dyDescent="0.2">
      <c r="A2033" s="5">
        <v>1972</v>
      </c>
      <c r="B2033" s="138">
        <f>'Cap Outlay Deprec 26'!H8</f>
        <v>1893169</v>
      </c>
      <c r="D2033" s="2" t="str">
        <f t="shared" si="30"/>
        <v>Error?</v>
      </c>
    </row>
    <row r="2034" spans="1:4" x14ac:dyDescent="0.2">
      <c r="A2034" s="5">
        <v>1973</v>
      </c>
      <c r="B2034" s="138">
        <f>'Cap Outlay Deprec 26'!H10</f>
        <v>956454</v>
      </c>
      <c r="D2034" s="2" t="str">
        <f t="shared" si="30"/>
        <v>Error?</v>
      </c>
    </row>
    <row r="2035" spans="1:4" x14ac:dyDescent="0.2">
      <c r="A2035" s="5">
        <v>1974</v>
      </c>
      <c r="B2035" s="138">
        <f>'Cap Outlay Deprec 26'!H12</f>
        <v>2236249</v>
      </c>
      <c r="D2035" s="2" t="str">
        <f t="shared" si="30"/>
        <v>Error?</v>
      </c>
    </row>
    <row r="2036" spans="1:4" x14ac:dyDescent="0.2">
      <c r="A2036" s="5">
        <v>1975</v>
      </c>
      <c r="B2036" s="138">
        <f>'Cap Outlay Deprec 26'!H13</f>
        <v>799858</v>
      </c>
      <c r="D2036" s="2" t="str">
        <f t="shared" si="30"/>
        <v>Error?</v>
      </c>
    </row>
    <row r="2037" spans="1:4" x14ac:dyDescent="0.2">
      <c r="A2037" s="5">
        <v>1976</v>
      </c>
      <c r="B2037" s="138">
        <f>'Cap Outlay Deprec 26'!H16</f>
        <v>5885730</v>
      </c>
      <c r="C2037" s="2" t="s">
        <v>573</v>
      </c>
      <c r="D2037" s="2" t="str">
        <f t="shared" si="30"/>
        <v>Error?</v>
      </c>
    </row>
    <row r="2038" spans="1:4" x14ac:dyDescent="0.2">
      <c r="A2038" s="10">
        <v>1977</v>
      </c>
      <c r="D2038" s="2" t="str">
        <f t="shared" si="30"/>
        <v>OK</v>
      </c>
    </row>
    <row r="2039" spans="1:4" x14ac:dyDescent="0.2">
      <c r="A2039" s="5">
        <v>1978</v>
      </c>
      <c r="B2039" s="138">
        <f>'Cap Outlay Deprec 26'!I8</f>
        <v>70911</v>
      </c>
      <c r="D2039" s="2" t="str">
        <f t="shared" si="30"/>
        <v>Error?</v>
      </c>
    </row>
    <row r="2040" spans="1:4" x14ac:dyDescent="0.2">
      <c r="A2040" s="5">
        <v>1979</v>
      </c>
      <c r="B2040" s="138">
        <f>'Cap Outlay Deprec 26'!I10</f>
        <v>52741</v>
      </c>
      <c r="D2040" s="2" t="str">
        <f t="shared" si="30"/>
        <v>Error?</v>
      </c>
    </row>
    <row r="2041" spans="1:4" x14ac:dyDescent="0.2">
      <c r="A2041" s="5">
        <v>1980</v>
      </c>
      <c r="B2041" s="138">
        <f>'Cap Outlay Deprec 26'!I12</f>
        <v>39031</v>
      </c>
      <c r="D2041" s="2" t="str">
        <f t="shared" si="30"/>
        <v>Error?</v>
      </c>
    </row>
    <row r="2042" spans="1:4" x14ac:dyDescent="0.2">
      <c r="A2042" s="5">
        <v>1981</v>
      </c>
      <c r="B2042" s="138">
        <f>'Cap Outlay Deprec 26'!I13</f>
        <v>33645</v>
      </c>
      <c r="D2042" s="2" t="str">
        <f t="shared" si="30"/>
        <v>Error?</v>
      </c>
    </row>
    <row r="2043" spans="1:4" x14ac:dyDescent="0.2">
      <c r="A2043" s="5">
        <v>1982</v>
      </c>
      <c r="B2043" s="138">
        <f>'Cap Outlay Deprec 26'!I16</f>
        <v>196328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336185</v>
      </c>
      <c r="D2047" s="2" t="str">
        <f t="shared" ref="D2047:D2110" si="31">IF(ISBLANK(B2047),"OK",IF(A2047-B2047=0,"OK","Error?"))</f>
        <v>Error?</v>
      </c>
    </row>
    <row r="2048" spans="1:4" x14ac:dyDescent="0.2">
      <c r="A2048" s="5">
        <v>1987</v>
      </c>
      <c r="B2048" s="138">
        <f>'Cap Outlay Deprec 26'!J13</f>
        <v>443132</v>
      </c>
      <c r="D2048" s="2" t="str">
        <f t="shared" si="31"/>
        <v>Error?</v>
      </c>
    </row>
    <row r="2049" spans="1:4" x14ac:dyDescent="0.2">
      <c r="A2049" s="5">
        <v>1988</v>
      </c>
      <c r="B2049" s="138">
        <f>'Cap Outlay Deprec 26'!J16</f>
        <v>779317</v>
      </c>
      <c r="C2049" s="2" t="s">
        <v>573</v>
      </c>
      <c r="D2049" s="2" t="str">
        <f t="shared" si="31"/>
        <v>Error?</v>
      </c>
    </row>
    <row r="2050" spans="1:4" x14ac:dyDescent="0.2">
      <c r="A2050" s="10">
        <v>1989</v>
      </c>
      <c r="D2050" s="2" t="str">
        <f t="shared" si="31"/>
        <v>OK</v>
      </c>
    </row>
    <row r="2051" spans="1:4" x14ac:dyDescent="0.2">
      <c r="A2051" s="5">
        <v>1990</v>
      </c>
      <c r="B2051" s="138">
        <f>'Cap Outlay Deprec 26'!K8</f>
        <v>1964080</v>
      </c>
      <c r="C2051" s="2" t="s">
        <v>573</v>
      </c>
      <c r="D2051" s="2" t="str">
        <f t="shared" si="31"/>
        <v>Error?</v>
      </c>
    </row>
    <row r="2052" spans="1:4" x14ac:dyDescent="0.2">
      <c r="A2052" s="5">
        <v>1991</v>
      </c>
      <c r="B2052" s="138">
        <f>'Cap Outlay Deprec 26'!K10</f>
        <v>1009195</v>
      </c>
      <c r="C2052" s="2" t="s">
        <v>573</v>
      </c>
      <c r="D2052" s="2" t="str">
        <f t="shared" si="31"/>
        <v>Error?</v>
      </c>
    </row>
    <row r="2053" spans="1:4" x14ac:dyDescent="0.2">
      <c r="A2053" s="5">
        <v>1992</v>
      </c>
      <c r="B2053" s="138">
        <f>'Cap Outlay Deprec 26'!K12</f>
        <v>1939095</v>
      </c>
      <c r="C2053" s="2" t="s">
        <v>573</v>
      </c>
      <c r="D2053" s="2" t="str">
        <f t="shared" si="31"/>
        <v>Error?</v>
      </c>
    </row>
    <row r="2054" spans="1:4" x14ac:dyDescent="0.2">
      <c r="A2054" s="5">
        <v>1993</v>
      </c>
      <c r="B2054" s="138">
        <f>'Cap Outlay Deprec 26'!K13</f>
        <v>390371</v>
      </c>
      <c r="C2054" s="2" t="s">
        <v>573</v>
      </c>
      <c r="D2054" s="2" t="str">
        <f t="shared" si="31"/>
        <v>Error?</v>
      </c>
    </row>
    <row r="2055" spans="1:4" x14ac:dyDescent="0.2">
      <c r="A2055" s="5">
        <v>1994</v>
      </c>
      <c r="B2055" s="138">
        <f>'Cap Outlay Deprec 26'!K16</f>
        <v>5302741</v>
      </c>
      <c r="C2055" s="2" t="s">
        <v>573</v>
      </c>
      <c r="D2055" s="2" t="str">
        <f t="shared" si="31"/>
        <v>Error?</v>
      </c>
    </row>
    <row r="2056" spans="1:4" x14ac:dyDescent="0.2">
      <c r="A2056" s="5">
        <v>1995</v>
      </c>
      <c r="B2056" s="138">
        <f>'Cap Outlay Deprec 26'!L5</f>
        <v>2038</v>
      </c>
      <c r="C2056" s="2" t="s">
        <v>573</v>
      </c>
      <c r="D2056" s="2" t="str">
        <f t="shared" si="31"/>
        <v>Error?</v>
      </c>
    </row>
    <row r="2057" spans="1:4" x14ac:dyDescent="0.2">
      <c r="A2057" s="5">
        <v>1996</v>
      </c>
      <c r="B2057" s="138">
        <f>'Cap Outlay Deprec 26'!L8</f>
        <v>1565595</v>
      </c>
      <c r="C2057" s="2" t="s">
        <v>573</v>
      </c>
      <c r="D2057" s="2" t="str">
        <f t="shared" si="31"/>
        <v>Error?</v>
      </c>
    </row>
    <row r="2058" spans="1:4" x14ac:dyDescent="0.2">
      <c r="A2058" s="5">
        <v>1997</v>
      </c>
      <c r="B2058" s="138">
        <f>'Cap Outlay Deprec 26'!L10</f>
        <v>666801</v>
      </c>
      <c r="C2058" s="2" t="s">
        <v>573</v>
      </c>
      <c r="D2058" s="2" t="str">
        <f t="shared" si="31"/>
        <v>Error?</v>
      </c>
    </row>
    <row r="2059" spans="1:4" x14ac:dyDescent="0.2">
      <c r="A2059" s="5">
        <v>1998</v>
      </c>
      <c r="B2059" s="138">
        <f>'Cap Outlay Deprec 26'!L12</f>
        <v>186318</v>
      </c>
      <c r="C2059" s="2" t="s">
        <v>573</v>
      </c>
      <c r="D2059" s="2" t="str">
        <f t="shared" si="31"/>
        <v>Error?</v>
      </c>
    </row>
    <row r="2060" spans="1:4" x14ac:dyDescent="0.2">
      <c r="A2060" s="5">
        <v>1999</v>
      </c>
      <c r="B2060" s="138">
        <f>'Cap Outlay Deprec 26'!L13</f>
        <v>114111</v>
      </c>
      <c r="C2060" s="2" t="s">
        <v>573</v>
      </c>
      <c r="D2060" s="2" t="str">
        <f t="shared" si="31"/>
        <v>Error?</v>
      </c>
    </row>
    <row r="2061" spans="1:4" x14ac:dyDescent="0.2">
      <c r="A2061" s="5">
        <v>2000</v>
      </c>
      <c r="B2061" s="138">
        <f>'Cap Outlay Deprec 26'!L16</f>
        <v>2669403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140724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164724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60988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34346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690176</v>
      </c>
      <c r="C2551" s="2" t="s">
        <v>573</v>
      </c>
      <c r="D2551" s="2" t="str">
        <f t="shared" si="38"/>
        <v>Error?</v>
      </c>
    </row>
    <row r="2552" spans="1:4" x14ac:dyDescent="0.2">
      <c r="A2552" s="10">
        <v>2491</v>
      </c>
      <c r="D2552" s="2" t="str">
        <f t="shared" si="38"/>
        <v>OK</v>
      </c>
    </row>
    <row r="2553" spans="1:4" x14ac:dyDescent="0.2">
      <c r="A2553" s="5">
        <v>2492</v>
      </c>
      <c r="B2553" s="138">
        <f>'Acct Summary 7-8'!C6</f>
        <v>3103846</v>
      </c>
      <c r="C2553" s="2" t="s">
        <v>573</v>
      </c>
      <c r="D2553" s="2" t="str">
        <f t="shared" si="38"/>
        <v>Error?</v>
      </c>
    </row>
    <row r="2554" spans="1:4" x14ac:dyDescent="0.2">
      <c r="A2554" s="5">
        <v>2493</v>
      </c>
      <c r="B2554" s="138">
        <f>'Acct Summary 7-8'!C7</f>
        <v>920276</v>
      </c>
      <c r="C2554" s="2" t="s">
        <v>573</v>
      </c>
      <c r="D2554" s="2" t="str">
        <f t="shared" si="38"/>
        <v>Error?</v>
      </c>
    </row>
    <row r="2555" spans="1:4" x14ac:dyDescent="0.2">
      <c r="A2555" s="5">
        <v>2494</v>
      </c>
      <c r="B2555" s="138">
        <f>'Acct Summary 7-8'!C8</f>
        <v>4725233</v>
      </c>
      <c r="C2555" s="2" t="s">
        <v>573</v>
      </c>
      <c r="D2555" s="2" t="str">
        <f t="shared" si="38"/>
        <v>Error?</v>
      </c>
    </row>
    <row r="2556" spans="1:4" x14ac:dyDescent="0.2">
      <c r="A2556" s="5">
        <v>2495</v>
      </c>
      <c r="B2556" s="138">
        <f>'Acct Summary 7-8'!C12</f>
        <v>2628636</v>
      </c>
      <c r="C2556" s="2" t="s">
        <v>573</v>
      </c>
      <c r="D2556" s="2" t="str">
        <f t="shared" si="38"/>
        <v>Error?</v>
      </c>
    </row>
    <row r="2557" spans="1:4" x14ac:dyDescent="0.2">
      <c r="A2557" s="5">
        <v>2496</v>
      </c>
      <c r="B2557" s="138">
        <f>'Acct Summary 7-8'!C13</f>
        <v>1600271</v>
      </c>
      <c r="C2557" s="2" t="s">
        <v>573</v>
      </c>
      <c r="D2557" s="2" t="str">
        <f t="shared" si="38"/>
        <v>Error?</v>
      </c>
    </row>
    <row r="2558" spans="1:4" x14ac:dyDescent="0.2">
      <c r="A2558" s="5">
        <v>2497</v>
      </c>
      <c r="B2558" s="138">
        <f>'Acct Summary 7-8'!C14</f>
        <v>60283</v>
      </c>
      <c r="C2558" s="2" t="s">
        <v>573</v>
      </c>
      <c r="D2558" s="2" t="str">
        <f t="shared" si="38"/>
        <v>Error?</v>
      </c>
    </row>
    <row r="2559" spans="1:4" x14ac:dyDescent="0.2">
      <c r="A2559" s="5">
        <v>2498</v>
      </c>
      <c r="B2559" s="138">
        <f>'Acct Summary 7-8'!C15</f>
        <v>164724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4453914</v>
      </c>
      <c r="C2561" s="2" t="s">
        <v>573</v>
      </c>
      <c r="D2561" s="2" t="str">
        <f t="shared" si="39"/>
        <v>Error?</v>
      </c>
    </row>
    <row r="2562" spans="1:4" x14ac:dyDescent="0.2">
      <c r="A2562" s="5">
        <v>2501</v>
      </c>
      <c r="B2562" s="138">
        <f>'Acct Summary 7-8'!C20</f>
        <v>271319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90661</v>
      </c>
      <c r="C2564" s="2" t="s">
        <v>573</v>
      </c>
      <c r="D2564" s="2" t="str">
        <f t="shared" si="39"/>
        <v>Error?</v>
      </c>
    </row>
    <row r="2565" spans="1:4" x14ac:dyDescent="0.2">
      <c r="A2565" s="10">
        <v>2504</v>
      </c>
      <c r="D2565" s="2" t="str">
        <f t="shared" si="39"/>
        <v>OK</v>
      </c>
    </row>
    <row r="2566" spans="1:4" x14ac:dyDescent="0.2">
      <c r="A2566" s="5">
        <v>2505</v>
      </c>
      <c r="B2566" s="138">
        <f>'Acct Summary 7-8'!D6</f>
        <v>28000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118661</v>
      </c>
      <c r="C2568" s="2" t="s">
        <v>573</v>
      </c>
      <c r="D2568" s="2" t="str">
        <f t="shared" si="39"/>
        <v>Error?</v>
      </c>
    </row>
    <row r="2569" spans="1:4" x14ac:dyDescent="0.2">
      <c r="A2569" s="5">
        <v>2508</v>
      </c>
      <c r="B2569" s="138">
        <f>'Acct Summary 7-8'!D13</f>
        <v>90682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90682</v>
      </c>
      <c r="C2573" s="2" t="s">
        <v>573</v>
      </c>
      <c r="D2573" s="2" t="str">
        <f t="shared" si="39"/>
        <v>Error?</v>
      </c>
    </row>
    <row r="2574" spans="1:4" x14ac:dyDescent="0.2">
      <c r="A2574" s="5">
        <v>2513</v>
      </c>
      <c r="B2574" s="138">
        <f>'Acct Summary 7-8'!D20</f>
        <v>27979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36367</v>
      </c>
      <c r="C2591" s="2" t="s">
        <v>573</v>
      </c>
      <c r="D2591" s="2" t="str">
        <f t="shared" si="39"/>
        <v>Error?</v>
      </c>
    </row>
    <row r="2592" spans="1:4" x14ac:dyDescent="0.2">
      <c r="A2592" s="10">
        <v>2531</v>
      </c>
      <c r="D2592" s="2" t="str">
        <f t="shared" si="39"/>
        <v>OK</v>
      </c>
    </row>
    <row r="2593" spans="1:4" x14ac:dyDescent="0.2">
      <c r="A2593" s="5">
        <v>2532</v>
      </c>
      <c r="B2593" s="138">
        <f>'Acct Summary 7-8'!F6</f>
        <v>241852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278219</v>
      </c>
      <c r="C2595" s="2" t="s">
        <v>573</v>
      </c>
      <c r="D2595" s="2" t="str">
        <f t="shared" si="39"/>
        <v>Error?</v>
      </c>
    </row>
    <row r="2596" spans="1:4" x14ac:dyDescent="0.2">
      <c r="A2596" s="5">
        <v>2535</v>
      </c>
      <c r="B2596" s="138">
        <f>'Acct Summary 7-8'!F13</f>
        <v>273602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273602</v>
      </c>
      <c r="C2600" s="2" t="s">
        <v>573</v>
      </c>
      <c r="D2600" s="2" t="str">
        <f t="shared" si="39"/>
        <v>Error?</v>
      </c>
    </row>
    <row r="2601" spans="1:4" x14ac:dyDescent="0.2">
      <c r="A2601" s="5">
        <v>2540</v>
      </c>
      <c r="B2601" s="138">
        <f>'Acct Summary 7-8'!F20</f>
        <v>4617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104141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104141</v>
      </c>
      <c r="C2606" s="2" t="s">
        <v>573</v>
      </c>
      <c r="D2606" s="2" t="str">
        <f t="shared" si="39"/>
        <v>Error?</v>
      </c>
    </row>
    <row r="2607" spans="1:4" x14ac:dyDescent="0.2">
      <c r="A2607" s="5">
        <v>2546</v>
      </c>
      <c r="B2607" s="138">
        <f>'Acct Summary 7-8'!G12</f>
        <v>41700</v>
      </c>
      <c r="C2607" s="2" t="s">
        <v>573</v>
      </c>
      <c r="D2607" s="2" t="str">
        <f t="shared" si="39"/>
        <v>Error?</v>
      </c>
    </row>
    <row r="2608" spans="1:4" x14ac:dyDescent="0.2">
      <c r="A2608" s="5">
        <v>2547</v>
      </c>
      <c r="B2608" s="138">
        <f>'Acct Summary 7-8'!G13</f>
        <v>53706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95406</v>
      </c>
      <c r="C2612" s="2" t="s">
        <v>573</v>
      </c>
      <c r="D2612" s="2" t="str">
        <f t="shared" si="39"/>
        <v>Error?</v>
      </c>
    </row>
    <row r="2613" spans="1:4" x14ac:dyDescent="0.2">
      <c r="A2613" s="5">
        <v>2552</v>
      </c>
      <c r="B2613" s="138">
        <f>'Acct Summary 7-8'!G20</f>
        <v>8735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215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24228</v>
      </c>
      <c r="C2634" s="2" t="s">
        <v>573</v>
      </c>
      <c r="D2634" s="2" t="str">
        <f t="shared" si="40"/>
        <v>Error?</v>
      </c>
    </row>
    <row r="2635" spans="1:4" x14ac:dyDescent="0.2">
      <c r="A2635" s="5">
        <v>2574</v>
      </c>
      <c r="B2635" s="138">
        <f>'Acct Summary 7-8'!E17</f>
        <v>24228</v>
      </c>
      <c r="C2635" s="2" t="s">
        <v>573</v>
      </c>
      <c r="D2635" s="2" t="str">
        <f t="shared" si="40"/>
        <v>Error?</v>
      </c>
    </row>
    <row r="2636" spans="1:4" x14ac:dyDescent="0.2">
      <c r="A2636" s="5">
        <v>2575</v>
      </c>
      <c r="B2636" s="138">
        <f>'Acct Summary 7-8'!E20</f>
        <v>-24013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166000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166000</v>
      </c>
      <c r="C2658" s="2" t="s">
        <v>573</v>
      </c>
      <c r="D2658" s="2" t="str">
        <f t="shared" si="40"/>
        <v>Error?</v>
      </c>
    </row>
    <row r="2659" spans="1:4" x14ac:dyDescent="0.2">
      <c r="A2659" s="5">
        <v>2598</v>
      </c>
      <c r="B2659" s="138">
        <f>'Acct Summary 7-8'!H13</f>
        <v>95301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95301</v>
      </c>
      <c r="C2661" s="2" t="s">
        <v>573</v>
      </c>
      <c r="D2661" s="2" t="str">
        <f t="shared" si="40"/>
        <v>Error?</v>
      </c>
    </row>
    <row r="2662" spans="1:4" x14ac:dyDescent="0.2">
      <c r="A2662" s="5">
        <v>2601</v>
      </c>
      <c r="B2662" s="138">
        <f>'Acct Summary 7-8'!H20</f>
        <v>70699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24000</v>
      </c>
      <c r="C2789" s="2" t="s">
        <v>573</v>
      </c>
      <c r="D2789" s="2" t="str">
        <f t="shared" si="42"/>
        <v>Error?</v>
      </c>
    </row>
    <row r="2790" spans="1:4" x14ac:dyDescent="0.2">
      <c r="A2790" s="5">
        <v>2729</v>
      </c>
      <c r="B2790" s="138">
        <f>'Expenditures 15-22'!E102</f>
        <v>24000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5193</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2743</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134540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41877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41877</v>
      </c>
      <c r="D2914" s="2" t="str">
        <f t="shared" si="44"/>
        <v>Error?</v>
      </c>
    </row>
    <row r="2915" spans="1:4" x14ac:dyDescent="0.2">
      <c r="A2915" s="10">
        <v>2854</v>
      </c>
      <c r="D2915" s="2" t="str">
        <f t="shared" si="44"/>
        <v>OK</v>
      </c>
    </row>
    <row r="2916" spans="1:4" x14ac:dyDescent="0.2">
      <c r="A2916" s="5">
        <v>2855</v>
      </c>
      <c r="B2916" s="138">
        <f>'Assets-Liab 5-6'!L34</f>
        <v>41877</v>
      </c>
      <c r="C2916" s="2" t="s">
        <v>573</v>
      </c>
      <c r="D2916" s="2" t="str">
        <f t="shared" si="44"/>
        <v>Error?</v>
      </c>
    </row>
    <row r="2917" spans="1:4" x14ac:dyDescent="0.2">
      <c r="A2917" s="5">
        <v>2856</v>
      </c>
      <c r="B2917" s="138">
        <f>'Assets-Liab 5-6'!L41</f>
        <v>41877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24000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98322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41674</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728</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98322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41674</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24728</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277996</v>
      </c>
      <c r="D3055" s="2" t="str">
        <f t="shared" si="46"/>
        <v>Error?</v>
      </c>
    </row>
    <row r="3056" spans="1:4" x14ac:dyDescent="0.2">
      <c r="A3056" s="5">
        <v>2995</v>
      </c>
      <c r="B3056" s="138">
        <f>'Expenditures 15-22'!D10</f>
        <v>53039</v>
      </c>
      <c r="D3056" s="2" t="str">
        <f t="shared" si="46"/>
        <v>Error?</v>
      </c>
    </row>
    <row r="3057" spans="1:4" x14ac:dyDescent="0.2">
      <c r="A3057" s="5">
        <v>2996</v>
      </c>
      <c r="B3057" s="138">
        <f>'Expenditures 15-22'!E10</f>
        <v>4859</v>
      </c>
      <c r="D3057" s="2" t="str">
        <f t="shared" si="46"/>
        <v>Error?</v>
      </c>
    </row>
    <row r="3058" spans="1:4" x14ac:dyDescent="0.2">
      <c r="A3058" s="5">
        <v>2997</v>
      </c>
      <c r="B3058" s="138">
        <f>'Expenditures 15-22'!F10</f>
        <v>51505</v>
      </c>
      <c r="D3058" s="2" t="str">
        <f t="shared" si="46"/>
        <v>Error?</v>
      </c>
    </row>
    <row r="3059" spans="1:4" x14ac:dyDescent="0.2">
      <c r="A3059" s="5">
        <v>2998</v>
      </c>
      <c r="B3059" s="138">
        <f>'Expenditures 15-22'!G10</f>
        <v>16517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403916</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271319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25690</v>
      </c>
      <c r="C3237" s="2" t="s">
        <v>573</v>
      </c>
      <c r="D3237" s="2" t="str">
        <f t="shared" si="49"/>
        <v>Error?</v>
      </c>
    </row>
    <row r="3238" spans="1:4" x14ac:dyDescent="0.2">
      <c r="A3238" s="5">
        <v>3177</v>
      </c>
      <c r="B3238" s="138">
        <f>'Acct Summary 7-8'!D77</f>
        <v>-25690</v>
      </c>
      <c r="C3238" s="2" t="s">
        <v>573</v>
      </c>
      <c r="D3238" s="2" t="str">
        <f t="shared" si="49"/>
        <v>Error?</v>
      </c>
    </row>
    <row r="3239" spans="1:4" x14ac:dyDescent="0.2">
      <c r="A3239" s="5">
        <v>3178</v>
      </c>
      <c r="B3239" s="138">
        <f>'Acct Summary 7-8'!D78</f>
        <v>2289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4617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8735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25690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25690</v>
      </c>
      <c r="C3277" s="2" t="s">
        <v>573</v>
      </c>
      <c r="D3277" s="2" t="str">
        <f t="shared" si="50"/>
        <v>Error?</v>
      </c>
    </row>
    <row r="3278" spans="1:4" x14ac:dyDescent="0.2">
      <c r="A3278" s="5">
        <v>3217</v>
      </c>
      <c r="B3278" s="138">
        <f>'Acct Summary 7-8'!E78</f>
        <v>1677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70699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329704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31139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2525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5905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369273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19160</v>
      </c>
      <c r="D3387" s="2" t="str">
        <f t="shared" si="51"/>
        <v>Error?</v>
      </c>
    </row>
    <row r="3388" spans="1:4" x14ac:dyDescent="0.2">
      <c r="A3388" s="5">
        <v>3327</v>
      </c>
      <c r="B3388" s="138">
        <f>'Expenditures 15-22'!D217</f>
        <v>19622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19160</v>
      </c>
      <c r="C3390" s="2" t="s">
        <v>573</v>
      </c>
      <c r="D3390" s="2" t="str">
        <f t="shared" si="51"/>
        <v>Error?</v>
      </c>
    </row>
    <row r="3391" spans="1:4" x14ac:dyDescent="0.2">
      <c r="A3391" s="5">
        <v>3330</v>
      </c>
      <c r="B3391" s="138">
        <f>'Expenditures 15-22'!K217</f>
        <v>19622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10935</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701069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23570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34346</v>
      </c>
      <c r="D3417" s="2" t="str">
        <f t="shared" si="52"/>
        <v>Error?</v>
      </c>
    </row>
    <row r="3418" spans="1:4" x14ac:dyDescent="0.2">
      <c r="A3418" s="10">
        <v>3357</v>
      </c>
      <c r="D3418" s="2" t="str">
        <f t="shared" si="52"/>
        <v>OK</v>
      </c>
    </row>
    <row r="3419" spans="1:4" x14ac:dyDescent="0.2">
      <c r="A3419" s="5">
        <v>3358</v>
      </c>
      <c r="B3419" s="138">
        <f>'Assets-Liab 5-6'!F4</f>
        <v>102187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60988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71692</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41877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49645</v>
      </c>
      <c r="C3446" s="2" t="s">
        <v>573</v>
      </c>
      <c r="D3446" s="2" t="str">
        <f t="shared" si="52"/>
        <v>Error?</v>
      </c>
    </row>
    <row r="3447" spans="1:4" x14ac:dyDescent="0.2">
      <c r="A3447" s="5">
        <v>3386</v>
      </c>
      <c r="B3447" s="138">
        <f>'Tax Sched 23'!D16</f>
        <v>49645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50984</v>
      </c>
      <c r="C3449" s="2" t="s">
        <v>573</v>
      </c>
      <c r="D3449" s="2" t="str">
        <f t="shared" si="52"/>
        <v>Error?</v>
      </c>
    </row>
    <row r="3450" spans="1:4" x14ac:dyDescent="0.2">
      <c r="A3450" s="5">
        <v>3389</v>
      </c>
      <c r="B3450" s="138">
        <f>'Tax Sched 23'!E16</f>
        <v>50984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134540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134540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134540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178157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1485589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6210822</v>
      </c>
      <c r="C4122" s="2" t="s">
        <v>573</v>
      </c>
      <c r="D4122" s="2" t="str">
        <f t="shared" si="63"/>
        <v>Error?</v>
      </c>
    </row>
    <row r="4123" spans="1:4" x14ac:dyDescent="0.2">
      <c r="A4123" s="5">
        <v>4062</v>
      </c>
      <c r="B4123" s="138">
        <f>'Acct Summary 7-8'!D10</f>
        <v>118661</v>
      </c>
      <c r="C4123" s="2" t="s">
        <v>573</v>
      </c>
      <c r="D4123" s="2" t="str">
        <f t="shared" si="63"/>
        <v>Error?</v>
      </c>
    </row>
    <row r="4124" spans="1:4" x14ac:dyDescent="0.2">
      <c r="A4124" s="5">
        <v>4063</v>
      </c>
      <c r="B4124" s="138">
        <f>'Acct Summary 7-8'!E10</f>
        <v>215</v>
      </c>
      <c r="C4124" s="2" t="s">
        <v>573</v>
      </c>
      <c r="D4124" s="2" t="str">
        <f t="shared" si="63"/>
        <v>Error?</v>
      </c>
    </row>
    <row r="4125" spans="1:4" x14ac:dyDescent="0.2">
      <c r="A4125" s="5">
        <v>4064</v>
      </c>
      <c r="B4125" s="138">
        <f>'Acct Summary 7-8'!F10</f>
        <v>278219</v>
      </c>
      <c r="C4125" s="2" t="s">
        <v>573</v>
      </c>
      <c r="D4125" s="2" t="str">
        <f t="shared" si="63"/>
        <v>Error?</v>
      </c>
    </row>
    <row r="4126" spans="1:4" x14ac:dyDescent="0.2">
      <c r="A4126" s="5">
        <v>4065</v>
      </c>
      <c r="B4126" s="138">
        <f>'Acct Summary 7-8'!G10</f>
        <v>104141</v>
      </c>
      <c r="C4126" s="2" t="s">
        <v>573</v>
      </c>
      <c r="D4126" s="2" t="str">
        <f t="shared" si="63"/>
        <v>Error?</v>
      </c>
    </row>
    <row r="4127" spans="1:4" x14ac:dyDescent="0.2">
      <c r="A4127" s="5">
        <v>4066</v>
      </c>
      <c r="B4127" s="138">
        <f>'Acct Summary 7-8'!H10</f>
        <v>166000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1485589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5939503</v>
      </c>
      <c r="C4136" s="2" t="s">
        <v>573</v>
      </c>
      <c r="D4136" s="2" t="str">
        <f t="shared" si="63"/>
        <v>Error?</v>
      </c>
    </row>
    <row r="4137" spans="1:4" x14ac:dyDescent="0.2">
      <c r="A4137" s="5">
        <v>4076</v>
      </c>
      <c r="B4137" s="138">
        <f>'Acct Summary 7-8'!D19</f>
        <v>90682</v>
      </c>
      <c r="C4137" s="2" t="s">
        <v>573</v>
      </c>
      <c r="D4137" s="2" t="str">
        <f t="shared" si="63"/>
        <v>Error?</v>
      </c>
    </row>
    <row r="4138" spans="1:4" x14ac:dyDescent="0.2">
      <c r="A4138" s="5">
        <v>4077</v>
      </c>
      <c r="B4138" s="138">
        <f>'Acct Summary 7-8'!E19</f>
        <v>24228</v>
      </c>
      <c r="C4138" s="2" t="s">
        <v>573</v>
      </c>
      <c r="D4138" s="2" t="str">
        <f t="shared" si="63"/>
        <v>Error?</v>
      </c>
    </row>
    <row r="4139" spans="1:4" x14ac:dyDescent="0.2">
      <c r="A4139" s="5">
        <v>4078</v>
      </c>
      <c r="B4139" s="138">
        <f>'Acct Summary 7-8'!F19</f>
        <v>273602</v>
      </c>
      <c r="C4139" s="2" t="s">
        <v>573</v>
      </c>
      <c r="D4139" s="2" t="str">
        <f t="shared" si="63"/>
        <v>Error?</v>
      </c>
    </row>
    <row r="4140" spans="1:4" x14ac:dyDescent="0.2">
      <c r="A4140" s="5">
        <v>4079</v>
      </c>
      <c r="B4140" s="138">
        <f>'Acct Summary 7-8'!G19</f>
        <v>95406</v>
      </c>
      <c r="C4140" s="2" t="s">
        <v>573</v>
      </c>
      <c r="D4140" s="2" t="str">
        <f t="shared" si="63"/>
        <v>Error?</v>
      </c>
    </row>
    <row r="4141" spans="1:4" x14ac:dyDescent="0.2">
      <c r="A4141" s="5">
        <v>4080</v>
      </c>
      <c r="B4141" s="138">
        <f>'Acct Summary 7-8'!H19</f>
        <v>95301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132977</v>
      </c>
      <c r="C4171" s="2" t="s">
        <v>573</v>
      </c>
      <c r="D4171" s="2" t="str">
        <f t="shared" si="64"/>
        <v>Error?</v>
      </c>
    </row>
    <row r="4172" spans="1:4" x14ac:dyDescent="0.2">
      <c r="A4172" s="5">
        <v>4111</v>
      </c>
      <c r="B4172" s="138">
        <f>'Short-Term Long-Term Debt 24'!J49</f>
        <v>98631</v>
      </c>
      <c r="C4172" s="2" t="s">
        <v>573</v>
      </c>
      <c r="D4172" s="2" t="str">
        <f t="shared" si="64"/>
        <v>Error?</v>
      </c>
    </row>
    <row r="4173" spans="1:4" x14ac:dyDescent="0.2">
      <c r="A4173" s="5">
        <v>4112</v>
      </c>
      <c r="B4173" s="138">
        <f>'Short-Term Long-Term Debt 24'!H49</f>
        <v>18000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1626.5000000000002</v>
      </c>
      <c r="C4265" s="2" t="s">
        <v>573</v>
      </c>
      <c r="D4265" s="2" t="str">
        <f t="shared" si="65"/>
        <v>Error?</v>
      </c>
      <c r="E4265" s="128"/>
    </row>
    <row r="4266" spans="1:5" x14ac:dyDescent="0.2">
      <c r="A4266" s="12">
        <v>4205</v>
      </c>
      <c r="B4266" s="138">
        <f>('FP Info 3'!F10)*100000</f>
        <v>441.99</v>
      </c>
      <c r="C4266" s="2" t="s">
        <v>573</v>
      </c>
      <c r="D4266" s="2" t="str">
        <f t="shared" si="65"/>
        <v>Error?</v>
      </c>
      <c r="E4266" s="128"/>
    </row>
    <row r="4267" spans="1:5" x14ac:dyDescent="0.2">
      <c r="A4267" s="12">
        <v>4206</v>
      </c>
      <c r="B4267" s="138">
        <f>('FP Info 3'!H10)*100000</f>
        <v>176.8</v>
      </c>
      <c r="C4267" s="2" t="s">
        <v>573</v>
      </c>
      <c r="D4267" s="2" t="str">
        <f t="shared" si="65"/>
        <v>Error?</v>
      </c>
      <c r="E4267" s="128"/>
    </row>
    <row r="4268" spans="1:5" x14ac:dyDescent="0.2">
      <c r="A4268" s="12">
        <v>4207</v>
      </c>
      <c r="B4268" s="138">
        <f>('FP Info 3'!J10)*100000</f>
        <v>2245</v>
      </c>
      <c r="C4268" s="2" t="s">
        <v>573</v>
      </c>
      <c r="D4268" s="2" t="str">
        <f t="shared" si="65"/>
        <v>Error?</v>
      </c>
    </row>
    <row r="4269" spans="1:5" x14ac:dyDescent="0.2">
      <c r="A4269" s="12">
        <v>4208</v>
      </c>
      <c r="B4269" s="138">
        <f>'FP Info 3'!J16</f>
        <v>3769984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18004</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8804</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8804</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147756</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178119</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35460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71470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58957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10135</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21052228</v>
      </c>
      <c r="D4995" s="2" t="str">
        <f t="shared" si="77"/>
        <v>Error?</v>
      </c>
    </row>
    <row r="4996" spans="1:4" x14ac:dyDescent="0.2">
      <c r="A4996" s="12">
        <v>4935</v>
      </c>
      <c r="B4996" s="138">
        <f>'FP Info 3'!H31</f>
        <v>2905207.4640000002</v>
      </c>
      <c r="D4996" s="2" t="str">
        <f t="shared" si="77"/>
        <v>Error?</v>
      </c>
    </row>
    <row r="4997" spans="1:4" x14ac:dyDescent="0.2">
      <c r="A4997" s="12">
        <v>4936</v>
      </c>
      <c r="B4997" s="138">
        <f>'FP Info 3'!H37</f>
        <v>132977</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337470</v>
      </c>
      <c r="D5061" s="2" t="str">
        <f t="shared" si="78"/>
        <v>Error?</v>
      </c>
    </row>
    <row r="5062" spans="1:4" x14ac:dyDescent="0.2">
      <c r="A5062" s="10">
        <v>5001</v>
      </c>
      <c r="D5062" s="2" t="str">
        <f t="shared" si="78"/>
        <v>OK</v>
      </c>
    </row>
    <row r="5063" spans="1:4" x14ac:dyDescent="0.2">
      <c r="A5063" s="5">
        <v>5002</v>
      </c>
      <c r="B5063" s="138">
        <f>'Revenues 9-14'!C7</f>
        <v>6348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343818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150570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150570</v>
      </c>
      <c r="C5071" s="2" t="s">
        <v>573</v>
      </c>
      <c r="D5071" s="2" t="str">
        <f t="shared" si="78"/>
        <v>Error?</v>
      </c>
    </row>
    <row r="5072" spans="1:4" x14ac:dyDescent="0.2">
      <c r="A5072" s="5">
        <v>5011</v>
      </c>
      <c r="B5072" s="138">
        <f>'Revenues 9-14'!C20</f>
        <v>6000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6000</v>
      </c>
      <c r="C5087" s="2" t="s">
        <v>573</v>
      </c>
      <c r="D5087" s="2" t="str">
        <f t="shared" si="78"/>
        <v>Error?</v>
      </c>
    </row>
    <row r="5088" spans="1:4" x14ac:dyDescent="0.2">
      <c r="A5088" s="5">
        <v>5027</v>
      </c>
      <c r="B5088" s="138">
        <f>'Revenues 9-14'!C65</f>
        <v>63055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63055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19576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19576</v>
      </c>
      <c r="C5096" s="2" t="s">
        <v>573</v>
      </c>
      <c r="D5096" s="2" t="str">
        <f t="shared" si="78"/>
        <v>Error?</v>
      </c>
    </row>
    <row r="5097" spans="1:4" x14ac:dyDescent="0.2">
      <c r="A5097" s="5">
        <v>5036</v>
      </c>
      <c r="B5097" s="138">
        <f>'Revenues 9-14'!C77</f>
        <v>9867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9867</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18043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24</v>
      </c>
      <c r="D5118" s="2" t="str">
        <f t="shared" si="78"/>
        <v>Error?</v>
      </c>
    </row>
    <row r="5119" spans="1:4" x14ac:dyDescent="0.2">
      <c r="A5119" s="5">
        <v>5058</v>
      </c>
      <c r="B5119" s="138">
        <f>'Revenues 9-14'!C107</f>
        <v>7753</v>
      </c>
      <c r="D5119" s="2" t="str">
        <f t="shared" ref="D5119:D5182" si="79">IF(ISBLANK(B5119),"OK",IF(A5119-B5119=0,"OK","Error?"))</f>
        <v>Error?</v>
      </c>
    </row>
    <row r="5120" spans="1:4" x14ac:dyDescent="0.2">
      <c r="A5120" s="5">
        <v>5059</v>
      </c>
      <c r="B5120" s="138">
        <f>'Revenues 9-14'!C108</f>
        <v>97290</v>
      </c>
      <c r="C5120" s="2" t="s">
        <v>573</v>
      </c>
      <c r="D5120" s="2" t="str">
        <f t="shared" si="79"/>
        <v>Error?</v>
      </c>
    </row>
    <row r="5121" spans="1:4" x14ac:dyDescent="0.2">
      <c r="A5121" s="5">
        <v>5060</v>
      </c>
      <c r="B5121" s="138">
        <f>'Revenues 9-14'!C109</f>
        <v>690176</v>
      </c>
      <c r="C5121" s="2" t="s">
        <v>573</v>
      </c>
      <c r="D5121" s="2" t="str">
        <f t="shared" si="79"/>
        <v>Error?</v>
      </c>
    </row>
    <row r="5122" spans="1:4" x14ac:dyDescent="0.2">
      <c r="A5122" s="5">
        <v>5061</v>
      </c>
      <c r="B5122" s="138">
        <f>'Revenues 9-14'!C111</f>
        <v>9681</v>
      </c>
      <c r="D5122" s="2" t="str">
        <f t="shared" si="79"/>
        <v>Error?</v>
      </c>
    </row>
    <row r="5123" spans="1:4" x14ac:dyDescent="0.2">
      <c r="A5123" s="5">
        <v>5062</v>
      </c>
      <c r="B5123" s="138">
        <f>'Revenues 9-14'!C112</f>
        <v>1254</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10935</v>
      </c>
      <c r="C5125" s="2" t="s">
        <v>573</v>
      </c>
      <c r="D5125" s="2" t="str">
        <f t="shared" si="79"/>
        <v>Error?</v>
      </c>
    </row>
    <row r="5126" spans="1:4" x14ac:dyDescent="0.2">
      <c r="A5126" s="5">
        <v>5065</v>
      </c>
      <c r="B5126" s="138">
        <f>'Revenues 9-14'!C117</f>
        <v>2714422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2714422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7031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5934</v>
      </c>
      <c r="D5167" s="2" t="str">
        <f t="shared" si="79"/>
        <v>Error?</v>
      </c>
    </row>
    <row r="5168" spans="1:4" x14ac:dyDescent="0.2">
      <c r="A5168" s="5">
        <v>5107</v>
      </c>
      <c r="B5168" s="138">
        <f>'Revenues 9-14'!C148</f>
        <v>4173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750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312579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389424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3103846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196785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85476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300265</v>
      </c>
      <c r="C5246" s="2" t="s">
        <v>573</v>
      </c>
      <c r="D5246" s="2" t="str">
        <f t="shared" si="80"/>
        <v>Error?</v>
      </c>
    </row>
    <row r="5247" spans="1:4" x14ac:dyDescent="0.2">
      <c r="A5247" s="5">
        <v>5186</v>
      </c>
      <c r="B5247" s="138">
        <f>'Revenues 9-14'!C200</f>
        <v>386758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30363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386758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735</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735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920276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920276</v>
      </c>
      <c r="C5326" s="2" t="s">
        <v>573</v>
      </c>
      <c r="D5326" s="2" t="str">
        <f t="shared" si="82"/>
        <v>Error?</v>
      </c>
    </row>
    <row r="5327" spans="1:5" x14ac:dyDescent="0.2">
      <c r="A5327" s="5">
        <v>5266</v>
      </c>
      <c r="B5327" s="138">
        <f>'Revenues 9-14'!C268</f>
        <v>4725233</v>
      </c>
      <c r="C5327" s="2" t="s">
        <v>573</v>
      </c>
      <c r="D5327" s="2" t="str">
        <f t="shared" si="82"/>
        <v>Error?</v>
      </c>
    </row>
    <row r="5328" spans="1:5" x14ac:dyDescent="0.2">
      <c r="A5328" s="5">
        <v>5267</v>
      </c>
      <c r="B5328" s="138">
        <f>'Revenues 9-14'!D5</f>
        <v>90661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90661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90661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28000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28000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28000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118661</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215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215</v>
      </c>
      <c r="C5552" s="2" t="s">
        <v>573</v>
      </c>
      <c r="D5552" s="2" t="str">
        <f t="shared" si="85"/>
        <v>Error?</v>
      </c>
    </row>
    <row r="5553" spans="1:4" x14ac:dyDescent="0.2">
      <c r="A5553" s="5">
        <v>5492</v>
      </c>
      <c r="B5553" s="138">
        <f>'Revenues 9-14'!F5</f>
        <v>36264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36264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103</v>
      </c>
      <c r="D5586" s="2" t="str">
        <f t="shared" si="86"/>
        <v>Error?</v>
      </c>
    </row>
    <row r="5587" spans="1:4" x14ac:dyDescent="0.2">
      <c r="A5587" s="5">
        <v>5526</v>
      </c>
      <c r="B5587" s="138">
        <f>'Revenues 9-14'!F108</f>
        <v>103</v>
      </c>
      <c r="C5587" s="2" t="s">
        <v>573</v>
      </c>
      <c r="D5587" s="2" t="str">
        <f t="shared" si="86"/>
        <v>Error?</v>
      </c>
    </row>
    <row r="5588" spans="1:4" x14ac:dyDescent="0.2">
      <c r="A5588" s="5">
        <v>5527</v>
      </c>
      <c r="B5588" s="138">
        <f>'Revenues 9-14'!F109</f>
        <v>36367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55000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55000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156784</v>
      </c>
      <c r="D5615" s="2" t="str">
        <f t="shared" si="86"/>
        <v>Error?</v>
      </c>
    </row>
    <row r="5616" spans="1:4" x14ac:dyDescent="0.2">
      <c r="A5616" s="10">
        <v>5555</v>
      </c>
      <c r="D5616" s="2" t="str">
        <f t="shared" si="86"/>
        <v>OK</v>
      </c>
    </row>
    <row r="5617" spans="1:5" x14ac:dyDescent="0.2">
      <c r="A5617" s="5">
        <v>5556</v>
      </c>
      <c r="B5617" s="138">
        <f>'Revenues 9-14'!F153</f>
        <v>30068</v>
      </c>
      <c r="D5617" s="2" t="str">
        <f t="shared" si="86"/>
        <v>Error?</v>
      </c>
    </row>
    <row r="5618" spans="1:5" x14ac:dyDescent="0.2">
      <c r="A5618" s="5">
        <v>5557</v>
      </c>
      <c r="B5618" s="138">
        <f>'Revenues 9-14'!F155</f>
        <v>186852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186852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241852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278219</v>
      </c>
      <c r="C5720" s="2" t="s">
        <v>573</v>
      </c>
      <c r="D5720" s="2" t="str">
        <f t="shared" si="88"/>
        <v>Error?</v>
      </c>
    </row>
    <row r="5721" spans="1:4" x14ac:dyDescent="0.2">
      <c r="A5721" s="5">
        <v>5660</v>
      </c>
      <c r="B5721" s="138">
        <f>'Revenues 9-14'!G5</f>
        <v>52396</v>
      </c>
      <c r="D5721" s="2" t="str">
        <f t="shared" si="88"/>
        <v>Error?</v>
      </c>
    </row>
    <row r="5722" spans="1:4" x14ac:dyDescent="0.2">
      <c r="A5722" s="5">
        <v>5661</v>
      </c>
      <c r="B5722" s="138">
        <f>'Revenues 9-14'!G7</f>
        <v>0</v>
      </c>
      <c r="D5722" s="2" t="str">
        <f t="shared" si="88"/>
        <v>Error?</v>
      </c>
    </row>
    <row r="5723" spans="1:4" x14ac:dyDescent="0.2">
      <c r="A5723" s="5">
        <v>5662</v>
      </c>
      <c r="B5723" s="138">
        <f>'Revenues 9-14'!G8</f>
        <v>49645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102041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2100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2100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104141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166000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166000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166000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166000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104141</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380.5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27839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27839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27839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27839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27839</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271319</v>
      </c>
      <c r="D6267" s="2" t="str">
        <f t="shared" si="96"/>
        <v>Error?</v>
      </c>
      <c r="E6267" s="2" t="s">
        <v>190</v>
      </c>
    </row>
    <row r="6268" spans="1:5" x14ac:dyDescent="0.2">
      <c r="A6268">
        <v>6207</v>
      </c>
      <c r="B6268" s="138">
        <f>'Acct Summary 7-8'!D82</f>
        <v>2289</v>
      </c>
      <c r="D6268" s="2" t="str">
        <f t="shared" si="96"/>
        <v>Error?</v>
      </c>
      <c r="E6268" s="2" t="s">
        <v>190</v>
      </c>
    </row>
    <row r="6269" spans="1:5" x14ac:dyDescent="0.2">
      <c r="A6269">
        <v>6208</v>
      </c>
      <c r="B6269" s="138">
        <f>'Acct Summary 7-8'!E82</f>
        <v>1677</v>
      </c>
      <c r="D6269" s="2" t="str">
        <f t="shared" si="96"/>
        <v>Error?</v>
      </c>
      <c r="E6269" s="2" t="s">
        <v>190</v>
      </c>
    </row>
    <row r="6270" spans="1:5" x14ac:dyDescent="0.2">
      <c r="A6270">
        <v>6209</v>
      </c>
      <c r="B6270" s="138">
        <f>'Acct Summary 7-8'!F82</f>
        <v>4617</v>
      </c>
      <c r="D6270" s="2" t="str">
        <f t="shared" si="96"/>
        <v>Error?</v>
      </c>
      <c r="E6270" s="2" t="s">
        <v>190</v>
      </c>
    </row>
    <row r="6271" spans="1:5" x14ac:dyDescent="0.2">
      <c r="A6271">
        <v>6210</v>
      </c>
      <c r="B6271" s="138">
        <f>'Acct Summary 7-8'!G82</f>
        <v>8735</v>
      </c>
      <c r="D6271" s="2" t="str">
        <f t="shared" ref="D6271:D6334" si="97">IF(ISBLANK(B6271),"OK",IF(A6271-B6271=0,"OK","Error?"))</f>
        <v>Error?</v>
      </c>
      <c r="E6271" s="2" t="s">
        <v>190</v>
      </c>
    </row>
    <row r="6272" spans="1:5" x14ac:dyDescent="0.2">
      <c r="A6272">
        <v>6211</v>
      </c>
      <c r="B6272" s="138">
        <f>'Acct Summary 7-8'!H82</f>
        <v>70699</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7.7887186029401007E-2</v>
      </c>
      <c r="D6276" s="2" t="str">
        <f t="shared" si="97"/>
        <v>Error?</v>
      </c>
      <c r="E6276" s="2" t="s">
        <v>190</v>
      </c>
    </row>
    <row r="6277" spans="1:5" x14ac:dyDescent="0.2">
      <c r="A6277">
        <v>6216</v>
      </c>
      <c r="B6277" s="138">
        <f>'Acct Summary 7-8'!D83</f>
        <v>1.2419293581466009E-2</v>
      </c>
      <c r="D6277" s="2" t="str">
        <f t="shared" si="97"/>
        <v>Error?</v>
      </c>
      <c r="E6277" s="2" t="s">
        <v>190</v>
      </c>
    </row>
    <row r="6278" spans="1:5" x14ac:dyDescent="0.2">
      <c r="A6278">
        <v>6217</v>
      </c>
      <c r="B6278" s="138">
        <f>'Acct Summary 7-8'!E83</f>
        <v>4.8826646479939437E-2</v>
      </c>
      <c r="D6278" s="2" t="str">
        <f t="shared" si="97"/>
        <v>Error?</v>
      </c>
      <c r="E6278" s="2" t="s">
        <v>190</v>
      </c>
    </row>
    <row r="6279" spans="1:5" x14ac:dyDescent="0.2">
      <c r="A6279">
        <v>6218</v>
      </c>
      <c r="B6279" s="138">
        <f>'Acct Summary 7-8'!F83</f>
        <v>4.5181872449528808E-2</v>
      </c>
      <c r="D6279" s="2" t="str">
        <f t="shared" si="97"/>
        <v>Error?</v>
      </c>
      <c r="E6279" s="2" t="s">
        <v>190</v>
      </c>
    </row>
    <row r="6280" spans="1:5" x14ac:dyDescent="0.2">
      <c r="A6280">
        <v>6219</v>
      </c>
      <c r="B6280" s="138">
        <f>'Acct Summary 7-8'!G83</f>
        <v>0.14322489670099037</v>
      </c>
      <c r="D6280" s="2" t="str">
        <f t="shared" si="97"/>
        <v>Error?</v>
      </c>
      <c r="E6280" s="2" t="s">
        <v>190</v>
      </c>
    </row>
    <row r="6281" spans="1:5" x14ac:dyDescent="0.2">
      <c r="A6281">
        <v>6220</v>
      </c>
      <c r="B6281" s="138">
        <f>'Acct Summary 7-8'!H83</f>
        <v>0.98614908218490205</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18000</v>
      </c>
      <c r="D6287" s="2" t="str">
        <f t="shared" si="97"/>
        <v>Error?</v>
      </c>
      <c r="E6287" s="2" t="s">
        <v>190</v>
      </c>
    </row>
    <row r="6288" spans="1:5" x14ac:dyDescent="0.2">
      <c r="A6288">
        <v>6227</v>
      </c>
      <c r="B6288" s="138">
        <f>'Acct Summary 7-8'!E40</f>
        <v>7690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27839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27839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27839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7031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154944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201820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6750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27839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27839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27839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27839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27839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27839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27839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27839</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14343</v>
      </c>
      <c r="D7246" s="2" t="str">
        <f t="shared" si="112"/>
        <v>Error?</v>
      </c>
    </row>
    <row r="7247" spans="1:4" x14ac:dyDescent="0.2">
      <c r="A7247">
        <f t="shared" si="113"/>
        <v>7186</v>
      </c>
      <c r="B7247" s="138">
        <f>'Expenditures 15-22'!E7</f>
        <v>10986</v>
      </c>
      <c r="D7247" s="2" t="str">
        <f t="shared" si="112"/>
        <v>Error?</v>
      </c>
    </row>
    <row r="7248" spans="1:4" x14ac:dyDescent="0.2">
      <c r="A7248">
        <f t="shared" si="113"/>
        <v>7187</v>
      </c>
      <c r="B7248" s="138">
        <f>'Expenditures 15-22'!F7</f>
        <v>20732</v>
      </c>
      <c r="D7248" s="2" t="str">
        <f t="shared" si="112"/>
        <v>Error?</v>
      </c>
    </row>
    <row r="7249" spans="1:4" x14ac:dyDescent="0.2">
      <c r="A7249">
        <f t="shared" si="113"/>
        <v>7188</v>
      </c>
      <c r="B7249" s="138">
        <f>'Expenditures 15-22'!G7</f>
        <v>815</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6750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196328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18000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7690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4173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4173</v>
      </c>
      <c r="D7719" s="2" t="str">
        <f t="shared" si="126"/>
        <v>Error?</v>
      </c>
      <c r="E7719" s="2" t="s">
        <v>827</v>
      </c>
    </row>
    <row r="7720" spans="1:6" x14ac:dyDescent="0.2">
      <c r="A7720">
        <v>7659</v>
      </c>
      <c r="B7720" s="138">
        <f>'Rest Tax Levies-Tort Im 25'!H14</f>
        <v>6348</v>
      </c>
      <c r="D7720" s="2" t="str">
        <f t="shared" si="126"/>
        <v>Error?</v>
      </c>
      <c r="E7720" s="2" t="s">
        <v>827</v>
      </c>
    </row>
    <row r="7721" spans="1:6" x14ac:dyDescent="0.2">
      <c r="A7721">
        <v>7660</v>
      </c>
      <c r="B7721" s="138">
        <f>'Rest Tax Levies-Tort Im 25'!K14</f>
        <v>4173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261678</v>
      </c>
      <c r="D7797" s="2" t="str">
        <f t="shared" si="127"/>
        <v>Error?</v>
      </c>
      <c r="E7797" s="4" t="s">
        <v>1901</v>
      </c>
    </row>
    <row r="7798" spans="1:5" x14ac:dyDescent="0.2">
      <c r="A7798">
        <v>7737</v>
      </c>
      <c r="B7798" s="138">
        <f>'Contracts Paid in CY 29'!F141</f>
        <v>25000</v>
      </c>
      <c r="D7798" s="2" t="str">
        <f t="shared" si="127"/>
        <v>Error?</v>
      </c>
      <c r="E7798" s="4" t="s">
        <v>1901</v>
      </c>
    </row>
    <row r="7799" spans="1:5" x14ac:dyDescent="0.2">
      <c r="A7799">
        <v>7738</v>
      </c>
      <c r="B7799" s="138">
        <f>'Contracts Paid in CY 29'!G141</f>
        <v>236678</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6" t="s">
        <v>1191</v>
      </c>
      <c r="B2" s="2386"/>
      <c r="C2" s="2386"/>
      <c r="D2" s="2386"/>
      <c r="E2" s="2386"/>
      <c r="F2" s="2386"/>
      <c r="G2" s="2386"/>
      <c r="H2" s="2386"/>
      <c r="I2" s="2386"/>
      <c r="J2" s="2386"/>
      <c r="K2" s="2386"/>
      <c r="L2" s="2386"/>
    </row>
    <row r="3" spans="1:29" ht="13.5" customHeight="1" x14ac:dyDescent="0.2">
      <c r="A3" s="2417" t="s">
        <v>1190</v>
      </c>
      <c r="B3" s="2417"/>
      <c r="C3" s="2417"/>
      <c r="D3" s="2417"/>
      <c r="E3" s="2417"/>
      <c r="F3" s="2417"/>
      <c r="G3" s="2417"/>
      <c r="H3" s="2417"/>
      <c r="I3" s="2417"/>
      <c r="J3" s="2417"/>
      <c r="K3" s="2417"/>
      <c r="L3" s="2417"/>
    </row>
    <row r="4" spans="1:29" ht="13.5" customHeight="1" x14ac:dyDescent="0.2">
      <c r="A4" s="2386" t="s">
        <v>1986</v>
      </c>
      <c r="B4" s="2407"/>
      <c r="C4" s="2407"/>
      <c r="D4" s="2407"/>
      <c r="E4" s="2407"/>
      <c r="F4" s="2407"/>
      <c r="G4" s="2407"/>
      <c r="H4" s="2407"/>
      <c r="I4" s="2407"/>
      <c r="J4" s="2407"/>
      <c r="K4" s="2407"/>
      <c r="L4" s="240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8" t="str">
        <f>COVER!A17</f>
        <v>Egyptian CUSD 5</v>
      </c>
      <c r="B7" s="2409"/>
      <c r="C7" s="2409"/>
      <c r="D7" s="2410"/>
      <c r="E7" s="2411">
        <f>COVER!A13</f>
        <v>30002005026</v>
      </c>
      <c r="F7" s="2412"/>
      <c r="G7" s="2418" t="str">
        <f>COVER!T23</f>
        <v>066-003889</v>
      </c>
      <c r="H7" s="2419"/>
      <c r="I7" s="2419"/>
      <c r="J7" s="2419"/>
      <c r="K7" s="2419"/>
      <c r="L7" s="242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1"/>
      <c r="B9" s="2422"/>
      <c r="C9" s="2422"/>
      <c r="D9" s="2422"/>
      <c r="E9" s="2422"/>
      <c r="F9" s="2423"/>
      <c r="G9" s="2392" t="str">
        <f>COVER!T13</f>
        <v>Beussink, Hey, Roe &amp; Stroder, LLC</v>
      </c>
      <c r="H9" s="2424"/>
      <c r="I9" s="2424"/>
      <c r="J9" s="2424"/>
      <c r="K9" s="2424"/>
      <c r="L9" s="2425"/>
    </row>
    <row r="10" spans="1:29" ht="13.5" customHeight="1" x14ac:dyDescent="0.2">
      <c r="A10" s="2398">
        <f>COVER!A38</f>
        <v>0</v>
      </c>
      <c r="B10" s="2399"/>
      <c r="C10" s="2399"/>
      <c r="D10" s="2399"/>
      <c r="E10" s="2399"/>
      <c r="F10" s="2400"/>
      <c r="G10" s="2392" t="str">
        <f>COVER!T17</f>
        <v>16 S. Silver Springs Road</v>
      </c>
      <c r="H10" s="2393"/>
      <c r="I10" s="2393"/>
      <c r="J10" s="2393"/>
      <c r="K10" s="2393"/>
      <c r="L10" s="2394"/>
    </row>
    <row r="11" spans="1:29" ht="13.5" customHeight="1" x14ac:dyDescent="0.2">
      <c r="A11" s="1184" t="s">
        <v>1519</v>
      </c>
      <c r="B11" s="1185"/>
      <c r="C11" s="1186"/>
      <c r="D11" s="1191"/>
      <c r="E11" s="1186"/>
      <c r="F11" s="1190"/>
      <c r="G11" s="2392" t="str">
        <f>COVER!T19</f>
        <v>Cape Girardeau</v>
      </c>
      <c r="H11" s="2393"/>
      <c r="I11" s="2393"/>
      <c r="J11" s="2393"/>
      <c r="K11" s="2393"/>
      <c r="L11" s="2394"/>
    </row>
    <row r="12" spans="1:29" ht="13.5" customHeight="1" x14ac:dyDescent="0.2">
      <c r="A12" s="2401" t="s">
        <v>1518</v>
      </c>
      <c r="B12" s="2402"/>
      <c r="C12" s="2402"/>
      <c r="D12" s="2402"/>
      <c r="E12" s="2402"/>
      <c r="F12" s="2403"/>
      <c r="G12" s="2395"/>
      <c r="H12" s="2396"/>
      <c r="I12" s="2396"/>
      <c r="J12" s="2396"/>
      <c r="K12" s="2396"/>
      <c r="L12" s="2397"/>
    </row>
    <row r="13" spans="1:29" ht="13.5" customHeight="1" x14ac:dyDescent="0.2">
      <c r="A13" s="2392"/>
      <c r="B13" s="2393"/>
      <c r="C13" s="2393"/>
      <c r="D13" s="2393"/>
      <c r="E13" s="2393"/>
      <c r="F13" s="2394"/>
      <c r="G13" s="2387" t="s">
        <v>1520</v>
      </c>
      <c r="H13" s="2388"/>
      <c r="I13" s="2404" t="str">
        <f>COVER!T25</f>
        <v>jstroder@bhrcpas.com</v>
      </c>
      <c r="J13" s="2405"/>
      <c r="K13" s="2405"/>
      <c r="L13" s="2406"/>
    </row>
    <row r="14" spans="1:29" ht="13.5" customHeight="1" x14ac:dyDescent="0.2">
      <c r="A14" s="2392" t="str">
        <f>COVER!A19</f>
        <v>20023 Diswood Road</v>
      </c>
      <c r="B14" s="2393"/>
      <c r="C14" s="2393"/>
      <c r="D14" s="2393"/>
      <c r="E14" s="2393"/>
      <c r="F14" s="2394"/>
      <c r="G14" s="1195" t="s">
        <v>1185</v>
      </c>
      <c r="H14" s="1193"/>
      <c r="I14" s="1193"/>
      <c r="J14" s="1193"/>
      <c r="K14" s="1193"/>
      <c r="L14" s="1194"/>
    </row>
    <row r="15" spans="1:29" ht="13.5" customHeight="1" x14ac:dyDescent="0.2">
      <c r="A15" s="2392" t="str">
        <f>COVER!A21</f>
        <v>Tamms</v>
      </c>
      <c r="B15" s="2393"/>
      <c r="C15" s="2393"/>
      <c r="D15" s="2393"/>
      <c r="E15" s="2393"/>
      <c r="F15" s="2394"/>
      <c r="G15" s="2389" t="str">
        <f>COVER!T15</f>
        <v>Jeffrey C. Stroder, CPA</v>
      </c>
      <c r="H15" s="2390"/>
      <c r="I15" s="2390"/>
      <c r="J15" s="2390"/>
      <c r="K15" s="2390"/>
      <c r="L15" s="2391"/>
    </row>
    <row r="16" spans="1:29" ht="12.2" customHeight="1" x14ac:dyDescent="0.2">
      <c r="A16" s="2414">
        <f>COVER!A25</f>
        <v>62988</v>
      </c>
      <c r="B16" s="2415"/>
      <c r="C16" s="2415"/>
      <c r="D16" s="2415"/>
      <c r="E16" s="2415"/>
      <c r="F16" s="2416"/>
      <c r="G16" s="2426"/>
      <c r="H16" s="2427"/>
      <c r="I16" s="2427"/>
      <c r="J16" s="2427"/>
      <c r="K16" s="2427"/>
      <c r="L16" s="2428"/>
    </row>
    <row r="17" spans="1:13" ht="12.2" customHeight="1" x14ac:dyDescent="0.2">
      <c r="A17" s="2429"/>
      <c r="B17" s="2415"/>
      <c r="C17" s="2415"/>
      <c r="D17" s="2415"/>
      <c r="E17" s="2415"/>
      <c r="F17" s="2416"/>
      <c r="G17" s="1195" t="s">
        <v>1184</v>
      </c>
      <c r="H17" s="1193"/>
      <c r="I17" s="1193"/>
      <c r="J17" s="1193"/>
      <c r="K17" s="1197" t="s">
        <v>1183</v>
      </c>
      <c r="L17" s="1190"/>
      <c r="M17" s="1183"/>
    </row>
    <row r="18" spans="1:13" ht="12.2" customHeight="1" x14ac:dyDescent="0.2">
      <c r="A18" s="2398"/>
      <c r="B18" s="2399"/>
      <c r="C18" s="2399"/>
      <c r="D18" s="2399"/>
      <c r="E18" s="2399"/>
      <c r="F18" s="2400"/>
      <c r="G18" s="2408" t="str">
        <f>COVER!T21</f>
        <v>573-334-7971</v>
      </c>
      <c r="H18" s="2409"/>
      <c r="I18" s="2409"/>
      <c r="J18" s="2409"/>
      <c r="K18" s="2408" t="str">
        <f>COVER!X21</f>
        <v>573-334-8875</v>
      </c>
      <c r="L18" s="241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verticalCentered="1"/>
  <pageMargins left="0.32" right="0.32" top="0.68" bottom="1" header="0.26" footer="0.75"/>
  <pageSetup scale="90" firstPageNumber="35" fitToHeight="0" orientation="portrait" useFirstPageNumber="1" r:id="rId1"/>
  <headerFooter alignWithMargins="0">
    <oddHeader>&amp;L&amp;8Page 37&amp;R&amp;8Page 37</oddHeader>
    <oddFooter>&amp;CSee Independent Auditors' Report.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0" t="str">
        <f>'Single Audit Cover'!A7</f>
        <v>Egyptian CUSD 5</v>
      </c>
      <c r="B1" s="2407"/>
      <c r="C1" s="2407"/>
      <c r="D1" s="2407"/>
    </row>
    <row r="2" spans="1:11" s="1212" customFormat="1" ht="12.75" x14ac:dyDescent="0.2">
      <c r="A2" s="2431">
        <f>'Single Audit Cover'!E7</f>
        <v>30002005026</v>
      </c>
      <c r="B2" s="2432"/>
      <c r="C2" s="2432"/>
      <c r="D2" s="2432"/>
    </row>
    <row r="3" spans="1:11" s="1212" customFormat="1" ht="12.75" x14ac:dyDescent="0.2">
      <c r="A3" s="2430" t="s">
        <v>1513</v>
      </c>
      <c r="B3" s="2407"/>
      <c r="C3" s="2407"/>
      <c r="D3" s="2407"/>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showGridLines="0" topLeftCell="A22" zoomScale="110" zoomScaleNormal="110" zoomScaleSheetLayoutView="100" workbookViewId="0">
      <selection activeCell="J50" sqref="J50"/>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4" t="str">
        <f>'Single Audit Cover'!A7</f>
        <v>Egyptian CUSD 5</v>
      </c>
      <c r="B1" s="2434"/>
      <c r="C1" s="2434"/>
      <c r="D1" s="2434"/>
      <c r="E1" s="2434"/>
    </row>
    <row r="2" spans="1:5" x14ac:dyDescent="0.2">
      <c r="A2" s="2435">
        <f>'Single Audit Cover'!E7</f>
        <v>30002005026</v>
      </c>
      <c r="B2" s="2435"/>
      <c r="C2" s="2435"/>
      <c r="D2" s="2435"/>
      <c r="E2" s="2435"/>
    </row>
    <row r="3" spans="1:5" ht="4.5" customHeight="1" x14ac:dyDescent="0.2"/>
    <row r="4" spans="1:5" x14ac:dyDescent="0.2">
      <c r="A4" s="2434" t="s">
        <v>1245</v>
      </c>
      <c r="B4" s="2434"/>
      <c r="C4" s="2434"/>
      <c r="D4" s="2434"/>
      <c r="E4" s="2434"/>
    </row>
    <row r="5" spans="1:5" x14ac:dyDescent="0.2">
      <c r="A5" s="2437" t="str">
        <f>'Single Audit Cover'!A4</f>
        <v>Year Ending June 30, 2019</v>
      </c>
      <c r="B5" s="2437"/>
      <c r="C5" s="2437"/>
      <c r="D5" s="2437"/>
      <c r="E5" s="2437"/>
    </row>
    <row r="6" spans="1:5" x14ac:dyDescent="0.2">
      <c r="A6" s="2434" t="s">
        <v>1244</v>
      </c>
      <c r="B6" s="2434"/>
      <c r="C6" s="2434"/>
      <c r="D6" s="2434"/>
      <c r="E6" s="2434"/>
    </row>
    <row r="8" spans="1:5" x14ac:dyDescent="0.2">
      <c r="A8" s="1257" t="s">
        <v>1243</v>
      </c>
    </row>
    <row r="10" spans="1:5" x14ac:dyDescent="0.2">
      <c r="A10" s="1258" t="s">
        <v>1242</v>
      </c>
      <c r="B10" s="1259" t="s">
        <v>1241</v>
      </c>
      <c r="C10" s="1259"/>
      <c r="D10" s="1260">
        <f>SUM('Acct Summary 7-8'!C7:K7)</f>
        <v>920276</v>
      </c>
    </row>
    <row r="11" spans="1:5" ht="18" customHeight="1" x14ac:dyDescent="0.2">
      <c r="A11" s="1258" t="s">
        <v>1240</v>
      </c>
      <c r="B11" s="1259"/>
      <c r="C11" s="1259"/>
    </row>
    <row r="12" spans="1:5" x14ac:dyDescent="0.2">
      <c r="A12" s="1258" t="s">
        <v>1239</v>
      </c>
      <c r="B12" s="1259" t="s">
        <v>1238</v>
      </c>
      <c r="C12" s="1259"/>
      <c r="D12" s="1261">
        <f>SUM('Revenues 9-14'!C112:D112,'Revenues 9-14'!F112:G112)</f>
        <v>1254</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0</v>
      </c>
    </row>
    <row r="19" spans="1:4" ht="13.5" thickBot="1" x14ac:dyDescent="0.25">
      <c r="A19" s="1262" t="s">
        <v>1235</v>
      </c>
      <c r="D19" s="1263">
        <f>SUM(D10:D17)</f>
        <v>921530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6"/>
      <c r="B24" s="2436"/>
      <c r="D24" s="1265"/>
    </row>
    <row r="25" spans="1:4" x14ac:dyDescent="0.2">
      <c r="A25" s="2433"/>
      <c r="B25" s="2433"/>
      <c r="D25" s="1265"/>
    </row>
    <row r="26" spans="1:4" x14ac:dyDescent="0.2">
      <c r="A26" s="2433"/>
      <c r="B26" s="2433"/>
      <c r="D26" s="1265"/>
    </row>
    <row r="27" spans="1:4" x14ac:dyDescent="0.2">
      <c r="A27" s="2433"/>
      <c r="B27" s="2433"/>
      <c r="D27" s="1265"/>
    </row>
    <row r="28" spans="1:4" x14ac:dyDescent="0.2">
      <c r="A28" s="2433"/>
      <c r="B28" s="2433"/>
      <c r="D28" s="1265"/>
    </row>
    <row r="29" spans="1:4" x14ac:dyDescent="0.2">
      <c r="A29" s="2433"/>
      <c r="B29" s="2433"/>
      <c r="D29" s="1265"/>
    </row>
    <row r="30" spans="1:4" x14ac:dyDescent="0.2">
      <c r="A30" s="2433"/>
      <c r="B30" s="2433"/>
      <c r="D30" s="1265"/>
    </row>
    <row r="32" spans="1:4" x14ac:dyDescent="0.2">
      <c r="A32" s="1257" t="s">
        <v>1233</v>
      </c>
      <c r="D32" s="1260">
        <f>SUM(D19:D30)</f>
        <v>921530</v>
      </c>
    </row>
    <row r="33" spans="1:4" x14ac:dyDescent="0.2">
      <c r="D33" s="1266"/>
    </row>
    <row r="34" spans="1:4" x14ac:dyDescent="0.2">
      <c r="A34" s="317" t="s">
        <v>1232</v>
      </c>
    </row>
    <row r="35" spans="1:4" x14ac:dyDescent="0.2">
      <c r="A35" s="317" t="s">
        <v>1231</v>
      </c>
      <c r="B35" s="1255" t="s">
        <v>1230</v>
      </c>
      <c r="D35" s="1267">
        <v>921530</v>
      </c>
    </row>
    <row r="37" spans="1:4" x14ac:dyDescent="0.2">
      <c r="A37" s="1257" t="s">
        <v>1229</v>
      </c>
    </row>
    <row r="39" spans="1:4" ht="13.35" customHeight="1" x14ac:dyDescent="0.2">
      <c r="A39" s="1264" t="s">
        <v>1228</v>
      </c>
    </row>
    <row r="40" spans="1:4" x14ac:dyDescent="0.2">
      <c r="A40" s="2433"/>
      <c r="B40" s="2433"/>
      <c r="D40" s="1265"/>
    </row>
    <row r="41" spans="1:4" x14ac:dyDescent="0.2">
      <c r="A41" s="2433"/>
      <c r="B41" s="2433"/>
      <c r="D41" s="1268"/>
    </row>
    <row r="42" spans="1:4" x14ac:dyDescent="0.2">
      <c r="A42" s="2433"/>
      <c r="B42" s="2433"/>
      <c r="D42" s="1268"/>
    </row>
    <row r="43" spans="1:4" x14ac:dyDescent="0.2">
      <c r="A43" s="2433"/>
      <c r="B43" s="2433"/>
      <c r="D43" s="1268"/>
    </row>
    <row r="44" spans="1:4" x14ac:dyDescent="0.2">
      <c r="A44" s="2433"/>
      <c r="B44" s="2433"/>
      <c r="D44" s="1268"/>
    </row>
    <row r="45" spans="1:4" x14ac:dyDescent="0.2">
      <c r="A45" s="2433"/>
      <c r="B45" s="2433"/>
      <c r="D45" s="1268"/>
    </row>
    <row r="47" spans="1:4" x14ac:dyDescent="0.2">
      <c r="B47" s="1269" t="s">
        <v>1227</v>
      </c>
      <c r="C47" s="1269"/>
      <c r="D47" s="1270">
        <f>SUM(D35:D45)</f>
        <v>921530</v>
      </c>
    </row>
    <row r="49" spans="2:4" x14ac:dyDescent="0.2">
      <c r="B49" s="1269" t="s">
        <v>1226</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verticalCentered="1"/>
  <pageMargins left="0.65" right="0.5" top="0.79" bottom="1.1100000000000001" header="0.5" footer="0.8"/>
  <pageSetup firstPageNumber="37" orientation="portrait" useFirstPageNumber="1" r:id="rId1"/>
  <headerFooter alignWithMargins="0">
    <oddHeader>&amp;L&amp;8Page 39&amp;R&amp;8Page 39</oddHeader>
    <oddFooter>&amp;CSee Independent Auditors' Report.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52"/>
  <sheetViews>
    <sheetView showGridLines="0" topLeftCell="A4" zoomScaleNormal="100" workbookViewId="0">
      <selection activeCell="F22" sqref="F2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7" t="str">
        <f>'Single Audit Cover'!A7</f>
        <v>Egyptian CUSD 5</v>
      </c>
      <c r="C1" s="2438"/>
      <c r="D1" s="2438"/>
      <c r="E1" s="2438"/>
      <c r="F1" s="2438"/>
      <c r="G1" s="2438"/>
      <c r="H1" s="2438"/>
      <c r="I1" s="2438"/>
      <c r="J1" s="2438"/>
      <c r="K1" s="2438"/>
      <c r="L1" s="2438"/>
      <c r="M1" s="2438"/>
    </row>
    <row r="2" spans="2:14" ht="15" x14ac:dyDescent="0.2">
      <c r="B2" s="2439">
        <f>'Single Audit Cover'!E7</f>
        <v>30002005026</v>
      </c>
      <c r="C2" s="2439"/>
      <c r="D2" s="2439"/>
      <c r="E2" s="2439"/>
      <c r="F2" s="2439"/>
      <c r="G2" s="2439"/>
      <c r="H2" s="2439"/>
      <c r="I2" s="2439"/>
      <c r="J2" s="2439"/>
      <c r="K2" s="2439"/>
      <c r="L2" s="2439"/>
      <c r="M2" s="2439"/>
      <c r="N2" s="1299"/>
    </row>
    <row r="3" spans="2:14" ht="15" x14ac:dyDescent="0.2">
      <c r="B3" s="2440" t="s">
        <v>1219</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2099</v>
      </c>
      <c r="C11" s="1335"/>
      <c r="D11" s="1336"/>
      <c r="E11" s="1337"/>
      <c r="F11" s="1337"/>
      <c r="G11" s="1337"/>
      <c r="H11" s="1337"/>
      <c r="I11" s="1337"/>
      <c r="J11" s="1337"/>
      <c r="K11" s="1337"/>
      <c r="L11" s="1337"/>
      <c r="M11" s="1337"/>
    </row>
    <row r="12" spans="2:14" ht="20.100000000000001" customHeight="1" x14ac:dyDescent="0.2">
      <c r="B12" s="1334" t="s">
        <v>2100</v>
      </c>
      <c r="C12" s="1338" t="s">
        <v>2102</v>
      </c>
      <c r="D12" s="1339" t="s">
        <v>2108</v>
      </c>
      <c r="E12" s="1340">
        <v>21752</v>
      </c>
      <c r="F12" s="1340"/>
      <c r="G12" s="1340">
        <v>21752</v>
      </c>
      <c r="H12" s="1340"/>
      <c r="I12" s="1340"/>
      <c r="J12" s="1340"/>
      <c r="K12" s="1340"/>
      <c r="L12" s="1337">
        <f t="shared" ref="L12:L23" si="0">+G12+I12+K12</f>
        <v>21752</v>
      </c>
      <c r="M12" s="1340">
        <v>23000</v>
      </c>
    </row>
    <row r="13" spans="2:14" ht="20.100000000000001" customHeight="1" x14ac:dyDescent="0.2">
      <c r="B13" s="1334" t="s">
        <v>2100</v>
      </c>
      <c r="C13" s="1338" t="s">
        <v>2102</v>
      </c>
      <c r="D13" s="1339" t="s">
        <v>2109</v>
      </c>
      <c r="E13" s="1340"/>
      <c r="F13" s="1340">
        <v>18004</v>
      </c>
      <c r="G13" s="1340"/>
      <c r="H13" s="1340"/>
      <c r="I13" s="1340">
        <v>18004</v>
      </c>
      <c r="J13" s="1340"/>
      <c r="K13" s="1340"/>
      <c r="L13" s="1337">
        <f t="shared" si="0"/>
        <v>18004</v>
      </c>
      <c r="M13" s="1340">
        <v>18000</v>
      </c>
    </row>
    <row r="14" spans="2:14" ht="20.100000000000001" customHeight="1" x14ac:dyDescent="0.2">
      <c r="B14" s="1334" t="s">
        <v>2101</v>
      </c>
      <c r="C14" s="1338"/>
      <c r="D14" s="1339"/>
      <c r="E14" s="1340">
        <f>SUM(E12:E13)</f>
        <v>21752</v>
      </c>
      <c r="F14" s="1340">
        <f t="shared" ref="F14:M14" si="1">SUM(F12:F13)</f>
        <v>18004</v>
      </c>
      <c r="G14" s="1340">
        <f t="shared" si="1"/>
        <v>21752</v>
      </c>
      <c r="H14" s="1340">
        <f t="shared" si="1"/>
        <v>0</v>
      </c>
      <c r="I14" s="1340">
        <f t="shared" si="1"/>
        <v>18004</v>
      </c>
      <c r="J14" s="1340">
        <f t="shared" si="1"/>
        <v>0</v>
      </c>
      <c r="K14" s="1340">
        <f t="shared" si="1"/>
        <v>0</v>
      </c>
      <c r="L14" s="1340">
        <f t="shared" si="1"/>
        <v>39756</v>
      </c>
      <c r="M14" s="1340">
        <f t="shared" si="1"/>
        <v>41000</v>
      </c>
    </row>
    <row r="15" spans="2:14" ht="20.100000000000001" customHeight="1" x14ac:dyDescent="0.2">
      <c r="B15" s="1334" t="s">
        <v>1169</v>
      </c>
      <c r="C15" s="1338"/>
      <c r="D15" s="1339"/>
      <c r="E15" s="1340"/>
      <c r="F15" s="1340"/>
      <c r="G15" s="1340"/>
      <c r="H15" s="1340"/>
      <c r="I15" s="1340"/>
      <c r="J15" s="1340"/>
      <c r="K15" s="1340"/>
      <c r="L15" s="1337"/>
      <c r="M15" s="1340"/>
    </row>
    <row r="16" spans="2:14" ht="20.100000000000001" customHeight="1" x14ac:dyDescent="0.2">
      <c r="B16" s="1334" t="s">
        <v>2122</v>
      </c>
      <c r="C16" s="1338"/>
      <c r="D16" s="1339"/>
      <c r="E16" s="1340"/>
      <c r="F16" s="1340"/>
      <c r="G16" s="1340"/>
      <c r="H16" s="1340"/>
      <c r="I16" s="1340"/>
      <c r="J16" s="1340"/>
      <c r="K16" s="1340"/>
      <c r="L16" s="1337"/>
      <c r="M16" s="1340"/>
    </row>
    <row r="17" spans="2:14" ht="20.100000000000001" customHeight="1" x14ac:dyDescent="0.2">
      <c r="B17" s="1334" t="s">
        <v>2103</v>
      </c>
      <c r="C17" s="1338">
        <v>10.553000000000001</v>
      </c>
      <c r="D17" s="1339" t="s">
        <v>2110</v>
      </c>
      <c r="E17" s="1340">
        <v>74584</v>
      </c>
      <c r="F17" s="1340">
        <v>18895</v>
      </c>
      <c r="G17" s="1340">
        <v>74584</v>
      </c>
      <c r="H17" s="1340"/>
      <c r="I17" s="1340">
        <v>18895</v>
      </c>
      <c r="J17" s="1340"/>
      <c r="K17" s="1340"/>
      <c r="L17" s="1337">
        <f t="shared" si="0"/>
        <v>93479</v>
      </c>
      <c r="M17" s="1340"/>
    </row>
    <row r="18" spans="2:14" ht="20.100000000000001" customHeight="1" x14ac:dyDescent="0.2">
      <c r="B18" s="1334" t="s">
        <v>2103</v>
      </c>
      <c r="C18" s="1338">
        <v>10.553000000000001</v>
      </c>
      <c r="D18" s="1339" t="s">
        <v>2111</v>
      </c>
      <c r="E18" s="1340"/>
      <c r="F18" s="1340">
        <v>66581</v>
      </c>
      <c r="G18" s="1340"/>
      <c r="H18" s="1340"/>
      <c r="I18" s="1340">
        <v>67748</v>
      </c>
      <c r="J18" s="1340"/>
      <c r="K18" s="1340"/>
      <c r="L18" s="1337">
        <f t="shared" si="0"/>
        <v>67748</v>
      </c>
      <c r="M18" s="1340"/>
    </row>
    <row r="19" spans="2:14" ht="20.100000000000001" customHeight="1" x14ac:dyDescent="0.2">
      <c r="B19" s="1334" t="s">
        <v>2104</v>
      </c>
      <c r="C19" s="1338"/>
      <c r="D19" s="1339"/>
      <c r="E19" s="1340">
        <f>SUM(E17:E18)</f>
        <v>74584</v>
      </c>
      <c r="F19" s="1340">
        <f t="shared" ref="F19:M19" si="2">SUM(F17:F18)</f>
        <v>85476</v>
      </c>
      <c r="G19" s="1340">
        <f t="shared" si="2"/>
        <v>74584</v>
      </c>
      <c r="H19" s="1340">
        <f t="shared" si="2"/>
        <v>0</v>
      </c>
      <c r="I19" s="1340">
        <f t="shared" si="2"/>
        <v>86643</v>
      </c>
      <c r="J19" s="1340">
        <f t="shared" si="2"/>
        <v>0</v>
      </c>
      <c r="K19" s="1340">
        <f t="shared" si="2"/>
        <v>0</v>
      </c>
      <c r="L19" s="1340">
        <f t="shared" si="2"/>
        <v>161227</v>
      </c>
      <c r="M19" s="1340">
        <f t="shared" si="2"/>
        <v>0</v>
      </c>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t="s">
        <v>2122</v>
      </c>
      <c r="C21" s="1338"/>
      <c r="D21" s="1339"/>
      <c r="E21" s="1340"/>
      <c r="F21" s="1340"/>
      <c r="G21" s="1340"/>
      <c r="H21" s="1340"/>
      <c r="I21" s="1340"/>
      <c r="J21" s="1340"/>
      <c r="K21" s="1340"/>
      <c r="L21" s="1337"/>
      <c r="M21" s="1340"/>
    </row>
    <row r="22" spans="2:14" ht="20.100000000000001" customHeight="1" x14ac:dyDescent="0.2">
      <c r="B22" s="1334" t="s">
        <v>2105</v>
      </c>
      <c r="C22" s="1338">
        <v>10.555</v>
      </c>
      <c r="D22" s="1339" t="s">
        <v>2112</v>
      </c>
      <c r="E22" s="1340">
        <v>159193</v>
      </c>
      <c r="F22" s="1340">
        <v>41461</v>
      </c>
      <c r="G22" s="1340">
        <v>159193</v>
      </c>
      <c r="H22" s="1340"/>
      <c r="I22" s="1340">
        <v>41461</v>
      </c>
      <c r="J22" s="1340"/>
      <c r="K22" s="1340"/>
      <c r="L22" s="1337">
        <f t="shared" si="0"/>
        <v>200654</v>
      </c>
      <c r="M22" s="1340"/>
    </row>
    <row r="23" spans="2:14" ht="20.100000000000001" customHeight="1" x14ac:dyDescent="0.2">
      <c r="B23" s="1334" t="s">
        <v>2105</v>
      </c>
      <c r="C23" s="1338">
        <v>10.555</v>
      </c>
      <c r="D23" s="1339" t="s">
        <v>2113</v>
      </c>
      <c r="E23" s="1340"/>
      <c r="F23" s="1340">
        <v>155324</v>
      </c>
      <c r="G23" s="1340"/>
      <c r="H23" s="1340"/>
      <c r="I23" s="1340">
        <v>157199</v>
      </c>
      <c r="J23" s="1340"/>
      <c r="K23" s="1340"/>
      <c r="L23" s="1337">
        <f t="shared" si="0"/>
        <v>157199</v>
      </c>
      <c r="M23" s="1340"/>
    </row>
    <row r="24" spans="2:14" ht="20.100000000000001" customHeight="1" x14ac:dyDescent="0.2">
      <c r="B24" s="1334" t="s">
        <v>2106</v>
      </c>
      <c r="C24" s="1338"/>
      <c r="D24" s="1339"/>
      <c r="E24" s="1340">
        <f>E22+E23</f>
        <v>159193</v>
      </c>
      <c r="F24" s="1340">
        <f t="shared" ref="F24:M24" si="3">F22+F23</f>
        <v>196785</v>
      </c>
      <c r="G24" s="1340">
        <f t="shared" si="3"/>
        <v>159193</v>
      </c>
      <c r="H24" s="1340">
        <f t="shared" si="3"/>
        <v>0</v>
      </c>
      <c r="I24" s="1340">
        <f t="shared" si="3"/>
        <v>198660</v>
      </c>
      <c r="J24" s="1340">
        <f t="shared" si="3"/>
        <v>0</v>
      </c>
      <c r="K24" s="1340">
        <f t="shared" si="3"/>
        <v>0</v>
      </c>
      <c r="L24" s="1340">
        <f t="shared" si="3"/>
        <v>357853</v>
      </c>
      <c r="M24" s="1340">
        <f t="shared" si="3"/>
        <v>0</v>
      </c>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t="s">
        <v>2107</v>
      </c>
      <c r="C26" s="1338"/>
      <c r="D26" s="1339"/>
      <c r="E26" s="1340">
        <f>E24+E19</f>
        <v>233777</v>
      </c>
      <c r="F26" s="1340">
        <f t="shared" ref="F26:M26" si="4">F24+F19</f>
        <v>282261</v>
      </c>
      <c r="G26" s="1340">
        <f t="shared" si="4"/>
        <v>233777</v>
      </c>
      <c r="H26" s="1340">
        <f t="shared" si="4"/>
        <v>0</v>
      </c>
      <c r="I26" s="1340">
        <f t="shared" si="4"/>
        <v>285303</v>
      </c>
      <c r="J26" s="1340">
        <f t="shared" si="4"/>
        <v>0</v>
      </c>
      <c r="K26" s="1340">
        <f t="shared" si="4"/>
        <v>0</v>
      </c>
      <c r="L26" s="1340">
        <f t="shared" si="4"/>
        <v>519080</v>
      </c>
      <c r="M26" s="1340">
        <f t="shared" si="4"/>
        <v>0</v>
      </c>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rintOptions horizontalCentered="1" verticalCentered="1"/>
  <pageMargins left="0.5" right="0.5" top="0.5" bottom="0.5" header="0.25" footer="0.4"/>
  <pageSetup scale="70" firstPageNumber="38" orientation="landscape" useFirstPageNumber="1" r:id="rId1"/>
  <headerFooter alignWithMargins="0">
    <oddHeader>&amp;L&amp;8Page 40&amp;R&amp;8Page 40</oddHeader>
    <oddFooter>&amp;CSee Independent Auditors' Report.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52"/>
  <sheetViews>
    <sheetView showGridLines="0" zoomScaleNormal="100" workbookViewId="0">
      <selection activeCell="I19" sqref="I1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7" t="str">
        <f>'Single Audit Cover'!A7</f>
        <v>Egyptian CUSD 5</v>
      </c>
      <c r="C1" s="2438"/>
      <c r="D1" s="2438"/>
      <c r="E1" s="2438"/>
      <c r="F1" s="2438"/>
      <c r="G1" s="2438"/>
      <c r="H1" s="2438"/>
      <c r="I1" s="2438"/>
      <c r="J1" s="2438"/>
      <c r="K1" s="2438"/>
      <c r="L1" s="2438"/>
      <c r="M1" s="2438"/>
    </row>
    <row r="2" spans="2:14" ht="15" x14ac:dyDescent="0.2">
      <c r="B2" s="2439">
        <f>'Single Audit Cover'!E7</f>
        <v>30002005026</v>
      </c>
      <c r="C2" s="2439"/>
      <c r="D2" s="2439"/>
      <c r="E2" s="2439"/>
      <c r="F2" s="2439"/>
      <c r="G2" s="2439"/>
      <c r="H2" s="2439"/>
      <c r="I2" s="2439"/>
      <c r="J2" s="2439"/>
      <c r="K2" s="2439"/>
      <c r="L2" s="2439"/>
      <c r="M2" s="2439"/>
      <c r="N2" s="1299"/>
    </row>
    <row r="3" spans="2:14" ht="15" x14ac:dyDescent="0.2">
      <c r="B3" s="2440" t="s">
        <v>1219</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2114</v>
      </c>
      <c r="C11" s="1335"/>
      <c r="D11" s="1336"/>
      <c r="E11" s="1337">
        <f>' SEFA'!E26+' SEFA'!E14</f>
        <v>255529</v>
      </c>
      <c r="F11" s="1337">
        <f>' SEFA'!F26+' SEFA'!F14</f>
        <v>300265</v>
      </c>
      <c r="G11" s="1337">
        <f>' SEFA'!G26+' SEFA'!G14</f>
        <v>255529</v>
      </c>
      <c r="H11" s="1337">
        <f>' SEFA'!H26+' SEFA'!H14</f>
        <v>0</v>
      </c>
      <c r="I11" s="1337">
        <f>' SEFA'!I26+' SEFA'!I14</f>
        <v>303307</v>
      </c>
      <c r="J11" s="1337">
        <f>' SEFA'!J26+' SEFA'!J14</f>
        <v>0</v>
      </c>
      <c r="K11" s="1337">
        <f>' SEFA'!K26+' SEFA'!K14</f>
        <v>0</v>
      </c>
      <c r="L11" s="1337">
        <f>' SEFA'!L26+' SEFA'!L14</f>
        <v>558836</v>
      </c>
      <c r="M11" s="1337">
        <f>' SEFA'!M26+' SEFA'!M14</f>
        <v>41000</v>
      </c>
    </row>
    <row r="12" spans="2:14" ht="20.100000000000001" customHeight="1" x14ac:dyDescent="0.2">
      <c r="B12" s="1334"/>
      <c r="C12" s="1338"/>
      <c r="D12" s="1339"/>
      <c r="E12" s="1340"/>
      <c r="F12" s="1340"/>
      <c r="G12" s="1340"/>
      <c r="H12" s="1340"/>
      <c r="I12" s="1340"/>
      <c r="J12" s="1340"/>
      <c r="K12" s="1340"/>
      <c r="L12" s="1337"/>
      <c r="M12" s="1340"/>
    </row>
    <row r="13" spans="2:14" ht="20.100000000000001" customHeight="1" x14ac:dyDescent="0.2">
      <c r="B13" s="1334" t="s">
        <v>2115</v>
      </c>
      <c r="C13" s="1338"/>
      <c r="D13" s="1339"/>
      <c r="E13" s="1340"/>
      <c r="F13" s="1340"/>
      <c r="G13" s="1340"/>
      <c r="H13" s="1340"/>
      <c r="I13" s="1340"/>
      <c r="J13" s="1340"/>
      <c r="K13" s="1340"/>
      <c r="L13" s="1337"/>
      <c r="M13" s="1340"/>
    </row>
    <row r="14" spans="2:14" ht="20.100000000000001" customHeight="1" x14ac:dyDescent="0.2">
      <c r="B14" s="1334" t="s">
        <v>2122</v>
      </c>
      <c r="C14" s="1338"/>
      <c r="D14" s="1339"/>
      <c r="E14" s="1340"/>
      <c r="F14" s="1340"/>
      <c r="G14" s="1340"/>
      <c r="H14" s="1340"/>
      <c r="I14" s="1340"/>
      <c r="J14" s="1340"/>
      <c r="K14" s="1340"/>
      <c r="L14" s="1337">
        <f t="shared" ref="L14:L23" si="0">+G14+I14+K14</f>
        <v>0</v>
      </c>
      <c r="M14" s="1340"/>
    </row>
    <row r="15" spans="2:14" ht="20.100000000000001" customHeight="1" x14ac:dyDescent="0.2">
      <c r="B15" s="1334" t="s">
        <v>2116</v>
      </c>
      <c r="C15" s="1338">
        <v>84.01</v>
      </c>
      <c r="D15" s="1339" t="s">
        <v>2118</v>
      </c>
      <c r="E15" s="1340">
        <v>341449</v>
      </c>
      <c r="F15" s="1340">
        <v>40172</v>
      </c>
      <c r="G15" s="1340">
        <v>381621</v>
      </c>
      <c r="H15" s="1340"/>
      <c r="I15" s="1340"/>
      <c r="J15" s="1340"/>
      <c r="K15" s="1340"/>
      <c r="L15" s="1337">
        <f t="shared" si="0"/>
        <v>381621</v>
      </c>
      <c r="M15" s="1340">
        <v>404557</v>
      </c>
    </row>
    <row r="16" spans="2:14" ht="20.100000000000001" customHeight="1" x14ac:dyDescent="0.2">
      <c r="B16" s="1334" t="s">
        <v>2116</v>
      </c>
      <c r="C16" s="1338">
        <v>84.01</v>
      </c>
      <c r="D16" s="1339" t="s">
        <v>2119</v>
      </c>
      <c r="E16" s="1340"/>
      <c r="F16" s="1340">
        <v>336588</v>
      </c>
      <c r="G16" s="1340"/>
      <c r="H16" s="1340"/>
      <c r="I16" s="1340">
        <v>363677</v>
      </c>
      <c r="J16" s="1340"/>
      <c r="K16" s="1340"/>
      <c r="L16" s="1337">
        <f t="shared" si="0"/>
        <v>363677</v>
      </c>
      <c r="M16" s="1340">
        <v>393936</v>
      </c>
    </row>
    <row r="17" spans="2:14" ht="20.100000000000001" customHeight="1" x14ac:dyDescent="0.2">
      <c r="B17" s="1334" t="s">
        <v>2121</v>
      </c>
      <c r="C17" s="1338">
        <v>84.01</v>
      </c>
      <c r="D17" s="1339" t="s">
        <v>2120</v>
      </c>
      <c r="E17" s="1340"/>
      <c r="F17" s="1340">
        <v>9998</v>
      </c>
      <c r="G17" s="1340"/>
      <c r="H17" s="1340"/>
      <c r="I17" s="1340">
        <v>19968</v>
      </c>
      <c r="J17" s="1340"/>
      <c r="K17" s="1340"/>
      <c r="L17" s="1337">
        <f t="shared" si="0"/>
        <v>19968</v>
      </c>
      <c r="M17" s="1340">
        <v>19969</v>
      </c>
    </row>
    <row r="18" spans="2:14" ht="20.100000000000001" customHeight="1" x14ac:dyDescent="0.2">
      <c r="B18" s="1334" t="s">
        <v>2117</v>
      </c>
      <c r="C18" s="1338"/>
      <c r="D18" s="1339"/>
      <c r="E18" s="1340">
        <f>SUM(E15:E17)</f>
        <v>341449</v>
      </c>
      <c r="F18" s="1340">
        <f t="shared" ref="F18:M18" si="1">SUM(F15:F17)</f>
        <v>386758</v>
      </c>
      <c r="G18" s="1340">
        <f t="shared" si="1"/>
        <v>381621</v>
      </c>
      <c r="H18" s="1340">
        <f t="shared" si="1"/>
        <v>0</v>
      </c>
      <c r="I18" s="1340">
        <f t="shared" si="1"/>
        <v>383645</v>
      </c>
      <c r="J18" s="1340">
        <f t="shared" si="1"/>
        <v>0</v>
      </c>
      <c r="K18" s="1340">
        <f t="shared" si="1"/>
        <v>0</v>
      </c>
      <c r="L18" s="1340">
        <f t="shared" si="1"/>
        <v>765266</v>
      </c>
      <c r="M18" s="1340">
        <f t="shared" si="1"/>
        <v>818462</v>
      </c>
    </row>
    <row r="19" spans="2:14" ht="20.100000000000001" customHeight="1" x14ac:dyDescent="0.2">
      <c r="B19" s="1334"/>
      <c r="C19" s="1338"/>
      <c r="D19" s="1339"/>
      <c r="E19" s="1340"/>
      <c r="F19" s="1340"/>
      <c r="G19" s="1340"/>
      <c r="H19" s="1340"/>
      <c r="I19" s="1340"/>
      <c r="J19" s="1340"/>
      <c r="K19" s="1340"/>
      <c r="L19" s="1337"/>
      <c r="M19" s="1340"/>
    </row>
    <row r="20" spans="2:14" ht="20.100000000000001" customHeight="1" x14ac:dyDescent="0.2">
      <c r="B20" s="1334" t="s">
        <v>2122</v>
      </c>
      <c r="C20" s="1338"/>
      <c r="D20" s="1339"/>
      <c r="E20" s="1340"/>
      <c r="F20" s="1340"/>
      <c r="G20" s="1340"/>
      <c r="H20" s="1340"/>
      <c r="I20" s="1340"/>
      <c r="J20" s="1340"/>
      <c r="K20" s="1340"/>
      <c r="L20" s="1337"/>
      <c r="M20" s="1340"/>
    </row>
    <row r="21" spans="2:14" ht="20.100000000000001" customHeight="1" x14ac:dyDescent="0.2">
      <c r="B21" s="1334" t="s">
        <v>2123</v>
      </c>
      <c r="C21" s="1338">
        <v>84.027000000000001</v>
      </c>
      <c r="D21" s="1339" t="s">
        <v>2124</v>
      </c>
      <c r="E21" s="1340"/>
      <c r="F21" s="1340">
        <v>735</v>
      </c>
      <c r="G21" s="1340"/>
      <c r="H21" s="1340"/>
      <c r="I21" s="1340">
        <v>735</v>
      </c>
      <c r="J21" s="1340"/>
      <c r="K21" s="1340"/>
      <c r="L21" s="1337">
        <f t="shared" si="0"/>
        <v>735</v>
      </c>
      <c r="M21" s="1340"/>
    </row>
    <row r="22" spans="2:14" ht="20.100000000000001" customHeight="1" x14ac:dyDescent="0.2">
      <c r="B22" s="1334" t="s">
        <v>2125</v>
      </c>
      <c r="C22" s="1945"/>
      <c r="D22" s="1339"/>
      <c r="E22" s="1340"/>
      <c r="F22" s="1340"/>
      <c r="G22" s="1340"/>
      <c r="H22" s="1340"/>
      <c r="I22" s="1340"/>
      <c r="J22" s="1340"/>
      <c r="K22" s="1340"/>
      <c r="L22" s="1337"/>
      <c r="M22" s="1340"/>
    </row>
    <row r="23" spans="2:14" ht="20.100000000000001" customHeight="1" x14ac:dyDescent="0.2">
      <c r="B23" s="1334" t="s">
        <v>2123</v>
      </c>
      <c r="C23" s="1338">
        <v>84.027000000000001</v>
      </c>
      <c r="D23" s="1339" t="s">
        <v>2126</v>
      </c>
      <c r="E23" s="1340">
        <v>21928</v>
      </c>
      <c r="F23" s="1340"/>
      <c r="G23" s="1340">
        <v>21928</v>
      </c>
      <c r="H23" s="1340"/>
      <c r="I23" s="1340"/>
      <c r="J23" s="1340"/>
      <c r="K23" s="1340"/>
      <c r="L23" s="1337">
        <f t="shared" si="0"/>
        <v>21928</v>
      </c>
      <c r="M23" s="1340"/>
    </row>
    <row r="24" spans="2:14" ht="20.100000000000001" customHeight="1" x14ac:dyDescent="0.2">
      <c r="B24" s="1334" t="s">
        <v>2170</v>
      </c>
      <c r="C24" s="1338"/>
      <c r="D24" s="1339"/>
      <c r="E24" s="1340">
        <f>E21+E23</f>
        <v>21928</v>
      </c>
      <c r="F24" s="1340">
        <f t="shared" ref="F24:M24" si="2">F21+F23</f>
        <v>735</v>
      </c>
      <c r="G24" s="1340">
        <f t="shared" si="2"/>
        <v>21928</v>
      </c>
      <c r="H24" s="1340">
        <f t="shared" si="2"/>
        <v>0</v>
      </c>
      <c r="I24" s="1340">
        <f t="shared" si="2"/>
        <v>735</v>
      </c>
      <c r="J24" s="1340">
        <f t="shared" si="2"/>
        <v>0</v>
      </c>
      <c r="K24" s="1340">
        <f t="shared" si="2"/>
        <v>0</v>
      </c>
      <c r="L24" s="1340">
        <f t="shared" si="2"/>
        <v>22663</v>
      </c>
      <c r="M24" s="1340">
        <f t="shared" si="2"/>
        <v>0</v>
      </c>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rintOptions horizontalCentered="1" verticalCentered="1"/>
  <pageMargins left="0.5" right="0.5" top="0.5" bottom="0.5" header="0.25" footer="0.4"/>
  <pageSetup scale="70" firstPageNumber="38" orientation="landscape" useFirstPageNumber="1" r:id="rId1"/>
  <headerFooter alignWithMargins="0">
    <oddHeader>&amp;L&amp;8Page 40&amp;R&amp;8Page 40</oddHeader>
    <oddFooter>&amp;CSee Independent Auditors' Report.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52"/>
  <sheetViews>
    <sheetView showGridLines="0" zoomScaleNormal="100" workbookViewId="0">
      <selection activeCell="L19" sqref="L1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7" t="str">
        <f>'Single Audit Cover'!A7</f>
        <v>Egyptian CUSD 5</v>
      </c>
      <c r="C1" s="2438"/>
      <c r="D1" s="2438"/>
      <c r="E1" s="2438"/>
      <c r="F1" s="2438"/>
      <c r="G1" s="2438"/>
      <c r="H1" s="2438"/>
      <c r="I1" s="2438"/>
      <c r="J1" s="2438"/>
      <c r="K1" s="2438"/>
      <c r="L1" s="2438"/>
      <c r="M1" s="2438"/>
    </row>
    <row r="2" spans="2:14" ht="15" x14ac:dyDescent="0.2">
      <c r="B2" s="2439">
        <f>'Single Audit Cover'!E7</f>
        <v>30002005026</v>
      </c>
      <c r="C2" s="2439"/>
      <c r="D2" s="2439"/>
      <c r="E2" s="2439"/>
      <c r="F2" s="2439"/>
      <c r="G2" s="2439"/>
      <c r="H2" s="2439"/>
      <c r="I2" s="2439"/>
      <c r="J2" s="2439"/>
      <c r="K2" s="2439"/>
      <c r="L2" s="2439"/>
      <c r="M2" s="2439"/>
      <c r="N2" s="1299"/>
    </row>
    <row r="3" spans="2:14" ht="15" x14ac:dyDescent="0.2">
      <c r="B3" s="2440" t="s">
        <v>1219</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2115</v>
      </c>
      <c r="C11" s="1335"/>
      <c r="D11" s="1336"/>
      <c r="E11" s="1337"/>
      <c r="F11" s="1337"/>
      <c r="G11" s="1337"/>
      <c r="H11" s="1337"/>
      <c r="I11" s="1337"/>
      <c r="J11" s="1337"/>
      <c r="K11" s="1337"/>
      <c r="L11" s="1337"/>
      <c r="M11" s="1337"/>
    </row>
    <row r="12" spans="2:14" ht="20.100000000000001" customHeight="1" x14ac:dyDescent="0.2">
      <c r="B12" s="1334" t="s">
        <v>2122</v>
      </c>
      <c r="C12" s="1338"/>
      <c r="D12" s="1339"/>
      <c r="E12" s="1340"/>
      <c r="F12" s="1340"/>
      <c r="G12" s="1340"/>
      <c r="H12" s="1340"/>
      <c r="I12" s="1340"/>
      <c r="J12" s="1340"/>
      <c r="K12" s="1340"/>
      <c r="L12" s="1337"/>
      <c r="M12" s="1340"/>
    </row>
    <row r="13" spans="2:14" ht="20.100000000000001" customHeight="1" x14ac:dyDescent="0.2">
      <c r="B13" s="1334" t="s">
        <v>2128</v>
      </c>
      <c r="C13" s="1338">
        <v>84.287000000000006</v>
      </c>
      <c r="D13" s="1339" t="s">
        <v>2129</v>
      </c>
      <c r="E13" s="1340">
        <v>96904</v>
      </c>
      <c r="F13" s="1340">
        <v>38096</v>
      </c>
      <c r="G13" s="1340">
        <v>135000</v>
      </c>
      <c r="H13" s="1340"/>
      <c r="I13" s="1340"/>
      <c r="J13" s="1340"/>
      <c r="K13" s="1340"/>
      <c r="L13" s="1337">
        <f t="shared" ref="L13:L23" si="0">+G13+I13+K13</f>
        <v>135000</v>
      </c>
      <c r="M13" s="1340">
        <v>135000</v>
      </c>
    </row>
    <row r="14" spans="2:14" ht="20.100000000000001" customHeight="1" x14ac:dyDescent="0.2">
      <c r="B14" s="1334" t="s">
        <v>2128</v>
      </c>
      <c r="C14" s="1338">
        <v>84.287000000000006</v>
      </c>
      <c r="D14" s="1339" t="s">
        <v>2130</v>
      </c>
      <c r="E14" s="1340"/>
      <c r="F14" s="1340">
        <v>109660</v>
      </c>
      <c r="G14" s="1340"/>
      <c r="H14" s="1340"/>
      <c r="I14" s="1340">
        <v>135000</v>
      </c>
      <c r="J14" s="1340"/>
      <c r="K14" s="1340"/>
      <c r="L14" s="1337">
        <f t="shared" si="0"/>
        <v>135000</v>
      </c>
      <c r="M14" s="1340">
        <v>135000</v>
      </c>
    </row>
    <row r="15" spans="2:14" ht="20.100000000000001" customHeight="1" x14ac:dyDescent="0.2">
      <c r="B15" s="1334" t="s">
        <v>2127</v>
      </c>
      <c r="C15" s="1338"/>
      <c r="D15" s="1339"/>
      <c r="E15" s="1340">
        <f>E13+E14</f>
        <v>96904</v>
      </c>
      <c r="F15" s="1340">
        <f t="shared" ref="F15:M15" si="1">F13+F14</f>
        <v>147756</v>
      </c>
      <c r="G15" s="1340">
        <f t="shared" si="1"/>
        <v>135000</v>
      </c>
      <c r="H15" s="1340">
        <f t="shared" si="1"/>
        <v>0</v>
      </c>
      <c r="I15" s="1340">
        <f t="shared" si="1"/>
        <v>135000</v>
      </c>
      <c r="J15" s="1340">
        <f t="shared" si="1"/>
        <v>0</v>
      </c>
      <c r="K15" s="1340">
        <f t="shared" si="1"/>
        <v>0</v>
      </c>
      <c r="L15" s="1340">
        <f t="shared" si="1"/>
        <v>270000</v>
      </c>
      <c r="M15" s="1340">
        <f t="shared" si="1"/>
        <v>270000</v>
      </c>
    </row>
    <row r="16" spans="2:14" ht="20.100000000000001" customHeight="1" x14ac:dyDescent="0.2">
      <c r="B16" s="1334"/>
      <c r="C16" s="1338"/>
      <c r="D16" s="1339"/>
      <c r="E16" s="1340"/>
      <c r="F16" s="1340"/>
      <c r="G16" s="1340"/>
      <c r="H16" s="1340"/>
      <c r="I16" s="1340"/>
      <c r="J16" s="1340"/>
      <c r="K16" s="1340"/>
      <c r="L16" s="1337"/>
      <c r="M16" s="1340"/>
    </row>
    <row r="17" spans="2:14" ht="20.100000000000001" customHeight="1" x14ac:dyDescent="0.2">
      <c r="B17" s="1334" t="s">
        <v>2136</v>
      </c>
      <c r="C17" s="1338"/>
      <c r="D17" s="1339"/>
      <c r="E17" s="1340"/>
      <c r="F17" s="1340"/>
      <c r="G17" s="1340"/>
      <c r="H17" s="1340"/>
      <c r="I17" s="1340"/>
      <c r="J17" s="1340"/>
      <c r="K17" s="1340"/>
      <c r="L17" s="1337"/>
      <c r="M17" s="1340"/>
    </row>
    <row r="18" spans="2:14" ht="20.100000000000001" customHeight="1" x14ac:dyDescent="0.2">
      <c r="B18" s="1334" t="s">
        <v>2137</v>
      </c>
      <c r="C18" s="1338">
        <v>84.334000000000003</v>
      </c>
      <c r="D18" s="1339" t="s">
        <v>2171</v>
      </c>
      <c r="E18" s="1340"/>
      <c r="F18" s="1340">
        <v>10135</v>
      </c>
      <c r="G18" s="1340">
        <v>10135</v>
      </c>
      <c r="H18" s="1340"/>
      <c r="I18" s="1340"/>
      <c r="J18" s="1340"/>
      <c r="K18" s="1340"/>
      <c r="L18" s="1337">
        <f t="shared" si="0"/>
        <v>10135</v>
      </c>
      <c r="M18" s="1340"/>
    </row>
    <row r="19" spans="2:14" ht="20.100000000000001" customHeight="1" x14ac:dyDescent="0.2">
      <c r="B19" s="1334" t="s">
        <v>2138</v>
      </c>
      <c r="C19" s="1338"/>
      <c r="D19" s="1339"/>
      <c r="E19" s="1340">
        <f>E18</f>
        <v>0</v>
      </c>
      <c r="F19" s="1340">
        <f t="shared" ref="F19:M19" si="2">F18</f>
        <v>10135</v>
      </c>
      <c r="G19" s="1340">
        <f t="shared" si="2"/>
        <v>10135</v>
      </c>
      <c r="H19" s="1340">
        <f t="shared" si="2"/>
        <v>0</v>
      </c>
      <c r="I19" s="1340">
        <f t="shared" si="2"/>
        <v>0</v>
      </c>
      <c r="J19" s="1340">
        <f t="shared" si="2"/>
        <v>0</v>
      </c>
      <c r="K19" s="1340">
        <f t="shared" si="2"/>
        <v>0</v>
      </c>
      <c r="L19" s="1340">
        <f t="shared" si="2"/>
        <v>10135</v>
      </c>
      <c r="M19" s="1340">
        <f t="shared" si="2"/>
        <v>0</v>
      </c>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t="s">
        <v>2131</v>
      </c>
      <c r="C21" s="1338"/>
      <c r="D21" s="1339"/>
      <c r="E21" s="1340"/>
      <c r="F21" s="1340"/>
      <c r="G21" s="1340"/>
      <c r="H21" s="1340"/>
      <c r="I21" s="1340"/>
      <c r="J21" s="1340"/>
      <c r="K21" s="1340"/>
      <c r="L21" s="1337"/>
      <c r="M21" s="1340"/>
    </row>
    <row r="22" spans="2:14" ht="20.100000000000001" customHeight="1" x14ac:dyDescent="0.2">
      <c r="B22" s="1334" t="s">
        <v>2132</v>
      </c>
      <c r="C22" s="1338">
        <v>84.358000000000004</v>
      </c>
      <c r="D22" s="1339" t="s">
        <v>2134</v>
      </c>
      <c r="E22" s="1340">
        <v>7282</v>
      </c>
      <c r="F22" s="1340">
        <v>590</v>
      </c>
      <c r="G22" s="1340">
        <v>7872</v>
      </c>
      <c r="H22" s="1340"/>
      <c r="I22" s="1340"/>
      <c r="J22" s="1340"/>
      <c r="K22" s="1340"/>
      <c r="L22" s="1337">
        <f t="shared" si="0"/>
        <v>7872</v>
      </c>
      <c r="M22" s="1340">
        <v>7872</v>
      </c>
    </row>
    <row r="23" spans="2:14" ht="20.100000000000001" customHeight="1" x14ac:dyDescent="0.2">
      <c r="B23" s="1334" t="s">
        <v>2132</v>
      </c>
      <c r="C23" s="1338">
        <v>84.358000000000004</v>
      </c>
      <c r="D23" s="1339" t="s">
        <v>2135</v>
      </c>
      <c r="E23" s="1340"/>
      <c r="F23" s="1340">
        <v>8214</v>
      </c>
      <c r="G23" s="1340"/>
      <c r="H23" s="1340"/>
      <c r="I23" s="1340">
        <v>8405</v>
      </c>
      <c r="J23" s="1340"/>
      <c r="K23" s="1340"/>
      <c r="L23" s="1337">
        <f t="shared" si="0"/>
        <v>8405</v>
      </c>
      <c r="M23" s="1340">
        <v>8405</v>
      </c>
    </row>
    <row r="24" spans="2:14" ht="20.100000000000001" customHeight="1" x14ac:dyDescent="0.2">
      <c r="B24" s="1334" t="s">
        <v>2133</v>
      </c>
      <c r="C24" s="1338"/>
      <c r="D24" s="1339"/>
      <c r="E24" s="1340">
        <f>E22+E23</f>
        <v>7282</v>
      </c>
      <c r="F24" s="1340">
        <f t="shared" ref="F24:M24" si="3">F22+F23</f>
        <v>8804</v>
      </c>
      <c r="G24" s="1340">
        <f t="shared" si="3"/>
        <v>7872</v>
      </c>
      <c r="H24" s="1340">
        <f t="shared" si="3"/>
        <v>0</v>
      </c>
      <c r="I24" s="1340">
        <f t="shared" si="3"/>
        <v>8405</v>
      </c>
      <c r="J24" s="1340">
        <f t="shared" si="3"/>
        <v>0</v>
      </c>
      <c r="K24" s="1340">
        <f t="shared" si="3"/>
        <v>0</v>
      </c>
      <c r="L24" s="1340">
        <f t="shared" si="3"/>
        <v>16277</v>
      </c>
      <c r="M24" s="1340">
        <f t="shared" si="3"/>
        <v>16277</v>
      </c>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rintOptions horizontalCentered="1" verticalCentered="1"/>
  <pageMargins left="0.5" right="0.5" top="0.5" bottom="0.5" header="0.25" footer="0.4"/>
  <pageSetup scale="70" firstPageNumber="38" orientation="landscape" useFirstPageNumber="1" r:id="rId1"/>
  <headerFooter alignWithMargins="0">
    <oddHeader>&amp;L&amp;8Page 40&amp;R&amp;8Page 40</oddHeader>
    <oddFooter>&amp;CSee Independent Auditors' Report.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52"/>
  <sheetViews>
    <sheetView showGridLines="0" zoomScaleNormal="100" workbookViewId="0">
      <selection activeCell="F18" sqref="F1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7" t="str">
        <f>'Single Audit Cover'!A7</f>
        <v>Egyptian CUSD 5</v>
      </c>
      <c r="C1" s="2438"/>
      <c r="D1" s="2438"/>
      <c r="E1" s="2438"/>
      <c r="F1" s="2438"/>
      <c r="G1" s="2438"/>
      <c r="H1" s="2438"/>
      <c r="I1" s="2438"/>
      <c r="J1" s="2438"/>
      <c r="K1" s="2438"/>
      <c r="L1" s="2438"/>
      <c r="M1" s="2438"/>
    </row>
    <row r="2" spans="2:14" ht="15" x14ac:dyDescent="0.2">
      <c r="B2" s="2439">
        <f>'Single Audit Cover'!E7</f>
        <v>30002005026</v>
      </c>
      <c r="C2" s="2439"/>
      <c r="D2" s="2439"/>
      <c r="E2" s="2439"/>
      <c r="F2" s="2439"/>
      <c r="G2" s="2439"/>
      <c r="H2" s="2439"/>
      <c r="I2" s="2439"/>
      <c r="J2" s="2439"/>
      <c r="K2" s="2439"/>
      <c r="L2" s="2439"/>
      <c r="M2" s="2439"/>
      <c r="N2" s="1299"/>
    </row>
    <row r="3" spans="2:14" ht="15" x14ac:dyDescent="0.2">
      <c r="B3" s="2440" t="s">
        <v>1219</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2115</v>
      </c>
      <c r="C11" s="1335"/>
      <c r="D11" s="1336"/>
      <c r="E11" s="1337"/>
      <c r="F11" s="1337"/>
      <c r="G11" s="1337"/>
      <c r="H11" s="1337"/>
      <c r="I11" s="1337"/>
      <c r="J11" s="1337"/>
      <c r="K11" s="1337"/>
      <c r="L11" s="1337"/>
      <c r="M11" s="1337"/>
    </row>
    <row r="12" spans="2:14" ht="20.100000000000001" customHeight="1" x14ac:dyDescent="0.2">
      <c r="B12" s="1334" t="s">
        <v>2122</v>
      </c>
      <c r="C12" s="1338"/>
      <c r="D12" s="1339"/>
      <c r="E12" s="1340"/>
      <c r="F12" s="1340"/>
      <c r="G12" s="1340"/>
      <c r="H12" s="1340"/>
      <c r="I12" s="1340"/>
      <c r="J12" s="1340"/>
      <c r="K12" s="1340"/>
      <c r="L12" s="1337"/>
      <c r="M12" s="1340"/>
    </row>
    <row r="13" spans="2:14" ht="20.100000000000001" customHeight="1" x14ac:dyDescent="0.2">
      <c r="B13" s="1334" t="s">
        <v>2139</v>
      </c>
      <c r="C13" s="1338">
        <v>84.367000000000004</v>
      </c>
      <c r="D13" s="1339" t="s">
        <v>2141</v>
      </c>
      <c r="E13" s="1340">
        <v>21125</v>
      </c>
      <c r="F13" s="1340">
        <v>17877</v>
      </c>
      <c r="G13" s="1340">
        <v>39002</v>
      </c>
      <c r="H13" s="1340"/>
      <c r="I13" s="1340"/>
      <c r="J13" s="1340"/>
      <c r="K13" s="1340"/>
      <c r="L13" s="1337">
        <f t="shared" ref="L13:L27" si="0">+G13+I13+K13</f>
        <v>39002</v>
      </c>
      <c r="M13" s="1340">
        <v>39002</v>
      </c>
    </row>
    <row r="14" spans="2:14" ht="20.100000000000001" customHeight="1" x14ac:dyDescent="0.2">
      <c r="B14" s="1334" t="s">
        <v>2139</v>
      </c>
      <c r="C14" s="1338">
        <v>84.367000000000004</v>
      </c>
      <c r="D14" s="1339" t="s">
        <v>2142</v>
      </c>
      <c r="E14" s="1340"/>
      <c r="F14" s="1340">
        <v>17583</v>
      </c>
      <c r="G14" s="1340"/>
      <c r="H14" s="1340"/>
      <c r="I14" s="1340">
        <v>34751</v>
      </c>
      <c r="J14" s="1340"/>
      <c r="K14" s="1340"/>
      <c r="L14" s="1337">
        <f t="shared" si="0"/>
        <v>34751</v>
      </c>
      <c r="M14" s="1340">
        <v>34751</v>
      </c>
    </row>
    <row r="15" spans="2:14" ht="20.100000000000001" customHeight="1" x14ac:dyDescent="0.2">
      <c r="B15" s="1334" t="s">
        <v>2140</v>
      </c>
      <c r="C15" s="1338"/>
      <c r="D15" s="1339"/>
      <c r="E15" s="1340">
        <f>E13+E14</f>
        <v>21125</v>
      </c>
      <c r="F15" s="1340">
        <f t="shared" ref="F15:M15" si="1">F13+F14</f>
        <v>35460</v>
      </c>
      <c r="G15" s="1340">
        <f t="shared" si="1"/>
        <v>39002</v>
      </c>
      <c r="H15" s="1340">
        <f t="shared" si="1"/>
        <v>0</v>
      </c>
      <c r="I15" s="1340">
        <f t="shared" si="1"/>
        <v>34751</v>
      </c>
      <c r="J15" s="1340">
        <f t="shared" si="1"/>
        <v>0</v>
      </c>
      <c r="K15" s="1340">
        <f t="shared" si="1"/>
        <v>0</v>
      </c>
      <c r="L15" s="1340">
        <f t="shared" si="1"/>
        <v>73753</v>
      </c>
      <c r="M15" s="1340">
        <f t="shared" si="1"/>
        <v>73753</v>
      </c>
    </row>
    <row r="16" spans="2:14" ht="20.100000000000001" customHeight="1" x14ac:dyDescent="0.2">
      <c r="B16" s="1334"/>
      <c r="C16" s="1338"/>
      <c r="D16" s="1339"/>
      <c r="E16" s="1340"/>
      <c r="F16" s="1340"/>
      <c r="G16" s="1340"/>
      <c r="H16" s="1340"/>
      <c r="I16" s="1340"/>
      <c r="J16" s="1340"/>
      <c r="K16" s="1340"/>
      <c r="L16" s="1337"/>
      <c r="M16" s="1340"/>
    </row>
    <row r="17" spans="2:14" ht="20.100000000000001" customHeight="1" x14ac:dyDescent="0.2">
      <c r="B17" s="1334" t="s">
        <v>2122</v>
      </c>
      <c r="C17" s="1338"/>
      <c r="D17" s="1339"/>
      <c r="E17" s="1340"/>
      <c r="F17" s="1340"/>
      <c r="G17" s="1340"/>
      <c r="H17" s="1340"/>
      <c r="I17" s="1340"/>
      <c r="J17" s="1340"/>
      <c r="K17" s="1340"/>
      <c r="L17" s="1337"/>
      <c r="M17" s="1340"/>
    </row>
    <row r="18" spans="2:14" ht="20.100000000000001" customHeight="1" x14ac:dyDescent="0.2">
      <c r="B18" s="1334" t="s">
        <v>2143</v>
      </c>
      <c r="C18" s="1338">
        <v>84.424000000000007</v>
      </c>
      <c r="D18" s="1339" t="s">
        <v>2145</v>
      </c>
      <c r="E18" s="1340">
        <v>13016</v>
      </c>
      <c r="F18" s="1340">
        <v>3268</v>
      </c>
      <c r="G18" s="1340">
        <v>16284</v>
      </c>
      <c r="H18" s="1340"/>
      <c r="I18" s="1340"/>
      <c r="J18" s="1340"/>
      <c r="K18" s="1340"/>
      <c r="L18" s="1337">
        <f t="shared" si="0"/>
        <v>16284</v>
      </c>
      <c r="M18" s="1340">
        <v>16284</v>
      </c>
    </row>
    <row r="19" spans="2:14" ht="20.100000000000001" customHeight="1" x14ac:dyDescent="0.2">
      <c r="B19" s="1334" t="s">
        <v>2143</v>
      </c>
      <c r="C19" s="1338">
        <v>84.424000000000007</v>
      </c>
      <c r="D19" s="1339" t="s">
        <v>2146</v>
      </c>
      <c r="E19" s="1340"/>
      <c r="F19" s="1340">
        <v>27095</v>
      </c>
      <c r="G19" s="1340"/>
      <c r="H19" s="1340"/>
      <c r="I19" s="1340">
        <v>32560</v>
      </c>
      <c r="J19" s="1340"/>
      <c r="K19" s="1340"/>
      <c r="L19" s="1337">
        <f t="shared" si="0"/>
        <v>32560</v>
      </c>
      <c r="M19" s="1340">
        <v>32560</v>
      </c>
    </row>
    <row r="20" spans="2:14" ht="20.100000000000001" customHeight="1" x14ac:dyDescent="0.2">
      <c r="B20" s="1334" t="s">
        <v>2144</v>
      </c>
      <c r="C20" s="1338"/>
      <c r="D20" s="1339"/>
      <c r="E20" s="1340">
        <f>E18+E19</f>
        <v>13016</v>
      </c>
      <c r="F20" s="1340">
        <f t="shared" ref="F20:M20" si="2">F18+F19</f>
        <v>30363</v>
      </c>
      <c r="G20" s="1340">
        <f t="shared" si="2"/>
        <v>16284</v>
      </c>
      <c r="H20" s="1340">
        <f t="shared" si="2"/>
        <v>0</v>
      </c>
      <c r="I20" s="1340">
        <f t="shared" si="2"/>
        <v>32560</v>
      </c>
      <c r="J20" s="1340">
        <f t="shared" si="2"/>
        <v>0</v>
      </c>
      <c r="K20" s="1340">
        <f t="shared" si="2"/>
        <v>0</v>
      </c>
      <c r="L20" s="1340">
        <f t="shared" si="2"/>
        <v>48844</v>
      </c>
      <c r="M20" s="1340">
        <f t="shared" si="2"/>
        <v>48844</v>
      </c>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t="s">
        <v>2147</v>
      </c>
      <c r="C22" s="1338"/>
      <c r="D22" s="1339"/>
      <c r="E22" s="1340">
        <f>' SEFA (2)'!E18+' SEFA (2)'!E24+' SEFA (3)'!E15+' SEFA (3)'!E19+' SEFA (3)'!E24+' SEFA (4 )'!E15+' SEFA (4 )'!E20</f>
        <v>501704</v>
      </c>
      <c r="F22" s="1340">
        <f>' SEFA (2)'!F18+' SEFA (2)'!F24+' SEFA (3)'!F15+' SEFA (3)'!F19+' SEFA (3)'!F24+' SEFA (4 )'!F15+' SEFA (4 )'!F20</f>
        <v>620011</v>
      </c>
      <c r="G22" s="1340">
        <f>' SEFA (2)'!G18+' SEFA (2)'!G24+' SEFA (3)'!G15+' SEFA (3)'!G19+' SEFA (3)'!G24+' SEFA (4 )'!G15+' SEFA (4 )'!G20</f>
        <v>611842</v>
      </c>
      <c r="H22" s="1340">
        <f>' SEFA (2)'!H18+' SEFA (2)'!H24+' SEFA (3)'!H15+' SEFA (3)'!H19+' SEFA (3)'!H24+' SEFA (4 )'!H15+' SEFA (4 )'!H20</f>
        <v>0</v>
      </c>
      <c r="I22" s="1340">
        <f>' SEFA (2)'!I18+' SEFA (2)'!I24+' SEFA (3)'!I15+' SEFA (3)'!I19+' SEFA (3)'!I24+' SEFA (4 )'!I15+' SEFA (4 )'!I20</f>
        <v>595096</v>
      </c>
      <c r="J22" s="1340">
        <f>' SEFA (2)'!J18+' SEFA (2)'!J24+' SEFA (3)'!J15+' SEFA (3)'!J19+' SEFA (3)'!J24+' SEFA (4 )'!J15+' SEFA (4 )'!J20</f>
        <v>0</v>
      </c>
      <c r="K22" s="1340">
        <f>' SEFA (2)'!K18+' SEFA (2)'!K24+' SEFA (3)'!K15+' SEFA (3)'!K19+' SEFA (3)'!K24+' SEFA (4 )'!K15+' SEFA (4 )'!K20</f>
        <v>0</v>
      </c>
      <c r="L22" s="1340">
        <f>' SEFA (2)'!L18+' SEFA (2)'!L24+' SEFA (3)'!L15+' SEFA (3)'!L19+' SEFA (3)'!L24+' SEFA (4 )'!L15+' SEFA (4 )'!L20</f>
        <v>1206938</v>
      </c>
      <c r="M22" s="1340">
        <f>' SEFA (2)'!M18+' SEFA (2)'!M24+' SEFA (3)'!M15+' SEFA (3)'!M19+' SEFA (3)'!M24+' SEFA (4 )'!M15+' SEFA (4 )'!M20</f>
        <v>1227336</v>
      </c>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rintOptions horizontalCentered="1" verticalCentered="1"/>
  <pageMargins left="0.5" right="0.5" top="0.5" bottom="0.5" header="0.25" footer="0.4"/>
  <pageSetup scale="70" firstPageNumber="38" orientation="landscape" useFirstPageNumber="1" r:id="rId1"/>
  <headerFooter alignWithMargins="0">
    <oddHeader>&amp;L&amp;8Page 40&amp;R&amp;8Page 40</oddHeader>
    <oddFooter>&amp;CSee Independent Auditors' Report.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52"/>
  <sheetViews>
    <sheetView showGridLines="0" zoomScaleNormal="100" workbookViewId="0">
      <selection activeCell="I20" sqref="I20"/>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7" t="str">
        <f>'Single Audit Cover'!A7</f>
        <v>Egyptian CUSD 5</v>
      </c>
      <c r="C1" s="2438"/>
      <c r="D1" s="2438"/>
      <c r="E1" s="2438"/>
      <c r="F1" s="2438"/>
      <c r="G1" s="2438"/>
      <c r="H1" s="2438"/>
      <c r="I1" s="2438"/>
      <c r="J1" s="2438"/>
      <c r="K1" s="2438"/>
      <c r="L1" s="2438"/>
      <c r="M1" s="2438"/>
    </row>
    <row r="2" spans="2:14" ht="15" x14ac:dyDescent="0.2">
      <c r="B2" s="2439">
        <f>'Single Audit Cover'!E7</f>
        <v>30002005026</v>
      </c>
      <c r="C2" s="2439"/>
      <c r="D2" s="2439"/>
      <c r="E2" s="2439"/>
      <c r="F2" s="2439"/>
      <c r="G2" s="2439"/>
      <c r="H2" s="2439"/>
      <c r="I2" s="2439"/>
      <c r="J2" s="2439"/>
      <c r="K2" s="2439"/>
      <c r="L2" s="2439"/>
      <c r="M2" s="2439"/>
      <c r="N2" s="1299"/>
    </row>
    <row r="3" spans="2:14" ht="15" x14ac:dyDescent="0.2">
      <c r="B3" s="2440" t="s">
        <v>1219</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2148</v>
      </c>
      <c r="C11" s="1335"/>
      <c r="D11" s="1336"/>
      <c r="E11" s="1337"/>
      <c r="F11" s="1337"/>
      <c r="G11" s="1337"/>
      <c r="H11" s="1337"/>
      <c r="I11" s="1337"/>
      <c r="J11" s="1337"/>
      <c r="K11" s="1337"/>
      <c r="L11" s="1337"/>
      <c r="M11" s="1337"/>
    </row>
    <row r="12" spans="2:14" ht="20.100000000000001" customHeight="1" x14ac:dyDescent="0.2">
      <c r="B12" s="1334" t="s">
        <v>2149</v>
      </c>
      <c r="C12" s="1338"/>
      <c r="D12" s="1339"/>
      <c r="E12" s="1340"/>
      <c r="F12" s="1340"/>
      <c r="G12" s="1340"/>
      <c r="H12" s="1340"/>
      <c r="I12" s="1340"/>
      <c r="J12" s="1340"/>
      <c r="K12" s="1340"/>
      <c r="L12" s="1337"/>
      <c r="M12" s="1340"/>
    </row>
    <row r="13" spans="2:14" ht="20.100000000000001" customHeight="1" x14ac:dyDescent="0.2">
      <c r="B13" s="1334" t="s">
        <v>2150</v>
      </c>
      <c r="C13" s="1338"/>
      <c r="D13" s="1339"/>
      <c r="E13" s="1340"/>
      <c r="F13" s="1340"/>
      <c r="G13" s="1340"/>
      <c r="H13" s="1340"/>
      <c r="I13" s="1340"/>
      <c r="J13" s="1340"/>
      <c r="K13" s="1340"/>
      <c r="L13" s="1337"/>
      <c r="M13" s="1340"/>
    </row>
    <row r="14" spans="2:14" ht="20.100000000000001" customHeight="1" x14ac:dyDescent="0.2">
      <c r="B14" s="1334" t="s">
        <v>2151</v>
      </c>
      <c r="C14" s="1338">
        <v>93.778000000000006</v>
      </c>
      <c r="D14" s="1339" t="s">
        <v>2126</v>
      </c>
      <c r="E14" s="1340">
        <v>1941</v>
      </c>
      <c r="F14" s="1340"/>
      <c r="G14" s="1340">
        <v>1941</v>
      </c>
      <c r="H14" s="1340"/>
      <c r="I14" s="1340"/>
      <c r="J14" s="1340"/>
      <c r="K14" s="1340"/>
      <c r="L14" s="1337">
        <f>G14+H14+I14+J14+K14</f>
        <v>1941</v>
      </c>
      <c r="M14" s="1340"/>
    </row>
    <row r="15" spans="2:14" ht="20.100000000000001" customHeight="1" x14ac:dyDescent="0.2">
      <c r="B15" s="1334" t="s">
        <v>2151</v>
      </c>
      <c r="C15" s="1338">
        <v>93.778000000000006</v>
      </c>
      <c r="D15" s="1339" t="s">
        <v>2153</v>
      </c>
      <c r="E15" s="1340"/>
      <c r="F15" s="1340">
        <v>1254</v>
      </c>
      <c r="G15" s="1340"/>
      <c r="H15" s="1340"/>
      <c r="I15" s="1340">
        <v>2235</v>
      </c>
      <c r="J15" s="1340"/>
      <c r="K15" s="1340"/>
      <c r="L15" s="1337">
        <f>G15+H15+I15+J15+K15</f>
        <v>2235</v>
      </c>
      <c r="M15" s="1340"/>
    </row>
    <row r="16" spans="2:14" ht="20.100000000000001" customHeight="1" x14ac:dyDescent="0.2">
      <c r="B16" s="1334" t="s">
        <v>2152</v>
      </c>
      <c r="C16" s="1338"/>
      <c r="D16" s="1339"/>
      <c r="E16" s="1340">
        <f>E14+E15</f>
        <v>1941</v>
      </c>
      <c r="F16" s="1340">
        <f t="shared" ref="F16:M16" si="0">F14+F15</f>
        <v>1254</v>
      </c>
      <c r="G16" s="1340">
        <f t="shared" si="0"/>
        <v>1941</v>
      </c>
      <c r="H16" s="1340">
        <f t="shared" si="0"/>
        <v>0</v>
      </c>
      <c r="I16" s="1340">
        <f t="shared" si="0"/>
        <v>2235</v>
      </c>
      <c r="J16" s="1340">
        <f t="shared" si="0"/>
        <v>0</v>
      </c>
      <c r="K16" s="1340">
        <f t="shared" si="0"/>
        <v>0</v>
      </c>
      <c r="L16" s="1340">
        <f t="shared" si="0"/>
        <v>4176</v>
      </c>
      <c r="M16" s="1340">
        <f t="shared" si="0"/>
        <v>0</v>
      </c>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334" t="s">
        <v>2154</v>
      </c>
      <c r="C18" s="1338"/>
      <c r="D18" s="1339"/>
      <c r="E18" s="1340">
        <f>E16</f>
        <v>1941</v>
      </c>
      <c r="F18" s="1340">
        <f t="shared" ref="F18:M18" si="1">F16</f>
        <v>1254</v>
      </c>
      <c r="G18" s="1340">
        <f t="shared" si="1"/>
        <v>1941</v>
      </c>
      <c r="H18" s="1340">
        <f t="shared" si="1"/>
        <v>0</v>
      </c>
      <c r="I18" s="1340">
        <f t="shared" si="1"/>
        <v>2235</v>
      </c>
      <c r="J18" s="1340">
        <f t="shared" si="1"/>
        <v>0</v>
      </c>
      <c r="K18" s="1340">
        <f t="shared" si="1"/>
        <v>0</v>
      </c>
      <c r="L18" s="1340">
        <f t="shared" si="1"/>
        <v>4176</v>
      </c>
      <c r="M18" s="1340">
        <f t="shared" si="1"/>
        <v>0</v>
      </c>
    </row>
    <row r="19" spans="2:14" ht="20.100000000000001" customHeight="1" x14ac:dyDescent="0.2">
      <c r="B19" s="1334"/>
      <c r="C19" s="1338"/>
      <c r="D19" s="1339"/>
      <c r="E19" s="1340"/>
      <c r="F19" s="1340"/>
      <c r="G19" s="1340"/>
      <c r="H19" s="1340"/>
      <c r="I19" s="1340"/>
      <c r="J19" s="1340"/>
      <c r="K19" s="1340"/>
      <c r="L19" s="1337"/>
      <c r="M19" s="1340"/>
    </row>
    <row r="20" spans="2:14" ht="20.100000000000001" customHeight="1" x14ac:dyDescent="0.2">
      <c r="B20" s="1334" t="s">
        <v>2155</v>
      </c>
      <c r="C20" s="1338"/>
      <c r="D20" s="1339"/>
      <c r="E20" s="1340">
        <f>E18+' SEFA (2)'!E11+' SEFA (4 )'!E22</f>
        <v>759174</v>
      </c>
      <c r="F20" s="1340">
        <f>F18+' SEFA (2)'!F11+' SEFA (4 )'!F22</f>
        <v>921530</v>
      </c>
      <c r="G20" s="1340">
        <f>G18+' SEFA (2)'!G11+' SEFA (4 )'!G22</f>
        <v>869312</v>
      </c>
      <c r="H20" s="1340">
        <f>H18+' SEFA (2)'!H11+' SEFA (4 )'!H22</f>
        <v>0</v>
      </c>
      <c r="I20" s="1340">
        <f>I18+' SEFA (2)'!I11+' SEFA (4 )'!I22</f>
        <v>900638</v>
      </c>
      <c r="J20" s="1340">
        <f>J18+' SEFA (2)'!J11+' SEFA (4 )'!J22</f>
        <v>0</v>
      </c>
      <c r="K20" s="1340">
        <f>K18+' SEFA (2)'!K11+' SEFA (4 )'!K22</f>
        <v>0</v>
      </c>
      <c r="L20" s="1340">
        <f>L18+' SEFA (2)'!L11+' SEFA (4 )'!L22</f>
        <v>1769950</v>
      </c>
      <c r="M20" s="1340">
        <f>M18+' SEFA (2)'!M11+' SEFA (4 )'!M22</f>
        <v>1268336</v>
      </c>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c r="C22" s="1338"/>
      <c r="D22" s="1339"/>
      <c r="E22" s="1340"/>
      <c r="F22" s="1340"/>
      <c r="G22" s="1340"/>
      <c r="H22" s="1340"/>
      <c r="I22" s="1340"/>
      <c r="J22" s="1340"/>
      <c r="K22" s="1340"/>
      <c r="L22" s="1340"/>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rintOptions horizontalCentered="1" verticalCentered="1"/>
  <pageMargins left="0.5" right="0.5" top="0.5" bottom="0.5" header="0.25" footer="0.4"/>
  <pageSetup scale="70" firstPageNumber="38" orientation="landscape" useFirstPageNumber="1" r:id="rId1"/>
  <headerFooter alignWithMargins="0">
    <oddHeader>&amp;L&amp;8Page 40&amp;R&amp;8Page 40</oddHeader>
    <oddFooter>&amp;CSee Independent Auditors' Report.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52"/>
  <sheetViews>
    <sheetView showGridLines="0" topLeftCell="A28"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Egyptian CUSD 5</v>
      </c>
      <c r="B1" s="2451"/>
      <c r="C1" s="2451"/>
      <c r="D1" s="2451"/>
      <c r="E1" s="2451"/>
      <c r="F1" s="2451"/>
    </row>
    <row r="2" spans="1:7" ht="13.5" customHeight="1" x14ac:dyDescent="0.2">
      <c r="A2" s="2439">
        <f>'Single Audit Cover'!E7</f>
        <v>30002005026</v>
      </c>
      <c r="B2" s="2439"/>
      <c r="C2" s="2439"/>
      <c r="D2" s="2439"/>
      <c r="E2" s="2439"/>
      <c r="F2" s="2439"/>
      <c r="G2" s="1272"/>
    </row>
    <row r="3" spans="1:7" ht="15.75" customHeight="1" x14ac:dyDescent="0.2">
      <c r="A3" s="2452" t="s">
        <v>1271</v>
      </c>
      <c r="B3" s="2452"/>
      <c r="C3" s="2452"/>
      <c r="D3" s="2452"/>
      <c r="E3" s="2452"/>
      <c r="F3" s="2452"/>
    </row>
    <row r="4" spans="1:7" ht="13.5" customHeight="1" x14ac:dyDescent="0.2">
      <c r="A4" s="2453" t="str">
        <f>'Single Audit Cover'!A4</f>
        <v>Year Ending June 30, 2019</v>
      </c>
      <c r="B4" s="2453"/>
      <c r="C4" s="2453"/>
      <c r="D4" s="2453"/>
      <c r="E4" s="2453"/>
      <c r="F4" s="2453"/>
    </row>
    <row r="5" spans="1:7" ht="8.25" customHeight="1" x14ac:dyDescent="0.2">
      <c r="C5" s="317"/>
      <c r="D5" s="317"/>
    </row>
    <row r="6" spans="1:7" ht="13.5" customHeight="1" x14ac:dyDescent="0.2">
      <c r="A6" s="1273" t="s">
        <v>1728</v>
      </c>
      <c r="C6" s="317"/>
      <c r="D6" s="317"/>
    </row>
    <row r="7" spans="1:7" ht="60.95" customHeight="1" x14ac:dyDescent="0.2">
      <c r="A7" s="2450" t="s">
        <v>2166</v>
      </c>
      <c r="B7" s="2450"/>
      <c r="C7" s="2450"/>
      <c r="D7" s="2450"/>
      <c r="E7" s="2450"/>
      <c r="F7" s="2450"/>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2064</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50" t="s">
        <v>2167</v>
      </c>
      <c r="B13" s="2450"/>
      <c r="C13" s="2450"/>
      <c r="D13" s="2450"/>
      <c r="E13" s="2450"/>
      <c r="F13" s="2450"/>
    </row>
    <row r="14" spans="1:7" ht="9.75" customHeight="1" x14ac:dyDescent="0.2">
      <c r="C14" s="1257"/>
      <c r="D14" s="1257"/>
    </row>
    <row r="15" spans="1:7" ht="13.5" customHeight="1" x14ac:dyDescent="0.2">
      <c r="C15" s="1846" t="s">
        <v>1270</v>
      </c>
      <c r="D15" s="2448" t="s">
        <v>1269</v>
      </c>
      <c r="E15" s="2448"/>
      <c r="F15" s="2448"/>
    </row>
    <row r="16" spans="1:7" ht="13.5" customHeight="1" x14ac:dyDescent="0.2">
      <c r="A16" s="1279"/>
      <c r="B16" s="1273" t="s">
        <v>1268</v>
      </c>
      <c r="C16" s="1846" t="s">
        <v>1267</v>
      </c>
      <c r="D16" s="2449" t="s">
        <v>1588</v>
      </c>
      <c r="E16" s="2449"/>
      <c r="F16" s="2449"/>
    </row>
    <row r="17" spans="1:6" ht="20.45" customHeight="1" x14ac:dyDescent="0.2">
      <c r="A17" s="1280"/>
      <c r="B17" s="1281" t="s">
        <v>2102</v>
      </c>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4" t="s">
        <v>2168</v>
      </c>
      <c r="B32" s="2444"/>
      <c r="C32" s="2444"/>
      <c r="D32" s="2444"/>
      <c r="E32" s="2444"/>
      <c r="F32" s="2444"/>
    </row>
    <row r="33" spans="1:6" ht="13.5" customHeight="1" x14ac:dyDescent="0.2">
      <c r="A33" s="328" t="s">
        <v>1434</v>
      </c>
      <c r="B33" s="328"/>
      <c r="C33" s="1285">
        <v>0</v>
      </c>
      <c r="D33" s="1903"/>
      <c r="E33" s="1283"/>
    </row>
    <row r="34" spans="1:6" ht="13.5" customHeight="1" x14ac:dyDescent="0.2">
      <c r="A34" s="328" t="s">
        <v>1835</v>
      </c>
      <c r="B34" s="328"/>
      <c r="C34" s="1286">
        <v>0</v>
      </c>
      <c r="D34" s="1903" t="s">
        <v>1589</v>
      </c>
      <c r="E34" s="2445">
        <f>+C33+C34</f>
        <v>0</v>
      </c>
      <c r="F34" s="2446"/>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v>0</v>
      </c>
      <c r="D38" s="1903"/>
      <c r="E38" s="1283"/>
    </row>
    <row r="39" spans="1:6" ht="14.25" customHeight="1" x14ac:dyDescent="0.2">
      <c r="A39" s="328"/>
      <c r="B39" s="328" t="s">
        <v>1436</v>
      </c>
      <c r="C39" s="1289">
        <v>0</v>
      </c>
      <c r="D39" s="1903"/>
      <c r="E39" s="1283"/>
    </row>
    <row r="40" spans="1:6" ht="14.25" customHeight="1" x14ac:dyDescent="0.2">
      <c r="A40" s="328"/>
      <c r="B40" s="328" t="s">
        <v>1437</v>
      </c>
      <c r="C40" s="1289">
        <v>0</v>
      </c>
      <c r="D40" s="1903"/>
      <c r="E40" s="1283"/>
    </row>
    <row r="41" spans="1:6" ht="14.25" customHeight="1" x14ac:dyDescent="0.2">
      <c r="A41" s="328"/>
      <c r="B41" s="328" t="s">
        <v>1438</v>
      </c>
      <c r="C41" s="1289">
        <v>0</v>
      </c>
      <c r="D41" s="1903"/>
      <c r="E41" s="1283"/>
    </row>
    <row r="42" spans="1:6" ht="14.25" customHeight="1" x14ac:dyDescent="0.2">
      <c r="A42" s="328" t="s">
        <v>1439</v>
      </c>
      <c r="B42" s="328"/>
      <c r="C42" s="1901">
        <v>132977</v>
      </c>
      <c r="D42" s="1903"/>
      <c r="E42" s="1283"/>
    </row>
    <row r="43" spans="1:6" ht="14.25" customHeight="1" x14ac:dyDescent="0.2">
      <c r="A43" s="328" t="s">
        <v>1440</v>
      </c>
      <c r="B43" s="328"/>
      <c r="C43" s="1290" t="s">
        <v>383</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7" t="s">
        <v>1590</v>
      </c>
      <c r="C49" s="2447"/>
      <c r="D49" s="2447"/>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verticalCentered="1"/>
  <pageMargins left="1" right="1" top="0.93" bottom="0" header="0.51" footer="0.5"/>
  <pageSetup scale="75" firstPageNumber="39" orientation="portrait" useFirstPageNumber="1"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3"/>
  <sheetViews>
    <sheetView showGridLines="0" topLeftCell="A27" zoomScale="110" zoomScaleNormal="110" workbookViewId="0">
      <selection activeCell="D46" sqref="D46"/>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5" t="str">
        <f>'Single Audit Cover'!A7</f>
        <v>Egyptian CUSD 5</v>
      </c>
      <c r="C1" s="2466"/>
      <c r="D1" s="2466"/>
      <c r="E1" s="2466"/>
      <c r="F1" s="2466"/>
      <c r="G1" s="2466"/>
      <c r="H1" s="2466"/>
      <c r="I1" s="2466"/>
      <c r="J1" s="1406"/>
    </row>
    <row r="2" spans="2:10" s="317" customFormat="1" ht="12.75" customHeight="1" x14ac:dyDescent="0.2">
      <c r="B2" s="2467">
        <f>'Single Audit Cover'!E7</f>
        <v>30002005026</v>
      </c>
      <c r="C2" s="2468"/>
      <c r="D2" s="2468"/>
      <c r="E2" s="2468"/>
      <c r="F2" s="2468"/>
      <c r="G2" s="2468"/>
      <c r="H2" s="2468"/>
      <c r="I2" s="2468"/>
      <c r="J2" s="1406"/>
    </row>
    <row r="3" spans="2:10" s="317" customFormat="1" ht="12.75" customHeight="1" x14ac:dyDescent="0.2">
      <c r="B3" s="2469" t="s">
        <v>1285</v>
      </c>
      <c r="C3" s="2470"/>
      <c r="D3" s="2470"/>
      <c r="E3" s="2470"/>
      <c r="F3" s="2470"/>
      <c r="G3" s="2470"/>
      <c r="H3" s="2470"/>
      <c r="I3" s="2470"/>
      <c r="J3" s="1407"/>
    </row>
    <row r="4" spans="2:10" s="317" customFormat="1" ht="12.75" customHeight="1" x14ac:dyDescent="0.2">
      <c r="B4" s="2469" t="str">
        <f>'Single Audit Cover'!A4</f>
        <v>Year Ending June 30, 2019</v>
      </c>
      <c r="C4" s="2470"/>
      <c r="D4" s="2470"/>
      <c r="E4" s="2470"/>
      <c r="F4" s="2470"/>
      <c r="G4" s="2470"/>
      <c r="H4" s="2470"/>
      <c r="I4" s="247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9" t="s">
        <v>1284</v>
      </c>
      <c r="C7" s="2470"/>
      <c r="D7" s="2470"/>
      <c r="E7" s="2470"/>
      <c r="F7" s="2470"/>
      <c r="G7" s="2470"/>
      <c r="H7" s="2470"/>
      <c r="I7" s="247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1" t="s">
        <v>1164</v>
      </c>
      <c r="D11" s="247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t="s">
        <v>2064</v>
      </c>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2064</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2064</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2064</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2064</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2" t="s">
        <v>2156</v>
      </c>
      <c r="E29" s="2472"/>
      <c r="F29" s="2472"/>
      <c r="G29" s="2472"/>
      <c r="H29" s="2472"/>
      <c r="I29" s="2472"/>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2064</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73" t="s">
        <v>1748</v>
      </c>
      <c r="D37" s="2474"/>
      <c r="E37" s="2474"/>
      <c r="F37" s="2475"/>
      <c r="G37" s="2473" t="s">
        <v>1592</v>
      </c>
      <c r="H37" s="2474"/>
      <c r="I37" s="2475"/>
    </row>
    <row r="38" spans="2:9" ht="16.5" customHeight="1" x14ac:dyDescent="0.2">
      <c r="B38" s="1428">
        <v>84.01</v>
      </c>
      <c r="C38" s="2461" t="s">
        <v>2157</v>
      </c>
      <c r="D38" s="2462"/>
      <c r="E38" s="2462"/>
      <c r="F38" s="2463"/>
      <c r="G38" s="2476">
        <v>383645</v>
      </c>
      <c r="H38" s="2477"/>
      <c r="I38" s="2478"/>
    </row>
    <row r="39" spans="2:9" ht="16.5" customHeight="1" x14ac:dyDescent="0.2">
      <c r="B39" s="1428"/>
      <c r="C39" s="2461"/>
      <c r="D39" s="2462"/>
      <c r="E39" s="2462"/>
      <c r="F39" s="2463"/>
      <c r="G39" s="2464"/>
      <c r="H39" s="2464"/>
      <c r="I39" s="2464"/>
    </row>
    <row r="40" spans="2:9" ht="16.5" customHeight="1" x14ac:dyDescent="0.2">
      <c r="B40" s="1428"/>
      <c r="C40" s="2461"/>
      <c r="D40" s="2462"/>
      <c r="E40" s="2462"/>
      <c r="F40" s="2463"/>
      <c r="G40" s="2464"/>
      <c r="H40" s="2464"/>
      <c r="I40" s="2464"/>
    </row>
    <row r="41" spans="2:9" ht="16.5" customHeight="1" x14ac:dyDescent="0.2">
      <c r="B41" s="1428"/>
      <c r="C41" s="2461"/>
      <c r="D41" s="2462"/>
      <c r="E41" s="2462"/>
      <c r="F41" s="2463"/>
      <c r="G41" s="2464"/>
      <c r="H41" s="2464"/>
      <c r="I41" s="2464"/>
    </row>
    <row r="42" spans="2:9" ht="16.5" customHeight="1" x14ac:dyDescent="0.2">
      <c r="B42" s="1428"/>
      <c r="C42" s="2461"/>
      <c r="D42" s="2462"/>
      <c r="E42" s="2462"/>
      <c r="F42" s="2463"/>
      <c r="G42" s="2464"/>
      <c r="H42" s="2464"/>
      <c r="I42" s="2464"/>
    </row>
    <row r="43" spans="2:9" ht="16.5" customHeight="1" x14ac:dyDescent="0.2">
      <c r="B43" s="1428"/>
      <c r="C43" s="2454" t="s">
        <v>1593</v>
      </c>
      <c r="D43" s="2455"/>
      <c r="E43" s="2455"/>
      <c r="F43" s="2456"/>
      <c r="G43" s="2457">
        <f>SUM(G38:I42)</f>
        <v>383645</v>
      </c>
      <c r="H43" s="2457"/>
      <c r="I43" s="2457"/>
    </row>
    <row r="44" spans="2:9" ht="12.75" customHeight="1" x14ac:dyDescent="0.2"/>
    <row r="45" spans="2:9" ht="12.75" customHeight="1" x14ac:dyDescent="0.2">
      <c r="B45" s="1419" t="s">
        <v>1838</v>
      </c>
      <c r="D45" s="2458">
        <v>900638</v>
      </c>
      <c r="E45" s="2459"/>
    </row>
    <row r="46" spans="2:9" ht="5.25" customHeight="1" x14ac:dyDescent="0.2">
      <c r="B46" s="1429"/>
      <c r="D46" s="1430"/>
      <c r="E46" s="1431"/>
    </row>
    <row r="47" spans="2:9" ht="12.75" customHeight="1" x14ac:dyDescent="0.2">
      <c r="B47" s="1297" t="s">
        <v>1594</v>
      </c>
      <c r="C47" s="1297"/>
      <c r="D47" s="1432">
        <f>+G43/D45</f>
        <v>0.42597025664029275</v>
      </c>
      <c r="E47" s="1433"/>
      <c r="F47" s="1434"/>
      <c r="I47" s="1435"/>
    </row>
    <row r="48" spans="2:9" ht="9.9499999999999993" customHeight="1" x14ac:dyDescent="0.2"/>
    <row r="49" spans="1:9" x14ac:dyDescent="0.2">
      <c r="B49" s="1365" t="s">
        <v>1273</v>
      </c>
      <c r="C49" s="1279"/>
      <c r="D49" s="1279"/>
      <c r="E49" s="2460">
        <v>750000</v>
      </c>
      <c r="F49" s="2460"/>
      <c r="G49" s="2460"/>
      <c r="H49" s="322"/>
    </row>
    <row r="51" spans="1:9" ht="13.5" customHeight="1" x14ac:dyDescent="0.2">
      <c r="B51" s="1365" t="s">
        <v>1272</v>
      </c>
      <c r="C51" s="1279"/>
      <c r="E51" s="1422"/>
      <c r="F51" s="1297" t="s">
        <v>885</v>
      </c>
      <c r="G51" s="1422" t="s">
        <v>2064</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verticalCentered="1"/>
  <pageMargins left="0.25" right="0.25" top="0.46" bottom="0.49" header="0.26" footer="0.28999999999999998"/>
  <pageSetup scale="85"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zoomScale="110" zoomScaleNormal="110" workbookViewId="0">
      <selection activeCell="P26" sqref="P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5" t="str">
        <f>'Single Audit Cover'!A7</f>
        <v>Egyptian CUSD 5</v>
      </c>
      <c r="C1" s="2465"/>
      <c r="D1" s="2465"/>
      <c r="E1" s="2465"/>
      <c r="F1" s="2465"/>
      <c r="G1" s="2465"/>
      <c r="H1" s="2465"/>
      <c r="I1" s="2465"/>
      <c r="J1" s="2465"/>
      <c r="K1" s="2465"/>
      <c r="L1" s="1371"/>
      <c r="M1" s="1371"/>
    </row>
    <row r="2" spans="1:13" ht="12" customHeight="1" x14ac:dyDescent="0.2">
      <c r="B2" s="2467">
        <f>'Single Audit Cover'!E7</f>
        <v>30002005026</v>
      </c>
      <c r="C2" s="2467"/>
      <c r="D2" s="2467"/>
      <c r="E2" s="2467"/>
      <c r="F2" s="2467"/>
      <c r="G2" s="2467"/>
      <c r="H2" s="2467"/>
      <c r="I2" s="2467"/>
      <c r="J2" s="2467"/>
      <c r="K2" s="2467"/>
      <c r="L2" s="1372"/>
      <c r="M2" s="1373"/>
    </row>
    <row r="3" spans="1:13" ht="10.35" customHeight="1" x14ac:dyDescent="0.2">
      <c r="B3" s="2481" t="s">
        <v>1285</v>
      </c>
      <c r="C3" s="2481"/>
      <c r="D3" s="2481"/>
      <c r="E3" s="2481"/>
      <c r="F3" s="2481"/>
      <c r="G3" s="2481"/>
      <c r="H3" s="2481"/>
      <c r="I3" s="2481"/>
      <c r="J3" s="2481"/>
      <c r="K3" s="2481"/>
      <c r="L3" s="1374"/>
      <c r="M3" s="1374"/>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2" t="s">
        <v>1296</v>
      </c>
      <c r="C7" s="2482"/>
      <c r="D7" s="2483"/>
      <c r="E7" s="2483"/>
      <c r="F7" s="2483"/>
      <c r="G7" s="2483"/>
      <c r="H7" s="2483"/>
      <c r="I7" s="2483"/>
      <c r="J7" s="2483"/>
      <c r="K7" s="248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1988</v>
      </c>
      <c r="D10" s="1383">
        <v>1</v>
      </c>
      <c r="E10" s="322"/>
      <c r="F10" s="1384" t="s">
        <v>1295</v>
      </c>
      <c r="G10" s="1385" t="s">
        <v>2064</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0" t="s">
        <v>2158</v>
      </c>
      <c r="C14" s="2480"/>
      <c r="D14" s="2480"/>
      <c r="E14" s="2480"/>
      <c r="F14" s="2480"/>
      <c r="G14" s="2480"/>
      <c r="H14" s="2480"/>
      <c r="I14" s="2480"/>
      <c r="J14" s="2480"/>
      <c r="K14" s="2480"/>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0" t="s">
        <v>2165</v>
      </c>
      <c r="C17" s="2480"/>
      <c r="D17" s="2480"/>
      <c r="E17" s="2480"/>
      <c r="F17" s="2480"/>
      <c r="G17" s="2480"/>
      <c r="H17" s="2480"/>
      <c r="I17" s="2480"/>
      <c r="J17" s="2480"/>
      <c r="K17" s="2480"/>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4" t="s">
        <v>2161</v>
      </c>
      <c r="C20" s="2484"/>
      <c r="D20" s="2480"/>
      <c r="E20" s="2480"/>
      <c r="F20" s="2480"/>
      <c r="G20" s="2480"/>
      <c r="H20" s="2480"/>
      <c r="I20" s="2480"/>
      <c r="J20" s="2480"/>
      <c r="K20" s="2480"/>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0" t="s">
        <v>2162</v>
      </c>
      <c r="C23" s="2480"/>
      <c r="D23" s="2480"/>
      <c r="E23" s="2480"/>
      <c r="F23" s="2480"/>
      <c r="G23" s="2480"/>
      <c r="H23" s="2480"/>
      <c r="I23" s="2480"/>
      <c r="J23" s="2480"/>
      <c r="K23" s="2480"/>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4" t="s">
        <v>2163</v>
      </c>
      <c r="C26" s="2484"/>
      <c r="D26" s="2480"/>
      <c r="E26" s="2480"/>
      <c r="F26" s="2480"/>
      <c r="G26" s="2480"/>
      <c r="H26" s="2480"/>
      <c r="I26" s="2480"/>
      <c r="J26" s="2480"/>
      <c r="K26" s="2480"/>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9" t="s">
        <v>2164</v>
      </c>
      <c r="C29" s="2479"/>
      <c r="D29" s="2480"/>
      <c r="E29" s="2480"/>
      <c r="F29" s="2480"/>
      <c r="G29" s="2480"/>
      <c r="H29" s="2480"/>
      <c r="I29" s="2480"/>
      <c r="J29" s="2480"/>
      <c r="K29" s="248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9" t="s">
        <v>2159</v>
      </c>
      <c r="C32" s="2479"/>
      <c r="D32" s="2480"/>
      <c r="E32" s="2480"/>
      <c r="F32" s="2480"/>
      <c r="G32" s="2480"/>
      <c r="H32" s="2480"/>
      <c r="I32" s="2480"/>
      <c r="J32" s="2480"/>
      <c r="K32" s="2480"/>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5" right="0.5" top="0.68" bottom="0.47" header="0.26" footer="0.31"/>
  <pageSetup scale="90"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8" t="str">
        <f>'Single Audit Cover'!A7</f>
        <v>Egyptian CUSD 5</v>
      </c>
      <c r="C1" s="2488"/>
      <c r="D1" s="2488"/>
      <c r="E1" s="2488"/>
      <c r="F1" s="2488"/>
      <c r="G1" s="2488"/>
      <c r="H1" s="2488"/>
      <c r="I1" s="2488"/>
      <c r="J1" s="2488"/>
      <c r="K1" s="2488"/>
      <c r="L1" s="1449"/>
    </row>
    <row r="2" spans="1:12" ht="12.75" customHeight="1" x14ac:dyDescent="0.2">
      <c r="B2" s="2489">
        <f>'Single Audit Cover'!E7</f>
        <v>30002005026</v>
      </c>
      <c r="C2" s="2489"/>
      <c r="D2" s="2489"/>
      <c r="E2" s="2489"/>
      <c r="F2" s="2489"/>
      <c r="G2" s="2489"/>
      <c r="H2" s="2489"/>
      <c r="I2" s="2489"/>
      <c r="J2" s="2489"/>
      <c r="K2" s="2489"/>
      <c r="L2" s="1450"/>
    </row>
    <row r="3" spans="1:12" ht="12.75" customHeight="1" x14ac:dyDescent="0.2">
      <c r="B3" s="2481" t="s">
        <v>1285</v>
      </c>
      <c r="C3" s="2481"/>
      <c r="D3" s="2481"/>
      <c r="E3" s="2481"/>
      <c r="F3" s="2481"/>
      <c r="G3" s="2481"/>
      <c r="H3" s="2481"/>
      <c r="I3" s="2481"/>
      <c r="J3" s="2481"/>
      <c r="K3" s="2481"/>
      <c r="L3" s="1374"/>
    </row>
    <row r="4" spans="1:12" ht="12.75" customHeight="1" x14ac:dyDescent="0.2">
      <c r="B4" s="2481" t="str">
        <f>'Single Audit Cover'!A4</f>
        <v>Year Ending June 30, 2019</v>
      </c>
      <c r="C4" s="2481"/>
      <c r="D4" s="2481"/>
      <c r="E4" s="2481"/>
      <c r="F4" s="2481"/>
      <c r="G4" s="2481"/>
      <c r="H4" s="2481"/>
      <c r="I4" s="2481"/>
      <c r="J4" s="2481"/>
      <c r="K4" s="2481"/>
      <c r="L4" s="1374"/>
    </row>
    <row r="5" spans="1:12" ht="5.25" customHeight="1" x14ac:dyDescent="0.2">
      <c r="B5" s="1257" t="s">
        <v>1169</v>
      </c>
      <c r="C5" s="1257"/>
      <c r="L5" s="322"/>
    </row>
    <row r="6" spans="1:12" ht="30.75" customHeight="1" x14ac:dyDescent="0.2">
      <c r="A6" s="322"/>
      <c r="B6" s="2490" t="s">
        <v>1308</v>
      </c>
      <c r="C6" s="2490"/>
      <c r="D6" s="2490"/>
      <c r="E6" s="2490"/>
      <c r="F6" s="2490"/>
      <c r="G6" s="2490"/>
      <c r="H6" s="2490"/>
      <c r="I6" s="2490"/>
      <c r="J6" s="2490"/>
      <c r="K6" s="2490"/>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1988</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2"/>
      <c r="G12" s="2472"/>
      <c r="H12" s="2472"/>
      <c r="I12" s="2472"/>
      <c r="J12" s="2472"/>
      <c r="K12" s="247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0"/>
      <c r="C20" s="2480"/>
      <c r="D20" s="2480"/>
      <c r="E20" s="2480"/>
      <c r="F20" s="2480"/>
      <c r="G20" s="2480"/>
      <c r="H20" s="2480"/>
      <c r="I20" s="2480"/>
      <c r="J20" s="2480"/>
      <c r="K20" s="2480"/>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80"/>
      <c r="C23" s="2480"/>
      <c r="D23" s="2480"/>
      <c r="E23" s="2480"/>
      <c r="F23" s="2480"/>
      <c r="G23" s="2480"/>
      <c r="H23" s="2480"/>
      <c r="I23" s="2480"/>
      <c r="J23" s="2480"/>
      <c r="K23" s="2480"/>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80"/>
      <c r="C26" s="2480"/>
      <c r="D26" s="2480"/>
      <c r="E26" s="2480"/>
      <c r="F26" s="2480"/>
      <c r="G26" s="2480"/>
      <c r="H26" s="2480"/>
      <c r="I26" s="2480"/>
      <c r="J26" s="2480"/>
      <c r="K26" s="2480"/>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80"/>
      <c r="C29" s="2480"/>
      <c r="D29" s="2480"/>
      <c r="E29" s="2480"/>
      <c r="F29" s="2480"/>
      <c r="G29" s="2480"/>
      <c r="H29" s="2480"/>
      <c r="I29" s="2480"/>
      <c r="J29" s="2480"/>
      <c r="K29" s="2480"/>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0"/>
      <c r="C32" s="2480"/>
      <c r="D32" s="2480"/>
      <c r="E32" s="2480"/>
      <c r="F32" s="2480"/>
      <c r="G32" s="2480"/>
      <c r="H32" s="2480"/>
      <c r="I32" s="2480"/>
      <c r="J32" s="2480"/>
      <c r="K32" s="2480"/>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0"/>
      <c r="C35" s="2480"/>
      <c r="D35" s="2480"/>
      <c r="E35" s="2480"/>
      <c r="F35" s="2480"/>
      <c r="G35" s="2480"/>
      <c r="H35" s="2480"/>
      <c r="I35" s="2480"/>
      <c r="J35" s="2480"/>
      <c r="K35" s="2480"/>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0"/>
      <c r="C38" s="2480"/>
      <c r="D38" s="2480"/>
      <c r="E38" s="2480"/>
      <c r="F38" s="2480"/>
      <c r="G38" s="2480"/>
      <c r="H38" s="2480"/>
      <c r="I38" s="2480"/>
      <c r="J38" s="2480"/>
      <c r="K38" s="2480"/>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80"/>
      <c r="C41" s="2480"/>
      <c r="D41" s="2480"/>
      <c r="E41" s="2480"/>
      <c r="F41" s="2480"/>
      <c r="G41" s="2480"/>
      <c r="H41" s="2480"/>
      <c r="I41" s="2480"/>
      <c r="J41" s="2480"/>
      <c r="K41" s="2480"/>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verticalCentered="1"/>
  <pageMargins left="0.32" right="0.32" top="0.44" bottom="0.27" header="0.26" footer="0.18"/>
  <pageSetup scale="90"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73"/>
  <sheetViews>
    <sheetView showGridLines="0" zoomScale="110" zoomScaleNormal="110" workbookViewId="0">
      <selection activeCell="F14" sqref="F1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5" t="str">
        <f>'Single Audit Cover'!A7</f>
        <v>Egyptian CUSD 5</v>
      </c>
      <c r="C1" s="2465"/>
      <c r="D1" s="2465"/>
      <c r="E1" s="1469"/>
    </row>
    <row r="2" spans="2:5" s="1279" customFormat="1" ht="12.75" customHeight="1" x14ac:dyDescent="0.2">
      <c r="B2" s="2467">
        <f>'Single Audit Cover'!E7</f>
        <v>30002005026</v>
      </c>
      <c r="C2" s="2467"/>
      <c r="D2" s="2467"/>
      <c r="E2" s="1470"/>
    </row>
    <row r="3" spans="2:5" ht="12.75" customHeight="1" x14ac:dyDescent="0.2">
      <c r="B3" s="2481" t="s">
        <v>1763</v>
      </c>
      <c r="C3" s="2481"/>
      <c r="D3" s="2481"/>
      <c r="E3" s="1271"/>
    </row>
    <row r="4" spans="2:5" s="1279" customFormat="1" ht="12.75" customHeight="1" x14ac:dyDescent="0.2">
      <c r="B4" s="2491" t="str">
        <f>'Single Audit Cover'!A4</f>
        <v>Year Ending June 30, 2019</v>
      </c>
      <c r="C4" s="2491"/>
      <c r="D4" s="2491"/>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2160</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rintOptions horizontalCentered="1" verticalCentered="1"/>
  <pageMargins left="0.32" right="0.32" top="0.52" bottom="0.57999999999999996" header="0.26" footer="0.26"/>
  <pageSetup scale="90"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http://schemas.microsoft.com/office/2006/metadata/properties"/>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http://schemas.openxmlformats.org/package/2006/metadata/core-properties"/>
    <ds:schemaRef ds:uri="4d435f69-8686-490b-bd6d-b153bf22ab50"/>
    <ds:schemaRef ds:uri="d21dc803-237d-4c68-8692-8d731fd29118"/>
    <ds:schemaRef ds:uri="http://schemas.microsoft.com/sharepoint/v3"/>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21</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(4 )</vt:lpstr>
      <vt:lpstr> SEFA (5)</vt:lpstr>
      <vt:lpstr>SEFA NOTES</vt:lpstr>
      <vt:lpstr>SF&amp;QC Sec-1</vt:lpstr>
      <vt:lpstr>SF&amp;QC Sec-2</vt:lpstr>
      <vt:lpstr>SF&amp;QC Sec-3</vt:lpstr>
      <vt:lpstr>SSPAF</vt:lpstr>
      <vt:lpstr>' SEFA'!Print_Area</vt:lpstr>
      <vt:lpstr>' SEFA (2)'!Print_Area</vt:lpstr>
      <vt:lpstr>' SEFA (3)'!Print_Area</vt:lpstr>
      <vt:lpstr>' SEFA (4 )'!Print_Area</vt:lpstr>
      <vt:lpstr>' SEFA (5)'!Print_Area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2019-11-01T20:57:36Z</cp:lastPrinted>
  <dcterms:created xsi:type="dcterms:W3CDTF">2003-10-29T19:06:34Z</dcterms:created>
  <dcterms:modified xsi:type="dcterms:W3CDTF">2019-12-23T15:53:09Z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