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5440" windowHeight="15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1" sheetId="183" r:id="rId28"/>
    <sheet name="SEFA-2" sheetId="184" r:id="rId29"/>
    <sheet name="SEFA-3" sheetId="185" r:id="rId30"/>
    <sheet name="SEFA-4" sheetId="186"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3" i="127" l="1"/>
  <c r="F31" i="127"/>
  <c r="F27" i="127"/>
  <c r="F14" i="127" l="1"/>
  <c r="M19" i="186" l="1"/>
  <c r="K19" i="186"/>
  <c r="J19" i="186"/>
  <c r="H19" i="186"/>
  <c r="G19" i="186"/>
  <c r="E19" i="186"/>
  <c r="M17" i="186"/>
  <c r="K17" i="186"/>
  <c r="J17" i="186"/>
  <c r="I17" i="186"/>
  <c r="H17" i="186"/>
  <c r="G17" i="186"/>
  <c r="E17" i="186"/>
  <c r="M15" i="186"/>
  <c r="K15" i="186"/>
  <c r="J15" i="186"/>
  <c r="I15" i="186"/>
  <c r="H15" i="186"/>
  <c r="G15" i="186"/>
  <c r="F15" i="186"/>
  <c r="F17" i="186" s="1"/>
  <c r="F19" i="186" s="1"/>
  <c r="E15" i="186"/>
  <c r="M26" i="185"/>
  <c r="K26" i="185"/>
  <c r="J26" i="185"/>
  <c r="I26" i="185"/>
  <c r="H26" i="185"/>
  <c r="G26" i="185"/>
  <c r="F26" i="185"/>
  <c r="E26" i="185"/>
  <c r="M24" i="185"/>
  <c r="K24" i="185"/>
  <c r="J24" i="185"/>
  <c r="I24" i="185"/>
  <c r="H24" i="185"/>
  <c r="G24" i="185"/>
  <c r="F24" i="185"/>
  <c r="E24" i="185"/>
  <c r="M20" i="185"/>
  <c r="K20" i="185"/>
  <c r="J20" i="185"/>
  <c r="I20" i="185"/>
  <c r="H20" i="185"/>
  <c r="G20" i="185"/>
  <c r="F20" i="185"/>
  <c r="E20" i="185"/>
  <c r="M15" i="185"/>
  <c r="K15" i="185"/>
  <c r="J15" i="185"/>
  <c r="I15" i="185"/>
  <c r="H15" i="185"/>
  <c r="G15" i="185"/>
  <c r="L15" i="185" s="1"/>
  <c r="F15" i="185"/>
  <c r="E15" i="185"/>
  <c r="L17" i="186"/>
  <c r="L14" i="186"/>
  <c r="L13" i="186"/>
  <c r="B4" i="186"/>
  <c r="M22" i="184"/>
  <c r="K22" i="184"/>
  <c r="J22" i="184"/>
  <c r="H22" i="184"/>
  <c r="G22" i="184"/>
  <c r="F22" i="184"/>
  <c r="E22" i="184"/>
  <c r="M20" i="184"/>
  <c r="K20" i="184"/>
  <c r="J20" i="184"/>
  <c r="I20" i="184"/>
  <c r="H20" i="184"/>
  <c r="G20" i="184"/>
  <c r="F20" i="184"/>
  <c r="E20" i="184"/>
  <c r="M16" i="184"/>
  <c r="K16" i="184"/>
  <c r="J16" i="184"/>
  <c r="H16" i="184"/>
  <c r="G16" i="184"/>
  <c r="F16" i="184"/>
  <c r="E16" i="184"/>
  <c r="M14" i="184"/>
  <c r="K14" i="184"/>
  <c r="J14" i="184"/>
  <c r="I14" i="184"/>
  <c r="I16" i="184" s="1"/>
  <c r="I22" i="184" s="1"/>
  <c r="H14" i="184"/>
  <c r="G14" i="184"/>
  <c r="F14" i="184"/>
  <c r="E14" i="184"/>
  <c r="M24" i="183"/>
  <c r="K24" i="183"/>
  <c r="J24" i="183"/>
  <c r="I24" i="183"/>
  <c r="H24" i="183"/>
  <c r="G24" i="183"/>
  <c r="F24" i="183"/>
  <c r="E24" i="183"/>
  <c r="M15" i="183"/>
  <c r="K15" i="183"/>
  <c r="J15" i="183"/>
  <c r="I15" i="183"/>
  <c r="H15" i="183"/>
  <c r="G15" i="183"/>
  <c r="F15" i="183"/>
  <c r="E15" i="183"/>
  <c r="L26" i="185"/>
  <c r="L24" i="185"/>
  <c r="L23" i="185"/>
  <c r="L20" i="185"/>
  <c r="L19" i="185"/>
  <c r="L18" i="185"/>
  <c r="L14" i="185"/>
  <c r="L13" i="185"/>
  <c r="B4" i="185"/>
  <c r="L27" i="184"/>
  <c r="L26" i="184"/>
  <c r="L20" i="184"/>
  <c r="L19" i="184"/>
  <c r="L13" i="184"/>
  <c r="B4" i="184"/>
  <c r="L24" i="183"/>
  <c r="L23" i="183"/>
  <c r="L22" i="183"/>
  <c r="L21" i="183"/>
  <c r="L20" i="183"/>
  <c r="L19" i="183"/>
  <c r="L18" i="183"/>
  <c r="L14" i="183"/>
  <c r="L13" i="183"/>
  <c r="B4" i="183"/>
  <c r="L22" i="184" l="1"/>
  <c r="I19" i="186"/>
  <c r="L19" i="186" s="1"/>
  <c r="L15" i="186"/>
  <c r="L16" i="184"/>
  <c r="L14" i="184"/>
  <c r="L15"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3"/>
  <c r="B1" i="184"/>
  <c r="B2" i="184"/>
  <c r="B2" i="186"/>
  <c r="B2" i="185"/>
  <c r="B2" i="183"/>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E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L22" i="37"/>
  <c r="D24" i="37"/>
  <c r="B4270" i="106" s="1"/>
  <c r="D4270" i="106" s="1"/>
  <c r="D9" i="7"/>
  <c r="B1767" i="106" s="1"/>
  <c r="D1767" i="106" s="1"/>
  <c r="D17" i="7"/>
  <c r="B4104" i="106" s="1"/>
  <c r="D4104" i="106" s="1"/>
  <c r="H33" i="118" l="1"/>
  <c r="L15" i="11"/>
  <c r="B3459" i="106" s="1"/>
  <c r="D3459" i="106" s="1"/>
  <c r="C342" i="29"/>
  <c r="B7216" i="106" s="1"/>
  <c r="D7216" i="106" s="1"/>
  <c r="F38" i="34"/>
  <c r="F19" i="7"/>
  <c r="B1807" i="106" s="1"/>
  <c r="D1807" i="106" s="1"/>
  <c r="F70" i="34"/>
  <c r="F62" i="34"/>
  <c r="G38" i="108"/>
  <c r="F26" i="108"/>
  <c r="B6995" i="106"/>
  <c r="D6995" i="106" s="1"/>
  <c r="J22" i="37"/>
  <c r="F34" i="34"/>
  <c r="E38" i="108"/>
  <c r="G30" i="108"/>
  <c r="F28" i="108"/>
  <c r="F41" i="108" s="1"/>
  <c r="G43" i="108" s="1"/>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B6216" i="106" s="1"/>
  <c r="D6216" i="106" s="1"/>
  <c r="K184" i="29"/>
  <c r="F13" i="4" s="1"/>
  <c r="B2596" i="106" s="1"/>
  <c r="D2596" i="106" s="1"/>
  <c r="G210" i="29"/>
  <c r="G15" i="145"/>
  <c r="K41" i="3"/>
  <c r="C129" i="29"/>
  <c r="C151" i="29" s="1"/>
  <c r="B1226" i="106" s="1"/>
  <c r="D1226" i="106" s="1"/>
  <c r="L367" i="29"/>
  <c r="D7245" i="106"/>
  <c r="D6103" i="106"/>
  <c r="B3647" i="106"/>
  <c r="D3647" i="106" s="1"/>
  <c r="C352" i="29"/>
  <c r="K76" i="4"/>
  <c r="B3586" i="106" s="1"/>
  <c r="D3586" i="106" s="1"/>
  <c r="L13" i="11"/>
  <c r="B2060" i="106" s="1"/>
  <c r="D2060" i="106" s="1"/>
  <c r="B1308" i="106"/>
  <c r="D1308" i="106" s="1"/>
  <c r="E174" i="29"/>
  <c r="B1309" i="106" s="1"/>
  <c r="D1309" i="106" s="1"/>
  <c r="K28" i="118"/>
  <c r="O27" i="118" s="1"/>
  <c r="O29" i="118" s="1"/>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1317" i="106" l="1"/>
  <c r="D1317" i="106" s="1"/>
  <c r="C114" i="29"/>
  <c r="B757" i="106" s="1"/>
  <c r="D757" i="106" s="1"/>
  <c r="F174" i="34"/>
  <c r="B5527" i="106"/>
  <c r="D5527" i="106" s="1"/>
  <c r="D44" i="36"/>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3" i="106"/>
  <c r="D6223" i="106" s="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<sst xmlns="http://schemas.openxmlformats.org/spreadsheetml/2006/main" count="5342" uniqueCount="2177">
  <si>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</si>
  <si>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</si>
  <si>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</si>
  <si>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</si>
  <si>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</si>
  <si>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</si>
  <si>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</si>
  <si>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</si>
  <si>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</si>
  <si>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</si>
  <si>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</si>
  <si>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</si>
  <si>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</si>
  <si>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</si>
  <si>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</si>
  <si>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</si>
  <si>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</si>
  <si>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</si>
  <si>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</si>
  <si>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</si>
  <si>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</si>
  <si>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</si>
  <si>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</si>
  <si>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</si>
  <si>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</si>
  <si>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</si>
  <si>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</si>
  <si>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</si>
  <si>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</si>
  <si>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</si>
  <si>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</si>
  <si>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</si>
  <si>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</si>
  <si>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</si>
  <si>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</si>
  <si>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</si>
  <si>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</si>
  <si>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</si>
  <si>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</si>
  <si>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</si>
  <si>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</si>
  <si>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</si>
  <si>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</si>
  <si>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</si>
  <si>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</si>
  <si>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</si>
  <si>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</si>
  <si>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</si>
  <si>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</si>
  <si>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</si>
  <si>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</si>
  <si>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</si>
  <si>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</si>
  <si>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</si>
  <si>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</si>
  <si>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</si>
  <si>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</si>
  <si>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</si>
  <si>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</si>
  <si>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</si>
  <si>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</si>
  <si>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</si>
  <si>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</si>
  <si>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</si>
  <si>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</si>
  <si>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</si>
  <si>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</si>
  <si>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</si>
  <si>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</si>
  <si>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</si>
  <si>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</si>
  <si>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</si>
  <si>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</si>
  <si>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</si>
  <si>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</si>
  <si>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</si>
  <si>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</si>
  <si>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</si>
  <si>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</si>
  <si>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</si>
  <si>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</si>
  <si>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</si>
  <si>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</si>
  <si>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</si>
  <si>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</si>
  <si>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</si>
  <si>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</si>
  <si>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</si>
  <si>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</si>
  <si>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</si>
  <si>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</si>
  <si>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</si>
  <si>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</si>
  <si>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</si>
  <si>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</si>
  <si>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</si>
  <si>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</si>
  <si>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</si>
  <si>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</si>
  <si>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</si>
  <si>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</si>
  <si>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</si>
  <si>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</si>
  <si>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</si>
  <si>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</si>
  <si>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</si>
  <si>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</si>
  <si>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</si>
  <si>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</si>
  <si>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</si>
  <si>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</si>
  <si>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</si>
  <si>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</si>
  <si>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</si>
  <si>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</si>
  <si>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</si>
  <si>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</si>
  <si>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</si>
  <si>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</si>
  <si>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</si>
  <si>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</si>
  <si>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</si>
  <si>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</si>
  <si>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</si>
  <si>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</si>
  <si>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</si>
  <si>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</si>
  <si>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</si>
  <si>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</si>
  <si>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</si>
  <si>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</si>
  <si>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</si>
  <si>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</si>
  <si>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</si>
  <si>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</si>
  <si>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</si>
  <si>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</si>
  <si>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</si>
  <si>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</si>
  <si>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</si>
  <si>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</si>
  <si>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</si>
  <si>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</si>
  <si>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</si>
  <si>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</si>
  <si>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</si>
  <si>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</si>
  <si>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</si>
  <si>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</si>
  <si>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</si>
  <si>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</si>
  <si>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</si>
  <si>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</si>
  <si>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</si>
  <si>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</si>
  <si>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</si>
  <si>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</si>
  <si>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</si>
  <si>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</si>
  <si>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</si>
  <si>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</si>
  <si>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</si>
  <si>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</si>
  <si>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</si>
  <si>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</si>
  <si>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</si>
  <si>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</si>
  <si>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</si>
  <si>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</si>
  <si>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</si>
  <si>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</si>
  <si>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</si>
  <si>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</si>
  <si>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</si>
  <si>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</si>
  <si>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</si>
  <si>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</si>
  <si>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</si>
  <si>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</si>
  <si>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</si>
  <si>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</si>
  <si>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</si>
  <si>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</si>
  <si>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</si>
  <si>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</si>
  <si>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</si>
  <si>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</si>
  <si>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</si>
  <si>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</si>
  <si>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</si>
  <si>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</si>
  <si>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</si>
  <si>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</si>
  <si>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</si>
  <si>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</si>
  <si>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</si>
  <si>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</si>
  <si>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</si>
  <si>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</si>
  <si>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</si>
  <si>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</si>
  <si>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</si>
  <si>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</si>
  <si>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</si>
  <si>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</si>
  <si>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</si>
  <si>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</si>
  <si>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</si>
  <si>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</si>
  <si>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</si>
  <si>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</si>
  <si>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</si>
  <si>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</si>
  <si>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</si>
  <si>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</si>
  <si>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</si>
  <si>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</si>
  <si>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</si>
  <si>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</si>
  <si>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</si>
  <si>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</si>
  <si>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</si>
  <si>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</si>
  <si>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</si>
  <si>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</si>
  <si>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</si>
  <si>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</si>
  <si>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</si>
  <si>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</si>
  <si>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</si>
  <si>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</si>
  <si>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</si>
  <si>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</si>
  <si>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</si>
  <si>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</si>
  <si>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</si>
  <si>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</si>
  <si>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</si>
  <si>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</si>
  <si>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</si>
  <si>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</si>
  <si>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</si>
  <si>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</si>
  <si>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</si>
  <si>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</si>
  <si>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</si>
  <si>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</si>
  <si>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</si>
  <si>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</si>
  <si>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</si>
  <si>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</si>
  <si>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</si>
  <si>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</si>
  <si>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</si>
  <si>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</si>
  <si>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</si>
  <si>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</si>
  <si>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</si>
  <si>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</si>
  <si>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</si>
  <si>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</si>
  <si>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</si>
  <si>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</si>
  <si>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</si>
  <si>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</si>
  <si>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</si>
  <si>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</si>
  <si>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</si>
  <si>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</si>
  <si>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</si>
  <si>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</si>
  <si>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</si>
  <si>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</si>
  <si>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</si>
  <si>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</si>
  <si>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</si>
  <si>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</si>
  <si>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</si>
  <si>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</si>
  <si>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</si>
  <si>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</si>
  <si>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</si>
  <si>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</si>
  <si>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</si>
  <si>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</si>
  <si>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</si>
  <si>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</si>
  <si>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</si>
  <si>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</si>
  <si>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</si>
  <si>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</si>
  <si>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</si>
  <si>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</si>
  <si>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</si>
  <si>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</si>
  <si>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</si>
  <si>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</si>
  <si>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</si>
  <si>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</si>
  <si>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</si>
  <si>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</si>
  <si>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</si>
  <si>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</si>
  <si>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</si>
  <si>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</si>
  <si>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</si>
  <si>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</si>
  <si>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</si>
  <si>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</si>
  <si>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</si>
  <si>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</si>
  <si>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</si>
  <si>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</si>
  <si>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</si>
  <si>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</si>
  <si>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</si>
  <si>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</si>
  <si>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</si>
  <si>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</si>
  <si>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</si>
  <si>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</si>
  <si>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</si>
  <si>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</si>
  <si>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</si>
  <si>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</si>
  <si>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</si>
  <si>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</si>
  <si>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</si>
  <si>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</si>
  <si>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</si>
  <si>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</si>
  <si>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</si>
  <si>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</si>
  <si>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</si>
  <si>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</si>
  <si>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</si>
  <si>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</si>
  <si>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</si>
  <si>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</si>
  <si>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</si>
  <si>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</si>
  <si>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</si>
  <si>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</si>
  <si>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</si>
  <si>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</si>
  <si>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</si>
  <si>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</si>
  <si>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</si>
  <si>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</si>
  <si>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</si>
  <si>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</si>
  <si>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</si>
  <si>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</si>
  <si>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</si>
  <si>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</si>
  <si>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</si>
  <si>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</si>
  <si>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</si>
  <si>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</si>
  <si>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</si>
  <si>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</si>
  <si>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</si>
  <si>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</si>
  <si>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</si>
  <si>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</si>
  <si>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</si>
  <si>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</si>
  <si>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</si>
  <si>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</si>
  <si>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</si>
  <si>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</si>
  <si>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</si>
  <si>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</si>
  <si>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</si>
  <si>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</si>
  <si>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</si>
  <si>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</si>
  <si>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</si>
  <si>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</si>
  <si>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</si>
  <si>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</si>
  <si>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</si>
  <si>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</si>
  <si>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</si>
  <si>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</si>
  <si>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</si>
  <si>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</si>
  <si>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</si>
  <si>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</si>
  <si>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</si>
  <si>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</si>
  <si>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</si>
  <si>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</si>
  <si>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</si>
  <si>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</si>
  <si>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</si>
  <si>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</si>
  <si>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</si>
  <si>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</si>
  <si>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</si>
  <si>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</si>
  <si>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</si>
  <si>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</si>
  <si>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</si>
  <si>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</si>
  <si>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</si>
  <si>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</si>
  <si>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</si>
  <si>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</si>
  <si>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</si>
  <si>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</si>
  <si>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</si>
  <si>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</si>
  <si>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</si>
  <si>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</si>
  <si>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</si>
  <si>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</si>
  <si>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</si>
  <si>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</si>
  <si>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</si>
  <si>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</si>
  <si>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</si>
  <si>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</si>
  <si>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</si>
  <si>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</si>
  <si>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</si>
  <si>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</si>
  <si>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</si>
  <si>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</si>
  <si>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</si>
  <si>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</si>
  <si>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</si>
  <si>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</si>
  <si>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</si>
  <si>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</si>
  <si>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</si>
  <si>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</si>
  <si>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</si>
  <si>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</si>
  <si>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</si>
  <si>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</si>
  <si>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</si>
  <si>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</si>
  <si>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</si>
  <si>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</si>
  <si>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</si>
  <si>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</si>
  <si>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</si>
  <si>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</si>
  <si>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</si>
  <si>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</si>
  <si>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</si>
  <si>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</si>
  <si>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</si>
  <si>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</si>
  <si>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</si>
  <si>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</si>
  <si>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</si>
  <si>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</si>
  <si>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</si>
  <si>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</si>
  <si>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</si>
  <si>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</si>
  <si>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</si>
  <si>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</si>
  <si>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</si>
  <si>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</si>
  <si>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</si>
  <si>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</si>
  <si>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</si>
  <si>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</si>
  <si>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</si>
  <si>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</si>
  <si>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</si>
  <si>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</si>
  <si>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</si>
  <si>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</si>
  <si>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</si>
  <si>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</si>
  <si>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</si>
  <si>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</si>
  <si>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</si>
  <si>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</si>
  <si>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</si>
  <si>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</si>
  <si>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</si>
  <si>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</si>
  <si>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</si>
  <si>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</si>
  <si>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</si>
  <si>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</si>
  <si>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</si>
  <si>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</si>
  <si>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</si>
  <si>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</si>
  <si>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</si>
  <si>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</si>
  <si>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</si>
  <si>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</si>
  <si>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</si>
  <si>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</si>
  <si>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</si>
  <si>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</si>
  <si>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</si>
  <si>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</si>
  <si>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</si>
  <si>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</si>
  <si>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</si>
  <si>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</si>
  <si>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</si>
  <si>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</si>
  <si>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</si>
  <si>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</si>
  <si>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</si>
  <si>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</si>
  <si>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</si>
  <si>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</si>
  <si>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</si>
  <si>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</si>
  <si>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</si>
  <si>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</si>
  <si>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</si>
  <si>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</si>
  <si>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</si>
  <si>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</si>
  <si>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</si>
  <si>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</si>
  <si>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</si>
  <si>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</si>
  <si>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</si>
  <si>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</si>
  <si>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</si>
  <si>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</si>
  <si>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</si>
  <si>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</si>
  <si>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</si>
  <si>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</si>
  <si>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</si>
  <si>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</si>
  <si>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</si>
  <si>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</si>
  <si>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</si>
  <si>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</si>
  <si>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</si>
  <si>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</si>
  <si>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</si>
  <si>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</si>
  <si>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</si>
  <si>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</si>
  <si>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</si>
  <si>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</si>
  <si>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</si>
  <si>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</si>
  <si>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</si>
  <si>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</si>
  <si>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</si>
  <si>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</si>
  <si>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</si>
  <si>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</si>
  <si>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</si>
  <si>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</si>
  <si>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</si>
  <si>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</si>
  <si>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</si>
  <si>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</si>
  <si>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</si>
  <si>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</si>
  <si>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</si>
  <si>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</si>
  <si>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</si>
  <si>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</si>
  <si>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</si>
  <si>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</si>
  <si>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</si>
  <si>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</si>
  <si>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</si>
  <si>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</si>
  <si>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</si>
  <si>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</si>
  <si>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</si>
  <si>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</si>
  <si>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</si>
  <si>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</si>
  <si>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</si>
  <si>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</si>
  <si>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</si>
  <si>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</si>
  <si>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</si>
  <si>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</si>
  <si>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</si>
  <si>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</si>
  <si>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</si>
  <si>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</si>
  <si>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</si>
  <si>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</si>
  <si>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</si>
  <si>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</si>
  <si>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</si>
  <si>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</si>
  <si>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</si>
  <si>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</si>
  <si>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</si>
  <si>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</si>
  <si>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</si>
  <si>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</si>
  <si>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</si>
  <si>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</si>
  <si>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</si>
  <si>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</si>
  <si>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</si>
  <si>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</si>
  <si>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</si>
  <si>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</si>
  <si>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</si>
  <si>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</si>
  <si>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</si>
  <si>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</si>
  <si>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</si>
  <si>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</si>
  <si>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</si>
  <si>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</si>
  <si>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</si>
  <si>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</si>
  <si>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</si>
  <si>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</si>
  <si>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</si>
  <si>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</si>
  <si>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</si>
  <si>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</si>
  <si>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</si>
  <si>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</si>
  <si>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</si>
  <si>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</si>
  <si>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</si>
  <si>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</si>
  <si>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</si>
  <si>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</si>
  <si>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</si>
  <si>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</si>
  <si>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</si>
  <si>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</si>
  <si>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</si>
  <si>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</si>
  <si>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</si>
  <si>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</si>
  <si>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</si>
  <si>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</si>
  <si>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</si>
  <si>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</si>
  <si>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</si>
  <si>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</si>
  <si>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</si>
  <si>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</si>
  <si>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</si>
  <si>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</si>
  <si>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</si>
  <si>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</si>
  <si>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</si>
  <si>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</si>
  <si>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</si>
  <si>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</si>
  <si>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</si>
  <si>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</si>
  <si>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</si>
  <si>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</si>
  <si>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</si>
  <si>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</si>
  <si>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</si>
  <si>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</si>
  <si>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</si>
  <si>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</si>
  <si>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</si>
  <si>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</si>
  <si>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</si>
  <si>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</si>
  <si>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</si>
  <si>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</si>
  <si>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</si>
  <si>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</si>
  <si>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</si>
  <si>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</si>
  <si>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</si>
  <si>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</si>
  <si>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</si>
  <si>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</si>
  <si>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</si>
  <si>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</si>
  <si>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</si>
  <si>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</si>
  <si>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</si>
  <si>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</si>
  <si>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</si>
  <si>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</si>
  <si>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</si>
  <si>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</si>
  <si>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</si>
  <si>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</si>
  <si>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</si>
  <si>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</si>
  <si>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</si>
  <si>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</si>
  <si>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</si>
  <si>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</si>
  <si>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</si>
  <si>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</si>
  <si>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</si>
  <si>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</si>
  <si>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</si>
  <si>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</si>
  <si>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</si>
  <si>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</si>
  <si>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</si>
  <si>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</si>
  <si>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</si>
  <si>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</si>
  <si>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</si>
  <si>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</si>
  <si>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</si>
  <si>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</si>
  <si>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</si>
  <si>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</si>
  <si>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</si>
  <si>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</si>
  <si>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</si>
  <si>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</si>
  <si>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</si>
  <si>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</si>
  <si>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</si>
  <si>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</si>
  <si>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</si>
  <si>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</si>
  <si>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</si>
  <si>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</si>
  <si>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</si>
  <si>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</si>
  <si>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</si>
  <si>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</si>
  <si>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</si>
  <si>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</si>
  <si>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</si>
  <si>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</si>
  <si>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</si>
  <si>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</si>
  <si>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</si>
  <si>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</si>
  <si>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</si>
  <si>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</si>
  <si>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</si>
  <si>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</si>
  <si>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</si>
  <si>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</si>
  <si>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</si>
  <si>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</si>
  <si>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</si>
  <si>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</si>
  <si>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</si>
  <si>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</si>
  <si>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</si>
  <si>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</si>
  <si>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</si>
  <si>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</si>
  <si>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</si>
  <si>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</si>
  <si>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</si>
  <si>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</si>
  <si>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</si>
  <si>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</si>
  <si>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</si>
  <si>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</si>
  <si>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</si>
  <si>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</si>
  <si>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</si>
  <si>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</si>
  <si>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</si>
  <si>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</si>
  <si>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</si>
  <si>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</si>
  <si>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</si>
  <si>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</si>
  <si>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</si>
  <si>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</si>
  <si>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</si>
  <si>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</si>
  <si>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</si>
  <si>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</si>
  <si>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</si>
  <si>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</si>
  <si>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</si>
  <si>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</si>
  <si>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</si>
  <si>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</si>
  <si>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</si>
  <si>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</si>
  <si>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</si>
  <si>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</si>
  <si>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</si>
  <si>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</si>
  <si>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</si>
  <si>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</si>
  <si>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</si>
  <si>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</si>
  <si>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</si>
  <si>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</si>
  <si>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</si>
  <si>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</si>
  <si>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</si>
  <si>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</si>
  <si>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</si>
  <si>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</si>
  <si>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</si>
  <si>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</si>
  <si>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</si>
  <si>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</si>
  <si>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</si>
  <si>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</si>
  <si>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</si>
  <si>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</si>
  <si>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</si>
  <si>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</si>
  <si>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</si>
  <si>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</si>
  <si>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</si>
  <si>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</si>
  <si>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</si>
  <si>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</si>
  <si>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</si>
  <si>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</si>
  <si>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</si>
  <si>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</si>
  <si>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</si>
  <si>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</si>
  <si>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</si>
  <si>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</si>
  <si>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</si>
  <si>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</si>
  <si>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</si>
  <si>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</si>
  <si>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</si>
  <si>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</si>
  <si>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</si>
  <si>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</si>
  <si>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</si>
  <si>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</si>
  <si>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</si>
  <si>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</si>
  <si>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</si>
  <si>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</si>
  <si>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</si>
  <si>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</si>
  <si>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</si>
  <si>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</si>
  <si>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</si>
  <si>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</si>
  <si>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</si>
  <si>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</si>
  <si>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</si>
  <si>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</si>
  <si>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</si>
  <si>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</si>
  <si>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</si>
  <si>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</si>
  <si>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</si>
  <si>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</si>
  <si>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</si>
  <si>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</si>
  <si>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</si>
  <si>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</si>
  <si>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</si>
  <si>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</si>
  <si>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</si>
  <si>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</si>
  <si>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</si>
  <si>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</si>
  <si>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</si>
  <si>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</si>
  <si>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</si>
  <si>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</si>
  <si>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</si>
  <si>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</si>
  <si>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</si>
  <si>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</si>
  <si>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</si>
  <si>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</si>
  <si>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</si>
  <si>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</si>
  <si>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</si>
  <si>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</si>
  <si>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</si>
  <si>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</si>
  <si>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</si>
  <si>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</si>
  <si>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</si>
  <si>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</si>
  <si>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</si>
  <si>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</si>
  <si>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</si>
  <si>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</si>
  <si>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</si>
  <si>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</si>
  <si>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</si>
  <si>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</si>
  <si>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</si>
  <si>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</si>
  <si>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</si>
  <si>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</si>
  <si>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</si>
  <si>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</si>
  <si>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</si>
  <si>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</si>
  <si>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</si>
  <si>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</si>
  <si>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</si>
  <si>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</si>
  <si>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</si>
  <si>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</si>
  <si>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</si>
  <si>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</si>
  <si>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</si>
  <si>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</si>
  <si>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</si>
  <si>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</si>
  <si>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</si>
  <si>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</si>
  <si>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</si>
  <si>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</si>
  <si>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</si>
  <si>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</si>
  <si>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</si>
  <si>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</si>
  <si>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</si>
  <si>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</si>
  <si>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</si>
  <si>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</si>
  <si>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</si>
  <si>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</si>
  <si>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</si>
  <si>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</si>
  <si>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</si>
  <si>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</si>
  <si>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</si>
  <si>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</si>
  <si>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</si>
  <si>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</si>
  <si>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</si>
  <si>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</si>
  <si>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</si>
  <si>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</si>
  <si>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</si>
  <si>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</si>
  <si>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</si>
  <si>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</si>
  <si>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</si>
  <si>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</si>
  <si>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</si>
  <si>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</si>
  <si>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</si>
  <si>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</si>
  <si>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</si>
  <si>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</si>
  <si>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</si>
  <si>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</si>
  <si>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</si>
  <si>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</si>
  <si>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</si>
  <si>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</si>
  <si>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</si>
  <si>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</si>
  <si>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</si>
  <si>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</si>
  <si>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</si>
  <si>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</si>
  <si>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</si>
  <si>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</si>
  <si>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</si>
  <si>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</si>
  <si>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</si>
  <si>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</si>
  <si>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</si>
  <si>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</si>
  <si>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</si>
  <si>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</si>
  <si>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</si>
  <si>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</si>
  <si>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</si>
  <si>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</si>
  <si>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</si>
  <si>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</si>
  <si>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</si>
  <si>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</si>
  <si>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</si>
  <si>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</si>
  <si>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</si>
  <si>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</si>
  <si>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</si>
  <si>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</si>
  <si>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</si>
  <si>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</si>
  <si>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</si>
  <si>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</si>
  <si>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</si>
  <si>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</si>
  <si>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</si>
  <si>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</si>
  <si>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</si>
  <si>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</si>
  <si>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</si>
  <si>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</si>
  <si>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</si>
  <si>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</si>
  <si>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</si>
  <si>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</si>
  <si>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</si>
  <si>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</si>
  <si>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</si>
  <si>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</si>
  <si>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</si>
  <si>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</si>
  <si>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</si>
  <si>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</si>
  <si>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</si>
  <si>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</si>
  <si>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</si>
  <si>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</si>
  <si>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</si>
  <si>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</si>
  <si>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</si>
  <si>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</si>
  <si>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</si>
  <si>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</si>
  <si>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</si>
  <si>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</si>
  <si>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</si>
  <si>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</si>
  <si>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</si>
  <si>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</si>
  <si>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</si>
  <si>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</si>
  <si>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</si>
  <si>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</si>
  <si>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</si>
  <si>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</si>
  <si>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</si>
  <si>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</si>
  <si>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</si>
  <si>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</si>
  <si>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</si>
  <si>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</si>
  <si>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</si>
  <si>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</si>
  <si>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</si>
  <si>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</si>
  <si>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</si>
  <si>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</si>
  <si>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</si>
  <si>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</si>
  <si>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</si>
  <si>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</si>
  <si>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</si>
  <si>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</si>
  <si>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</si>
  <si>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</si>
  <si>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</si>
  <si>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</si>
  <si>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</si>
  <si>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</si>
  <si>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</si>
  <si>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</si>
  <si>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</si>
  <si>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</si>
  <si>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</si>
  <si>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</si>
  <si>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</si>
  <si>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</si>
  <si>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</si>
  <si>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</si>
  <si>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</si>
  <si>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</si>
  <si>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</si>
  <si>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</si>
  <si>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</si>
  <si>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</si>
  <si>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</si>
  <si>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</si>
  <si>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</si>
  <si>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</si>
  <si>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</si>
  <si>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</si>
  <si>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</si>
  <si>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</si>
  <si>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</si>
  <si>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</si>
  <si>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</si>
  <si>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</si>
  <si>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</si>
  <si>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</si>
  <si>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</si>
  <si>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</si>
  <si>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</si>
  <si>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</si>
  <si>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</si>
  <si>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</si>
  <si>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</si>
  <si>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</si>
  <si>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</si>
  <si>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</si>
  <si>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</si>
  <si>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</si>
  <si>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</si>
  <si>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</si>
  <si>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</si>
  <si>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</si>
  <si>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</si>
  <si>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</si>
  <si>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</si>
  <si>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</si>
  <si>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</si>
  <si>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</si>
  <si>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</si>
  <si>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</si>
  <si>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</si>
  <si>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</si>
  <si>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</si>
  <si>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</si>
  <si>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</si>
  <si>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</si>
  <si>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</si>
  <si>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</si>
  <si>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</si>
  <si>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</si>
  <si>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</si>
  <si>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</si>
  <si>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</si>
  <si>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</si>
  <si>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</si>
  <si>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</si>
  <si>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</si>
  <si>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</si>
  <si>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</si>
  <si>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</si>
  <si>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</si>
  <si>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</si>
  <si>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</si>
  <si>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</si>
  <si>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</si>
  <si>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</si>
  <si>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</si>
  <si>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</si>
  <si>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</si>
  <si>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</si>
  <si>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</si>
  <si>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</si>
  <si>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</si>
  <si>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</si>
  <si>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</si>
  <si>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</si>
  <si>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</si>
  <si>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</si>
  <si>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</si>
  <si>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</si>
  <si>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</si>
  <si>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</si>
  <si>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</si>
  <si>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</si>
  <si>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</si>
  <si>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</si>
  <si>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</si>
  <si>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</si>
  <si>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</si>
  <si>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</si>
  <si>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</si>
  <si>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</si>
  <si>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</si>
  <si>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</si>
  <si>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</si>
  <si>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</si>
  <si>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</si>
  <si>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</si>
  <si>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</si>
  <si>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</si>
  <si>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</si>
  <si>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</si>
  <si>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</si>
  <si>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</si>
  <si>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</si>
  <si>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</si>
  <si>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</si>
  <si>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</si>
  <si>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</si>
  <si>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</si>
  <si>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</si>
  <si>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</si>
  <si>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</si>
  <si>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</si>
  <si>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</si>
  <si>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</si>
  <si>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</si>
  <si>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</si>
  <si>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</si>
  <si>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</si>
  <si>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</si>
  <si>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</si>
  <si>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</si>
  <si>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</si>
  <si>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</si>
  <si>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</si>
  <si>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</si>
  <si>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</si>
  <si>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</si>
  <si>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</si>
  <si>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</si>
  <si>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</si>
  <si>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</si>
  <si>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</si>
  <si>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</si>
  <si>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</si>
  <si>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</si>
  <si>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</si>
  <si>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</si>
  <si>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</si>
  <si>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</si>
  <si>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</si>
  <si>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</si>
  <si>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</si>
  <si>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</si>
  <si>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</si>
  <si>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</si>
  <si>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</si>
  <si>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</si>
  <si>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</si>
  <si>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</si>
  <si>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</si>
  <si>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</si>
  <si>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</si>
  <si>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</si>
  <si>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</si>
  <si>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</si>
  <si>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</si>
  <si>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</si>
  <si>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</si>
  <si>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</si>
  <si>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</si>
  <si>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</si>
  <si>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</si>
  <si>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</si>
  <si>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</si>
  <si>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</si>
  <si>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</si>
  <si>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</si>
  <si>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</si>
  <si>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</si>
  <si>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</si>
  <si>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</si>
  <si>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</si>
  <si>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</si>
  <si>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</si>
  <si>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</si>
  <si>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</si>
  <si>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</si>
  <si>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</si>
  <si>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</si>
  <si>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</si>
  <si>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</si>
  <si>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</si>
  <si>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</si>
  <si>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</si>
  <si>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</si>
  <si>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</si>
  <si>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</si>
  <si>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</si>
  <si>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</si>
  <si>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</si>
  <si>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</si>
  <si>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</si>
  <si>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</si>
  <si>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</si>
  <si>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</si>
  <si>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</si>
  <si>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</si>
  <si>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</si>
  <si>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</si>
  <si>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</si>
  <si>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</si>
  <si>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</si>
  <si>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</si>
  <si>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</si>
  <si>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</si>
  <si>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</si>
  <si>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</si>
  <si>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</si>
  <si>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</si>
  <si>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</si>
  <si>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</si>
  <si>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</si>
  <si>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</si>
  <si>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</si>
  <si>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</si>
  <si>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</si>
  <si>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</si>
  <si>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</si>
  <si>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</si>
  <si>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</si>
  <si>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</si>
  <si>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</si>
  <si>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</si>
  <si>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</si>
  <si>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</si>
  <si>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</si>
  <si>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</si>
  <si>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</si>
  <si>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</si>
  <si>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</si>
  <si>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</si>
  <si>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</si>
  <si>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</si>
  <si>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</si>
  <si>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</si>
  <si>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</si>
  <si>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</si>
  <si>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</si>
  <si>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</si>
  <si>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</si>
  <si>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</si>
  <si>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</si>
  <si>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</si>
  <si>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</si>
  <si>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</si>
  <si>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</si>
  <si>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</si>
  <si>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</si>
  <si>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</si>
  <si>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</si>
  <si>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</si>
  <si>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</si>
  <si>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</si>
  <si>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</si>
  <si>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</si>
  <si>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</si>
  <si>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</si>
  <si>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</si>
  <si>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</si>
  <si>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</si>
  <si>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</si>
  <si>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</si>
  <si>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</si>
  <si>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</si>
  <si>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</si>
  <si>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</si>
  <si>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</si>
  <si>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</si>
  <si>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</si>
  <si>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</si>
  <si>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</si>
  <si>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</si>
  <si>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</si>
  <si>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</si>
  <si>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</si>
  <si>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</si>
  <si>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</si>
  <si>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</si>
  <si>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</si>
  <si>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</si>
  <si>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</si>
  <si>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</si>
  <si>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</si>
  <si>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</si>
  <si>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</si>
  <si>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</si>
  <si>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</si>
  <si>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</si>
  <si>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</si>
  <si>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</si>
  <si>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</si>
  <si>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</si>
  <si>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</si>
  <si>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</si>
  <si>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</si>
  <si>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</si>
  <si>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</si>
  <si>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</si>
  <si>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</si>
  <si>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</si>
  <si>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</si>
  <si>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</si>
  <si>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</si>
  <si>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</si>
  <si>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</si>
  <si>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</si>
  <si>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</si>
  <si>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</si>
  <si>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</si>
  <si>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</si>
  <si>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</si>
  <si>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</si>
  <si>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</si>
  <si>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</si>
  <si>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</si>
  <si>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</si>
  <si>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</si>
  <si>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</si>
  <si>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</si>
  <si>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</si>
  <si>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</si>
  <si>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</si>
  <si>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</si>
  <si>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</si>
  <si>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</si>
  <si>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</si>
  <si>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</si>
  <si>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</si>
  <si>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</si>
  <si>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</si>
  <si>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</si>
  <si>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</si>
  <si>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</si>
  <si>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</si>
  <si>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</si>
  <si>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</si>
  <si>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</si>
  <si>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</si>
  <si>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</si>
  <si>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</si>
  <si>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</si>
  <si>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</si>
  <si>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</si>
  <si>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</si>
  <si>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</si>
  <si>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</si>
  <si>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</si>
  <si>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</si>
  <si>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</si>
  <si>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</si>
  <si>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</si>
  <si>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</si>
  <si>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</si>
  <si>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</si>
  <si>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</si>
  <si>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</si>
  <si>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</si>
  <si>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</si>
  <si>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</si>
  <si>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</si>
  <si>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</si>
  <si>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</si>
  <si>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</si>
  <si>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</si>
  <si>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</si>
  <si>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</si>
  <si>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</si>
  <si>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</si>
  <si>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</si>
  <si>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</si>
  <si>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</si>
  <si>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</si>
  <si>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</si>
  <si>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</si>
  <si>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</si>
  <si>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</si>
  <si>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</si>
  <si>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</si>
  <si>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</si>
  <si>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</si>
  <si>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</si>
  <si>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</si>
  <si>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</si>
  <si>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</si>
  <si>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</si>
  <si>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</si>
  <si>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</si>
  <si>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</si>
  <si>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</si>
  <si>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</si>
  <si>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</si>
  <si>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</si>
  <si>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</si>
  <si>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</si>
  <si>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</si>
  <si>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</si>
  <si>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</si>
  <si>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</si>
  <si>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</si>
  <si>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</si>
  <si>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</si>
  <si>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</si>
  <si>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</si>
  <si>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</si>
  <si>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</si>
  <si>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</si>
  <si>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</si>
  <si>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</si>
  <si>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</si>
  <si>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</si>
  <si>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</si>
  <si>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</si>
  <si>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</si>
  <si>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</si>
  <si>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</si>
  <si>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</si>
  <si>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</si>
  <si>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</si>
  <si>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</si>
  <si>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</si>
  <si>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</si>
  <si>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</si>
  <si>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</si>
  <si>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</si>
  <si>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</si>
  <si>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</si>
  <si>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</si>
  <si>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</si>
  <si>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</si>
  <si>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</si>
  <si>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</si>
  <si>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</si>
  <si>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</si>
  <si>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</si>
  <si>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</si>
  <si>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</si>
  <si>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</si>
  <si>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</si>
  <si>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</si>
  <si>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</si>
  <si>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</si>
  <si>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</si>
  <si>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</si>
  <si>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</si>
  <si>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</si>
  <si>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</si>
  <si>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</si>
  <si>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</si>
  <si>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</si>
  <si>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</si>
  <si>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</si>
  <si>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</si>
  <si>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</si>
  <si>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</si>
  <si>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</si>
  <si>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</si>
  <si>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</si>
  <si>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</si>
  <si>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</si>
  <si>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</si>
  <si>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</si>
  <si>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</si>
  <si>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</si>
  <si>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</si>
  <si>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</si>
  <si>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</si>
  <si>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</si>
  <si>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</si>
  <si>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</si>
  <si>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</si>
  <si>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</si>
  <si>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</si>
  <si>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</si>
  <si>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</si>
  <si>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</si>
  <si>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</si>
  <si>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</si>
  <si>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</si>
  <si>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</si>
  <si>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</si>
  <si>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</si>
  <si>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</si>
  <si>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</si>
  <si>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</si>
  <si>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</si>
  <si>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</si>
  <si>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</si>
  <si>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</si>
  <si>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</si>
  <si>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</si>
  <si>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</si>
  <si>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</si>
  <si>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</si>
  <si>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</si>
  <si>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</si>
  <si>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</si>
  <si>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</si>
  <si>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</si>
  <si>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</si>
  <si>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</si>
  <si>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</si>
  <si>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</si>
  <si>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</si>
  <si>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</si>
  <si>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</si>
  <si>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</si>
  <si>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</si>
  <si>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</si>
  <si>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</si>
  <si>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</si>
  <si>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</si>
  <si>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</si>
  <si>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</si>
  <si>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</si>
  <si>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</si>
  <si>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</si>
  <si>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</si>
  <si>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</si>
  <si>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</si>
  <si>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</si>
  <si>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</si>
  <si>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</si>
  <si>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</si>
  <si>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</si>
  <si>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</si>
  <si>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</si>
  <si>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</si>
  <si>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</si>
  <si>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</si>
  <si>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</si>
  <si>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</si>
  <si>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</si>
  <si>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</si>
  <si>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</si>
  <si>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</si>
  <si>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</si>
  <si>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</si>
  <si>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</si>
  <si>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</si>
  <si>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</si>
  <si>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</si>
  <si>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</si>
  <si>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</si>
  <si>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</si>
  <si>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</si>
  <si>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</si>
  <si>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</si>
  <si>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</si>
  <si>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</si>
  <si>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</si>
  <si>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</si>
  <si>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</si>
  <si>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</si>
  <si>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</si>
  <si>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</si>
  <si>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</si>
  <si>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</si>
  <si>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</si>
  <si>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</si>
  <si>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</si>
  <si>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</si>
  <si>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</si>
  <si>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</si>
  <si>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</si>
  <si>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</si>
  <si>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</si>
  <si>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</si>
  <si>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</si>
  <si>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</si>
  <si>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</si>
  <si>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</si>
  <si>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</si>
  <si>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</si>
  <si>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</si>
  <si>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</si>
  <si>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</si>
  <si>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</si>
  <si>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</si>
  <si>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</si>
  <si>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</si>
  <si>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</si>
  <si>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</si>
  <si>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</si>
  <si>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</si>
  <si>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</si>
  <si>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</si>
  <si>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</si>
  <si>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</si>
  <si>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</si>
  <si>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</si>
  <si>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</si>
  <si>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</si>
  <si>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</si>
  <si>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</si>
  <si>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</si>
  <si>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</si>
  <si>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</si>
  <si>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</si>
  <si>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</si>
  <si>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</si>
  <si>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</si>
  <si>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</si>
  <si>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</si>
  <si>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</si>
  <si>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</si>
  <si>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</si>
  <si>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</si>
  <si>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</si>
  <si>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</si>
  <si>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</si>
  <si>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</si>
  <si>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</si>
  <si>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</si>
  <si>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</si>
  <si>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</si>
  <si>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</si>
  <si>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</si>
  <si>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</si>
  <si>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</si>
  <si>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</si>
  <si>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</si>
  <si>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</si>
  <si>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</si>
  <si>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</si>
  <si>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</si>
  <si>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</si>
  <si>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</si>
  <si>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</si>
  <si>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</si>
  <si>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</si>
  <si>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</si>
  <si>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</si>
  <si>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</si>
  <si>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</si>
  <si>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</si>
  <si>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</si>
  <si>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</si>
  <si>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</si>
  <si>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</si>
  <si>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</si>
  <si>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</si>
  <si>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</si>
  <si>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</si>
  <si>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</si>
  <si>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</si>
  <si>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</si>
  <si>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</si>
  <si>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</si>
  <si>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</si>
  <si>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</si>
  <si>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</si>
  <si>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</si>
  <si>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</si>
  <si>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</si>
  <si>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</si>
  <si>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</si>
  <si>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</si>
  <si>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</si>
  <si>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</si>
  <si>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</si>
  <si>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</si>
  <si>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</si>
  <si>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</si>
  <si>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</si>
  <si>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</si>
  <si>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</si>
  <si>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</si>
  <si>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</si>
  <si>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</si>
  <si>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</si>
  <si>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</si>
  <si>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</si>
  <si>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</si>
  <si>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</si>
  <si>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</si>
  <si>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</si>
  <si>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</si>
  <si>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</si>
  <si>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</si>
  <si>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</si>
  <si>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</si>
  <si>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</si>
  <si>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</si>
  <si>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</si>
  <si>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</si>
  <si>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</si>
  <si>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</si>
  <si>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</si>
  <si>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</si>
  <si>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</si>
  <si>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</si>
  <si>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</si>
  <si>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</si>
  <si>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</si>
  <si>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</si>
  <si>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</si>
  <si>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</si>
  <si>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</si>
  <si>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</si>
  <si>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</si>
  <si>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</si>
  <si>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</si>
  <si>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</si>
  <si>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</si>
  <si>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</si>
  <si>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</si>
  <si>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</si>
  <si>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</si>
  <si>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</si>
  <si>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</si>
  <si>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</si>
  <si>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</si>
  <si>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</si>
  <si>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</si>
  <si>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</si>
  <si>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</si>
  <si>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</si>
  <si>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</si>
  <si>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</si>
  <si>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</si>
  <si>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</si>
  <si>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</si>
  <si>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</si>
  <si>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</si>
  <si>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</si>
  <si>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</si>
  <si>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</si>
  <si>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</si>
  <si>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</si>
  <si>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</si>
  <si>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</si>
  <si>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</si>
  <si>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</si>
  <si>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</si>
  <si>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</si>
  <si>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</si>
  <si>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</si>
  <si>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</si>
  <si>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</si>
  <si>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</si>
  <si>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</si>
  <si>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</si>
  <si>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</si>
  <si>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</si>
  <si>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</si>
  <si>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</si>
  <si>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</si>
  <si>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</si>
  <si>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</si>
  <si>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</si>
  <si>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</si>
  <si>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</si>
  <si>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</si>
  <si>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</si>
  <si>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</si>
  <si>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</si>
  <si>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</si>
  <si>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</si>
  <si>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</si>
  <si>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</si>
  <si>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</si>
  <si>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</si>
  <si>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</si>
  <si>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</si>
  <si>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</si>
  <si>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</si>
  <si>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</si>
  <si>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</si>
  <si>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</si>
  <si>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</si>
  <si>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</si>
  <si>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</si>
  <si>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</si>
  <si>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</si>
  <si>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</si>
  <si>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</si>
  <si>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</si>
  <si>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</si>
  <si>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</si>
  <si>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</si>
  <si>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</si>
  <si>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</si>
  <si>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</si>
  <si>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</si>
  <si>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</si>
  <si>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</si>
  <si>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</si>
  <si>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</si>
  <si>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</si>
  <si>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</si>
  <si>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</si>
  <si>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</si>
  <si>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</si>
  <si>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</si>
  <si>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</si>
  <si>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</si>
  <si>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</si>
  <si>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</si>
  <si>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</si>
  <si>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</si>
  <si>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</si>
  <si>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</si>
  <si>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</si>
  <si>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</si>
  <si>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</si>
  <si>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</si>
  <si>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</si>
  <si>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</si>
  <si>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</si>
  <si>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</si>
  <si>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</si>
  <si>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</si>
  <si>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</si>
  <si>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</si>
  <si>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</si>
  <si>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</si>
  <si>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</si>
  <si>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</si>
  <si>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</si>
  <si>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</si>
  <si>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</si>
  <si>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</si>
  <si>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</si>
  <si>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</si>
  <si>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</si>
  <si>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</si>
  <si>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</si>
  <si>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</si>
  <si>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</si>
  <si>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</si>
  <si>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</si>
  <si>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</si>
  <si>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</si>
  <si>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</si>
  <si>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</si>
  <si>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</si>
  <si>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</si>
  <si>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</si>
  <si>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</si>
  <si>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</si>
  <si>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</si>
  <si>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</si>
  <si>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</si>
  <si>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</si>
  <si>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</si>
  <si>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</si>
  <si>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</si>
  <si>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</si>
  <si>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</si>
  <si>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</si>
  <si>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</si>
  <si>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</si>
  <si>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</si>
  <si>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</si>
  <si>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</si>
  <si>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</si>
  <si>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</si>
  <si>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</si>
  <si>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</si>
  <si>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</si>
  <si>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</si>
  <si>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</si>
  <si>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</si>
  <si>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</si>
  <si>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</si>
  <si>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</si>
  <si>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</si>
  <si>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</si>
  <si>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</si>
  <si>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</si>
  <si>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</si>
  <si>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</si>
  <si>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</si>
  <si>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</si>
  <si>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</si>
  <si>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</si>
  <si>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</si>
  <si>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</si>
  <si>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</si>
  <si>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</si>
  <si>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</si>
  <si>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</si>
  <si>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</si>
  <si>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</si>
  <si>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</si>
  <si>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</si>
  <si>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</si>
  <si>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</si>
  <si>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</si>
  <si>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</si>
  <si>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</si>
  <si>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</si>
  <si>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</si>
  <si>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</si>
  <si>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</si>
  <si>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</si>
  <si>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</si>
  <si>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</si>
  <si>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</si>
  <si>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</si>
  <si>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</si>
  <si>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</si>
  <si>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</si>
  <si>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</si>
  <si>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</si>
  <si>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</si>
  <si>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</si>
  <si>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</si>
  <si>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</si>
  <si>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</si>
  <si>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</si>
  <si>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</si>
  <si>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</si>
  <si>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</si>
  <si>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</si>
  <si>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</si>
  <si>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</si>
  <si>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</si>
  <si>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</si>
  <si>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</si>
  <si>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</si>
  <si>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</si>
  <si>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</si>
  <si>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</si>
  <si>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</si>
  <si>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</si>
  <si>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</si>
  <si>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</si>
  <si>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</si>
  <si>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</si>
  <si>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</si>
  <si>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</si>
  <si>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</si>
  <si>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</si>
  <si>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</si>
  <si>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</si>
  <si>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</si>
  <si>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</si>
  <si>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</si>
  <si>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</si>
  <si>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</si>
  <si>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</si>
  <si>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</si>
  <si>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</si>
  <si>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</si>
  <si>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</si>
  <si>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</si>
  <si>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</si>
  <si>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</si>
  <si>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</si>
  <si>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</si>
  <si>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</si>
  <si>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</si>
  <si>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</si>
  <si>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</si>
  <si>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</si>
  <si>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</si>
  <si>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</si>
  <si>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</si>
  <si>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</si>
  <si>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</si>
  <si>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</si>
  <si>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</si>
  <si>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</si>
  <si>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</si>
  <si>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</si>
  <si>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</si>
  <si>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</si>
  <si>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</si>
  <si>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</si>
  <si>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</si>
  <si>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</si>
  <si>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</si>
  <si>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</si>
  <si>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</si>
  <si>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</si>
  <si>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</si>
  <si>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</si>
  <si>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</si>
  <si>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</si>
  <si>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</si>
  <si>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</si>
  <si>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Alexander County</t>
  </si>
  <si>
    <t>4201 Sycamore</t>
  </si>
  <si>
    <t>Cairo</t>
  </si>
  <si>
    <t>aevers@cairoschooldistrict1.com</t>
  </si>
  <si>
    <t>Andrea Evers</t>
  </si>
  <si>
    <t>618-734-4102</t>
  </si>
  <si>
    <t>618-734-4047</t>
  </si>
  <si>
    <t>Beussink, Hey, Roe &amp; Stroder, LLC</t>
  </si>
  <si>
    <t>Jeffery C. Stroder, CPA</t>
  </si>
  <si>
    <t>16 South Silver Springs Road</t>
  </si>
  <si>
    <t>Cape Girardeau</t>
  </si>
  <si>
    <t>MO</t>
  </si>
  <si>
    <t>573-334-7971</t>
  </si>
  <si>
    <t>573-334-8875</t>
  </si>
  <si>
    <t>066-003889</t>
  </si>
  <si>
    <t>jstroder@bhrcpas.com</t>
  </si>
  <si>
    <t>The financial statements are presented in a format that complies with regulatory provisions prescribed by the Illinois State Board of Education, which practices differ from accounting principles generally accepted in the United States of America.  In addition, the notes to the financial statements do not include the note disclosures required under GASB Statement No. 75 for one of the school's two defined contribution OPEB plans.</t>
  </si>
  <si>
    <t>Series 2015 Bond</t>
  </si>
  <si>
    <t>ED-Food Services-Purchased Services</t>
  </si>
  <si>
    <t>10-2560-300</t>
  </si>
  <si>
    <t>Chartwells</t>
  </si>
  <si>
    <t>40-2550-300</t>
  </si>
  <si>
    <t>Robinson Transport, Inc.</t>
  </si>
  <si>
    <t>TR-Pupil Transportation-Purchased Services</t>
  </si>
  <si>
    <t>ED-Operation &amp; Maint of Plant Services-Purch Services</t>
  </si>
  <si>
    <t>10-2540-300</t>
  </si>
  <si>
    <t>Clearwave Communications</t>
  </si>
  <si>
    <t>ahred service - JAMP Special Education Services</t>
  </si>
  <si>
    <t>shared service - Five County Regional Vocational System</t>
  </si>
  <si>
    <t>U.S. DEPARTMENT OF AGRICULTURE</t>
  </si>
  <si>
    <t>Passed Through the Illinois State Board of Education</t>
  </si>
  <si>
    <t xml:space="preserve">  School Breakfast Program (M)</t>
  </si>
  <si>
    <t>18-4220</t>
  </si>
  <si>
    <t>19-4220</t>
  </si>
  <si>
    <t xml:space="preserve">    Total for CFDA# 10.553</t>
  </si>
  <si>
    <t xml:space="preserve">  National School Lunch Program (M)</t>
  </si>
  <si>
    <t xml:space="preserve">  Dept of Defense Fresh Fruits &amp; Vegetables (Non-Cash) (M)</t>
  </si>
  <si>
    <t xml:space="preserve">  USDA Commodities (Non-Cash) (M)</t>
  </si>
  <si>
    <t>18-4210</t>
  </si>
  <si>
    <t>19-4210</t>
  </si>
  <si>
    <t xml:space="preserve"> N/A - 18</t>
  </si>
  <si>
    <t>N/A - 19</t>
  </si>
  <si>
    <t xml:space="preserve">    Total for CFDA# 10.555</t>
  </si>
  <si>
    <t xml:space="preserve">  Summer Food Service Program (M)</t>
  </si>
  <si>
    <t>18-4225</t>
  </si>
  <si>
    <t xml:space="preserve">    Total for CFDA# 10.559</t>
  </si>
  <si>
    <t>Total for Child Nutrition Cluster (CFDA Numbers 10.553, 10.555, and 10.559)</t>
  </si>
  <si>
    <t>19-4240</t>
  </si>
  <si>
    <t xml:space="preserve">  Fresh Fruits and Vegetables</t>
  </si>
  <si>
    <t xml:space="preserve">    Total for CFDA# 10.582</t>
  </si>
  <si>
    <t>TOTAL U.S. DEPARTMENT OF AGRICULTURE</t>
  </si>
  <si>
    <t>U.S. DEPARTMENT OF EDUCATION</t>
  </si>
  <si>
    <t>18-4300</t>
  </si>
  <si>
    <t>19-4300</t>
  </si>
  <si>
    <t>19-4331</t>
  </si>
  <si>
    <t>18-4399</t>
  </si>
  <si>
    <t xml:space="preserve">  Title I:  Grants to Local education Agencies (M)</t>
  </si>
  <si>
    <t xml:space="preserve">    Total for CFDA# 84.010</t>
  </si>
  <si>
    <t>Department of Education - Direct</t>
  </si>
  <si>
    <t xml:space="preserve">  Federal Impact Aid</t>
  </si>
  <si>
    <t>18-4001</t>
  </si>
  <si>
    <t>19-4001</t>
  </si>
  <si>
    <t xml:space="preserve">    Total for CFDA# 84.041</t>
  </si>
  <si>
    <t xml:space="preserve">  Title V - Rural Education Initiative</t>
  </si>
  <si>
    <t>18-4107</t>
  </si>
  <si>
    <t xml:space="preserve">    Total for CFDA# 84.358</t>
  </si>
  <si>
    <t>TOTAL U.S. DEPARTMENT OF EDUCATION</t>
  </si>
  <si>
    <t>U.S. DEPARTMENT OF HEALTH &amp; HUMAN SERVICES</t>
  </si>
  <si>
    <t xml:space="preserve">  Passed Through the Illinois Department of Healthcare &amp; Family Services</t>
  </si>
  <si>
    <t xml:space="preserve">  Medical Assistance Program</t>
  </si>
  <si>
    <t>18-4991</t>
  </si>
  <si>
    <t>19-4991</t>
  </si>
  <si>
    <t xml:space="preserve">    Total for CFDA# 93.778</t>
  </si>
  <si>
    <t>TOTAL U.S. DEPARTMENT OF HEALTH &amp; HUMAN SERVICES</t>
  </si>
  <si>
    <t>TOTAL FEDERAL AWARDS</t>
  </si>
  <si>
    <t>N/A</t>
  </si>
  <si>
    <r>
      <t xml:space="preserve">Of the federal expenditures presented in the schedule, </t>
    </r>
    <r>
      <rPr>
        <b/>
        <sz val="9"/>
        <rFont val="Calibri"/>
        <family val="2"/>
        <scheme val="minor"/>
      </rPr>
      <t>Cairo School District No. 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</si>
  <si>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Cairo School District No.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</si>
  <si>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</si>
  <si>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10.555 and 10.559</t>
  </si>
  <si>
    <t>Child Nutrition Cluster</t>
  </si>
  <si>
    <t>2018-001</t>
  </si>
  <si>
    <t>Significant audit adjustments were required to</t>
  </si>
  <si>
    <t>record the required amount of personal property</t>
  </si>
  <si>
    <t>replacement taxes in the Municipal Retirement/</t>
  </si>
  <si>
    <t>Social Security Fund.</t>
  </si>
  <si>
    <t>The District did not file their Annual Financial Report or the Annual Statement of Affairs timely as per the Illinois School Code.</t>
  </si>
  <si>
    <t>The District is not in compliance with the Illinois School Code.</t>
  </si>
  <si>
    <t>The School Business Official thought the Annual Ststement of Affairs was submitted, but discovered it was not.  The draft acceptance was not received in time for the auditor to file the Annual Financial Report by the deadline.</t>
  </si>
  <si>
    <t>Account Number</t>
  </si>
  <si>
    <t>Object Code</t>
  </si>
  <si>
    <t>Prepaid payroll taxes</t>
  </si>
  <si>
    <t>Miscellaneous Receipts</t>
  </si>
  <si>
    <t>Healthy Community Investment Grant</t>
  </si>
  <si>
    <t>Illinois Arts Council Grant</t>
  </si>
  <si>
    <t>State Library Grant</t>
  </si>
  <si>
    <t xml:space="preserve">  Total</t>
  </si>
  <si>
    <t>Title I - IL Empower Pilot</t>
  </si>
  <si>
    <t>Student Uniform Expense</t>
  </si>
  <si>
    <t>DARE Program Payments</t>
  </si>
  <si>
    <t>TRS Payments</t>
  </si>
  <si>
    <t>Executive's Salary</t>
  </si>
  <si>
    <t>Executive's Benefits</t>
  </si>
  <si>
    <t>Christmas bonuses</t>
  </si>
  <si>
    <t>Christmas bonus benefits</t>
  </si>
  <si>
    <t>Miscellaneous supplies</t>
  </si>
  <si>
    <t>We recommend that the District develop internal controls to ensure all required filings be submitted timely in accordance with Illinois Compiled Statutes deadlines.</t>
  </si>
  <si>
    <r>
      <t xml:space="preserve">The accompanying Schedule of Expenditures of Federal Awards includes the federal grant activity of </t>
    </r>
    <r>
      <rPr>
        <b/>
        <sz val="9"/>
        <rFont val="Calibri"/>
        <family val="2"/>
        <scheme val="minor"/>
      </rPr>
      <t>Cairo School District No. 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</si>
  <si>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Title I:  Grants to Local Education Agencies</t>
  </si>
  <si>
    <t xml:space="preserve">                                       Implemented</t>
  </si>
  <si>
    <t>Per 105 ILCS 5/10-17, the Annual Statement of Affairs should be filed on or by December 15th.  Per 105 ILCS 5/3-15.1, the Annual Financial Report should be filed annually on or by October 15th unless an extension is granted until November 15th.  For 2018, there was an exception, and the deadline was December 15th.</t>
  </si>
  <si>
    <t>The Annual Statement of Affairs was filed on December 21, 2018 and the Annual Financial Report was filed on December 26, 2018.</t>
  </si>
  <si>
    <t>The Superintendent and Chief School Business Official will both keep a calendar on an annual basis of due dates for required filings per Illinois School Code.  Reminders will be set for 30 days, 15 days, and 5 days prior to each due date to ensure filings are completed on time.</t>
  </si>
  <si>
    <t>Cairo 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</si>
</sst>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
      <sz val="10"/>
      <name val="Calibri"/>
      <family val="2"/>
      <scheme val="minor"/>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78" xfId="0" applyFont="1" applyBorder="1" applyAlignment="1">
      <alignment horizontal="center"/>
    </xf>
    <xf numFmtId="0" fontId="56" fillId="0" borderId="0" xfId="0" applyFont="1" applyAlignment="1">
      <alignment horizontal="center"/>
    </xf>
    <xf numFmtId="42" fontId="74" fillId="0" borderId="0" xfId="0" applyNumberFormat="1" applyFont="1"/>
    <xf numFmtId="42" fontId="56" fillId="0" borderId="0" xfId="0" applyNumberFormat="1" applyFont="1"/>
    <xf numFmtId="41" fontId="56" fillId="0" borderId="0" xfId="0" applyNumberFormat="1" applyFont="1"/>
    <xf numFmtId="41" fontId="74" fillId="0" borderId="0" xfId="0" applyNumberFormat="1" applyFont="1"/>
    <xf numFmtId="42" fontId="137" fillId="0" borderId="0" xfId="0" applyNumberFormat="1" applyFont="1"/>
    <xf numFmtId="41" fontId="138" fillId="0" borderId="0" xfId="0" applyNumberFormat="1" applyFont="1"/>
    <xf numFmtId="42" fontId="139"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876300</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4BAB9622-D278-4A35-AFBE-F07BE1E84DD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4" t="s">
        <v>405</v>
      </c>
      <c r="J1" s="2025"/>
      <c r="K1" s="2025"/>
      <c r="L1" s="2025"/>
      <c r="M1" s="2025"/>
      <c r="N1" s="2025"/>
      <c r="O1" s="2025"/>
      <c r="P1" s="2025"/>
      <c r="Q1" s="2025"/>
      <c r="R1" s="2025"/>
      <c r="S1" s="2025"/>
    </row>
    <row r="2" spans="1:28" ht="12" customHeight="1" x14ac:dyDescent="0.2">
      <c r="A2" s="47" t="s">
        <v>1990</v>
      </c>
      <c r="D2" s="48"/>
      <c r="I2" s="2026" t="s">
        <v>979</v>
      </c>
      <c r="J2" s="2025"/>
      <c r="K2" s="2025"/>
      <c r="L2" s="2025"/>
      <c r="M2" s="2025"/>
      <c r="N2" s="2025"/>
      <c r="O2" s="2025"/>
      <c r="P2" s="2025"/>
      <c r="Q2" s="2025"/>
      <c r="R2" s="2025"/>
      <c r="S2" s="2025"/>
    </row>
    <row r="3" spans="1:28" ht="12" customHeight="1" x14ac:dyDescent="0.2">
      <c r="A3" s="155" t="s">
        <v>1942</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t="s">
        <v>2062</v>
      </c>
      <c r="C5" s="26" t="s">
        <v>910</v>
      </c>
      <c r="D5" s="84"/>
      <c r="E5" s="84"/>
      <c r="H5" s="38"/>
      <c r="I5" s="2033" t="s">
        <v>680</v>
      </c>
      <c r="J5" s="1978"/>
      <c r="K5" s="1978"/>
      <c r="L5" s="1978"/>
      <c r="M5" s="1978"/>
      <c r="N5" s="1978"/>
      <c r="O5" s="1978"/>
      <c r="P5" s="1978"/>
      <c r="Q5" s="1978"/>
      <c r="R5" s="1978"/>
      <c r="S5" s="1978"/>
    </row>
    <row r="6" spans="1:28" ht="14.1" customHeight="1" x14ac:dyDescent="0.2">
      <c r="B6" s="104"/>
      <c r="C6" s="26" t="s">
        <v>911</v>
      </c>
      <c r="D6" s="84"/>
      <c r="E6" s="84"/>
      <c r="I6" s="2032" t="s">
        <v>883</v>
      </c>
      <c r="J6" s="1978"/>
      <c r="K6" s="1978"/>
      <c r="L6" s="1978"/>
      <c r="M6" s="1978"/>
      <c r="N6" s="1978"/>
      <c r="O6" s="1978"/>
      <c r="P6" s="1978"/>
      <c r="Q6" s="1978"/>
      <c r="R6" s="1978"/>
      <c r="S6" s="1978"/>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1974" t="s">
        <v>533</v>
      </c>
      <c r="U9" s="1975"/>
      <c r="V9" s="1975"/>
      <c r="W9" s="1975"/>
      <c r="X9" s="1975"/>
      <c r="Y9" s="1975"/>
      <c r="Z9" s="1975"/>
      <c r="AA9" s="1976"/>
    </row>
    <row r="10" spans="1:28" ht="13.5" customHeight="1" x14ac:dyDescent="0.2">
      <c r="A10" s="1983" t="s">
        <v>675</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955</v>
      </c>
      <c r="B11" s="1987"/>
      <c r="C11" s="1987"/>
      <c r="D11" s="1987"/>
      <c r="E11" s="1987"/>
      <c r="F11" s="1987"/>
      <c r="G11" s="1987"/>
      <c r="H11" s="1988"/>
      <c r="I11" s="27"/>
      <c r="J11" s="74"/>
      <c r="K11" s="27"/>
      <c r="O11" s="148" t="s">
        <v>2061</v>
      </c>
      <c r="P11" s="100" t="s">
        <v>201</v>
      </c>
      <c r="Q11" s="30"/>
      <c r="R11" s="28"/>
      <c r="S11" s="27"/>
      <c r="T11" s="1980"/>
      <c r="U11" s="1981"/>
      <c r="V11" s="1981"/>
      <c r="W11" s="1981"/>
      <c r="X11" s="1981"/>
      <c r="Y11" s="1981"/>
      <c r="Z11" s="1981"/>
      <c r="AA11" s="198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4">
        <v>30002001022</v>
      </c>
      <c r="B13" s="1995"/>
      <c r="C13" s="1995"/>
      <c r="D13" s="1995"/>
      <c r="E13" s="1995"/>
      <c r="F13" s="1995"/>
      <c r="G13" s="1995"/>
      <c r="H13" s="1996"/>
      <c r="I13" s="31"/>
      <c r="J13" s="30"/>
      <c r="K13" s="28"/>
      <c r="L13" s="30"/>
      <c r="M13" s="30"/>
      <c r="N13" s="30"/>
      <c r="O13" s="30"/>
      <c r="P13" s="30"/>
      <c r="Q13" s="30"/>
      <c r="R13" s="30"/>
      <c r="S13" s="30"/>
      <c r="T13" s="1999" t="s">
        <v>2070</v>
      </c>
      <c r="U13" s="2000"/>
      <c r="V13" s="2000"/>
      <c r="W13" s="2000"/>
      <c r="X13" s="2000"/>
      <c r="Y13" s="2001"/>
      <c r="Z13" s="2001"/>
      <c r="AA13" s="200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2" t="s">
        <v>2063</v>
      </c>
      <c r="B15" s="1997"/>
      <c r="C15" s="1997"/>
      <c r="D15" s="1997"/>
      <c r="E15" s="1997"/>
      <c r="F15" s="1997"/>
      <c r="G15" s="1997"/>
      <c r="H15" s="1998"/>
      <c r="T15" s="1960" t="s">
        <v>2071</v>
      </c>
      <c r="U15" s="1961"/>
      <c r="V15" s="1961"/>
      <c r="W15" s="1961"/>
      <c r="X15" s="1961"/>
      <c r="Y15" s="2003"/>
      <c r="Z15" s="2003"/>
      <c r="AA15" s="200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2" t="s">
        <v>2176</v>
      </c>
      <c r="B17" s="2022"/>
      <c r="C17" s="2022"/>
      <c r="D17" s="2022"/>
      <c r="E17" s="2022"/>
      <c r="F17" s="2022"/>
      <c r="G17" s="2022"/>
      <c r="H17" s="2023"/>
      <c r="T17" s="2009" t="s">
        <v>2072</v>
      </c>
      <c r="U17" s="2010"/>
      <c r="V17" s="2010"/>
      <c r="W17" s="2010"/>
      <c r="X17" s="2010"/>
      <c r="Y17" s="2010"/>
      <c r="Z17" s="2010"/>
      <c r="AA17" s="2011"/>
    </row>
    <row r="18" spans="1:27" ht="13.5" customHeight="1" x14ac:dyDescent="0.2">
      <c r="A18" s="85" t="s">
        <v>530</v>
      </c>
      <c r="B18" s="76"/>
      <c r="C18" s="72"/>
      <c r="D18" s="76"/>
      <c r="E18" s="76"/>
      <c r="F18" s="76"/>
      <c r="G18" s="76"/>
      <c r="H18" s="56"/>
      <c r="I18" s="2019" t="s">
        <v>676</v>
      </c>
      <c r="J18" s="2020"/>
      <c r="K18" s="2020"/>
      <c r="L18" s="2020"/>
      <c r="M18" s="2020"/>
      <c r="N18" s="2020"/>
      <c r="O18" s="2020"/>
      <c r="P18" s="2020"/>
      <c r="Q18" s="2020"/>
      <c r="R18" s="2020"/>
      <c r="S18" s="2021"/>
      <c r="T18" s="85" t="s">
        <v>711</v>
      </c>
      <c r="U18" s="51"/>
      <c r="V18" s="72"/>
      <c r="W18" s="50"/>
      <c r="X18" s="85" t="s">
        <v>266</v>
      </c>
      <c r="Y18" s="81"/>
      <c r="Z18" s="159" t="s">
        <v>677</v>
      </c>
      <c r="AA18" s="46"/>
    </row>
    <row r="19" spans="1:27" ht="13.5" customHeight="1" x14ac:dyDescent="0.2">
      <c r="A19" s="1992" t="s">
        <v>2064</v>
      </c>
      <c r="B19" s="1993"/>
      <c r="C19" s="1993"/>
      <c r="D19" s="1993"/>
      <c r="E19" s="1993"/>
      <c r="F19" s="1993"/>
      <c r="G19" s="1993"/>
      <c r="H19" s="1991"/>
      <c r="I19" s="30"/>
      <c r="J19" s="99"/>
      <c r="K19" s="40"/>
      <c r="L19" s="38"/>
      <c r="M19" s="112" t="s">
        <v>315</v>
      </c>
      <c r="P19" s="27"/>
      <c r="Q19" s="27"/>
      <c r="R19" s="27"/>
      <c r="S19" s="31"/>
      <c r="T19" s="1992" t="s">
        <v>2073</v>
      </c>
      <c r="U19" s="1990"/>
      <c r="V19" s="1990"/>
      <c r="W19" s="1991"/>
      <c r="X19" s="2007" t="s">
        <v>2074</v>
      </c>
      <c r="Y19" s="2008"/>
      <c r="Z19" s="2005">
        <v>63703</v>
      </c>
      <c r="AA19" s="200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9" t="s">
        <v>2065</v>
      </c>
      <c r="B21" s="1990"/>
      <c r="C21" s="1990"/>
      <c r="D21" s="1990"/>
      <c r="E21" s="1990"/>
      <c r="F21" s="1990"/>
      <c r="G21" s="1990"/>
      <c r="H21" s="1991"/>
      <c r="I21" s="2015" t="s">
        <v>678</v>
      </c>
      <c r="J21" s="1978"/>
      <c r="K21" s="1978"/>
      <c r="L21" s="1978"/>
      <c r="M21" s="1978"/>
      <c r="N21" s="1978"/>
      <c r="O21" s="1978"/>
      <c r="P21" s="1978"/>
      <c r="Q21" s="1978"/>
      <c r="R21" s="1978"/>
      <c r="S21" s="1979"/>
      <c r="T21" s="1957" t="s">
        <v>2075</v>
      </c>
      <c r="U21" s="1958"/>
      <c r="V21" s="1958"/>
      <c r="W21" s="1958"/>
      <c r="X21" s="1971" t="s">
        <v>2076</v>
      </c>
      <c r="Y21" s="1972"/>
      <c r="Z21" s="1972"/>
      <c r="AA21" s="1973"/>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1516</v>
      </c>
      <c r="U22" s="51"/>
      <c r="V22" s="72"/>
      <c r="W22" s="51"/>
      <c r="X22" s="160" t="s">
        <v>1318</v>
      </c>
      <c r="Z22" s="45"/>
      <c r="AA22" s="46"/>
    </row>
    <row r="23" spans="1:27" ht="13.5" customHeight="1" x14ac:dyDescent="0.2">
      <c r="A23" s="2012" t="s">
        <v>2066</v>
      </c>
      <c r="B23" s="2013"/>
      <c r="C23" s="2013"/>
      <c r="D23" s="2013"/>
      <c r="E23" s="2013"/>
      <c r="F23" s="2013"/>
      <c r="G23" s="2013"/>
      <c r="H23" s="2014"/>
      <c r="T23" s="1952" t="s">
        <v>2077</v>
      </c>
      <c r="U23" s="1953"/>
      <c r="V23" s="1953"/>
      <c r="W23" s="1953"/>
      <c r="X23" s="1968">
        <v>44530</v>
      </c>
      <c r="Y23" s="1969"/>
      <c r="Z23" s="1969"/>
      <c r="AA23" s="1970"/>
    </row>
    <row r="24" spans="1:27" ht="14.1" customHeight="1" x14ac:dyDescent="0.2">
      <c r="A24" s="88" t="s">
        <v>677</v>
      </c>
      <c r="B24" s="49"/>
      <c r="C24" s="49"/>
      <c r="D24" s="49"/>
      <c r="E24" s="49"/>
      <c r="F24" s="49"/>
      <c r="G24" s="49"/>
      <c r="H24" s="61"/>
      <c r="J24" s="2054">
        <f>IF(B5="x",IF(AUDITCHECK!D29="AFR form Incomplete.","",IF(AUDITCHECK!D29="Deficit reduction plan is required.","School District must complete a deficit reduction plan in the 2019-2020 Budget",)),"")</f>
        <v>0</v>
      </c>
      <c r="K24" s="2054"/>
      <c r="L24" s="2054"/>
      <c r="M24" s="2054"/>
      <c r="N24" s="2054"/>
      <c r="O24" s="2054"/>
      <c r="P24" s="2054"/>
      <c r="Q24" s="2054"/>
      <c r="R24" s="2054"/>
      <c r="S24" s="2055"/>
      <c r="T24" s="105" t="s">
        <v>531</v>
      </c>
      <c r="U24" s="106"/>
      <c r="V24" s="106"/>
      <c r="W24" s="106"/>
      <c r="X24" s="107"/>
      <c r="Y24" s="107"/>
      <c r="Z24" s="107"/>
      <c r="AA24" s="108"/>
    </row>
    <row r="25" spans="1:27" ht="14.1" customHeight="1" x14ac:dyDescent="0.2">
      <c r="A25" s="1989">
        <v>62914</v>
      </c>
      <c r="B25" s="1990"/>
      <c r="C25" s="1990"/>
      <c r="D25" s="1990"/>
      <c r="E25" s="1990"/>
      <c r="F25" s="1990"/>
      <c r="G25" s="1990"/>
      <c r="H25" s="1991"/>
      <c r="I25" s="113"/>
      <c r="J25" s="2056"/>
      <c r="K25" s="2056"/>
      <c r="L25" s="2056"/>
      <c r="M25" s="2056"/>
      <c r="N25" s="2056"/>
      <c r="O25" s="2056"/>
      <c r="P25" s="2056"/>
      <c r="Q25" s="2056"/>
      <c r="R25" s="2056"/>
      <c r="S25" s="2057"/>
      <c r="T25" s="1949" t="s">
        <v>2078</v>
      </c>
      <c r="U25" s="1950"/>
      <c r="V25" s="1950"/>
      <c r="W25" s="1950"/>
      <c r="X25" s="1950"/>
      <c r="Y25" s="1950"/>
      <c r="Z25" s="1950"/>
      <c r="AA25" s="19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7" t="s">
        <v>1511</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3"/>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2" t="s">
        <v>2067</v>
      </c>
      <c r="B38" s="2022"/>
      <c r="C38" s="2022"/>
      <c r="D38" s="2022"/>
      <c r="E38" s="2022"/>
      <c r="F38" s="1990"/>
      <c r="G38" s="1990"/>
      <c r="H38" s="1991"/>
      <c r="I38" s="2041"/>
      <c r="J38" s="1961"/>
      <c r="K38" s="1961"/>
      <c r="L38" s="1961"/>
      <c r="M38" s="1961"/>
      <c r="N38" s="1961"/>
      <c r="O38" s="1961"/>
      <c r="P38" s="1962"/>
      <c r="Q38" s="1962"/>
      <c r="R38" s="1962"/>
      <c r="S38" s="1963"/>
      <c r="T38" s="1960"/>
      <c r="U38" s="1961"/>
      <c r="V38" s="1961"/>
      <c r="W38" s="1961"/>
      <c r="X38" s="1962"/>
      <c r="Y38" s="1962"/>
      <c r="Z38" s="1962"/>
      <c r="AA38" s="1963"/>
    </row>
    <row r="39" spans="1:27" ht="12" customHeight="1" x14ac:dyDescent="0.2">
      <c r="A39" s="2045" t="s">
        <v>531</v>
      </c>
      <c r="B39" s="2046"/>
      <c r="C39" s="72"/>
      <c r="D39" s="69"/>
      <c r="E39" s="69"/>
      <c r="F39" s="79"/>
      <c r="G39" s="69"/>
      <c r="H39" s="56"/>
      <c r="I39" s="2045" t="s">
        <v>531</v>
      </c>
      <c r="J39" s="2046"/>
      <c r="K39" s="2046"/>
      <c r="L39" s="2046"/>
      <c r="M39" s="2046"/>
      <c r="N39" s="67"/>
      <c r="O39" s="72"/>
      <c r="P39" s="72"/>
      <c r="Q39" s="78"/>
      <c r="R39" s="72"/>
      <c r="S39" s="56"/>
      <c r="T39" s="72" t="s">
        <v>531</v>
      </c>
      <c r="U39" s="51"/>
      <c r="V39" s="72"/>
      <c r="W39" s="50"/>
      <c r="X39" s="78"/>
      <c r="Y39" s="45"/>
      <c r="Z39" s="45"/>
      <c r="AA39" s="46"/>
    </row>
    <row r="40" spans="1:27" ht="13.5" customHeight="1" x14ac:dyDescent="0.2">
      <c r="A40" s="2048" t="s">
        <v>2066</v>
      </c>
      <c r="B40" s="2049"/>
      <c r="C40" s="2050"/>
      <c r="D40" s="2050"/>
      <c r="E40" s="2050"/>
      <c r="F40" s="2051"/>
      <c r="G40" s="2051"/>
      <c r="H40" s="2052"/>
      <c r="I40" s="1964"/>
      <c r="J40" s="1966"/>
      <c r="K40" s="1966"/>
      <c r="L40" s="1966"/>
      <c r="M40" s="1966"/>
      <c r="N40" s="1966"/>
      <c r="O40" s="1966"/>
      <c r="P40" s="1966"/>
      <c r="Q40" s="1966"/>
      <c r="R40" s="1966"/>
      <c r="S40" s="1967"/>
      <c r="T40" s="1964"/>
      <c r="U40" s="1965"/>
      <c r="V40" s="1966"/>
      <c r="W40" s="1966"/>
      <c r="X40" s="1966"/>
      <c r="Y40" s="1966"/>
      <c r="Z40" s="1966"/>
      <c r="AA40" s="196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8" t="s">
        <v>2068</v>
      </c>
      <c r="B42" s="2039"/>
      <c r="C42" s="2040"/>
      <c r="D42" s="2053" t="s">
        <v>2069</v>
      </c>
      <c r="E42" s="2039"/>
      <c r="F42" s="2039"/>
      <c r="G42" s="2039"/>
      <c r="H42" s="2040"/>
      <c r="I42" s="1959"/>
      <c r="J42" s="1955"/>
      <c r="K42" s="1955"/>
      <c r="L42" s="1955"/>
      <c r="M42" s="1955"/>
      <c r="N42" s="1955"/>
      <c r="O42" s="1956"/>
      <c r="P42" s="1954"/>
      <c r="Q42" s="1955"/>
      <c r="R42" s="1955"/>
      <c r="S42" s="1956"/>
      <c r="T42" s="1959"/>
      <c r="U42" s="1955"/>
      <c r="V42" s="1955"/>
      <c r="W42" s="1956"/>
      <c r="X42" s="1954"/>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2"/>
      <c r="B44" s="2043"/>
      <c r="C44" s="2043"/>
      <c r="D44" s="2043"/>
      <c r="E44" s="2043"/>
      <c r="F44" s="2043"/>
      <c r="G44" s="2043"/>
      <c r="H44" s="2044"/>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1" t="s">
        <v>1799</v>
      </c>
      <c r="B2" s="1528" t="s">
        <v>1948</v>
      </c>
      <c r="C2" s="714" t="s">
        <v>1949</v>
      </c>
      <c r="D2" s="714" t="s">
        <v>1950</v>
      </c>
      <c r="E2" s="714" t="s">
        <v>1951</v>
      </c>
      <c r="F2" s="714" t="s">
        <v>1952</v>
      </c>
    </row>
    <row r="3" spans="1:6" ht="12" customHeight="1" x14ac:dyDescent="0.2">
      <c r="A3" s="2192"/>
      <c r="B3" s="1525"/>
      <c r="C3" s="1526"/>
      <c r="D3" s="1527" t="s">
        <v>256</v>
      </c>
      <c r="E3" s="1526"/>
      <c r="F3" s="1527" t="s">
        <v>257</v>
      </c>
    </row>
    <row r="4" spans="1:6" ht="13.7" customHeight="1" x14ac:dyDescent="0.2">
      <c r="A4" s="715" t="s">
        <v>1155</v>
      </c>
      <c r="B4" s="1749">
        <f>'Revenues 9-14'!C5</f>
        <v>315053</v>
      </c>
      <c r="C4" s="1524"/>
      <c r="D4" s="1752">
        <f>B4-C4</f>
        <v>315053</v>
      </c>
      <c r="E4" s="1524">
        <v>326142</v>
      </c>
      <c r="F4" s="1752">
        <f>E4-C4</f>
        <v>326142</v>
      </c>
    </row>
    <row r="5" spans="1:6" ht="13.7" customHeight="1" x14ac:dyDescent="0.2">
      <c r="A5" s="715" t="s">
        <v>870</v>
      </c>
      <c r="B5" s="1750">
        <f>'Revenues 9-14'!D5</f>
        <v>85186</v>
      </c>
      <c r="C5" s="585"/>
      <c r="D5" s="1753">
        <f t="shared" ref="D5:D18" si="0">B5-C5</f>
        <v>85186</v>
      </c>
      <c r="E5" s="585">
        <v>88185</v>
      </c>
      <c r="F5" s="1753">
        <f>E5-C5</f>
        <v>88185</v>
      </c>
    </row>
    <row r="6" spans="1:6" ht="13.7" customHeight="1" x14ac:dyDescent="0.2">
      <c r="A6" s="715" t="s">
        <v>411</v>
      </c>
      <c r="B6" s="1750">
        <f>'Revenues 9-14'!E5</f>
        <v>144549</v>
      </c>
      <c r="C6" s="585"/>
      <c r="D6" s="1753">
        <f t="shared" si="0"/>
        <v>144549</v>
      </c>
      <c r="E6" s="585">
        <v>145295</v>
      </c>
      <c r="F6" s="1753">
        <f t="shared" ref="F6:F18" si="1">E6-C6</f>
        <v>145295</v>
      </c>
    </row>
    <row r="7" spans="1:6" ht="13.7" customHeight="1" x14ac:dyDescent="0.2">
      <c r="A7" s="715" t="s">
        <v>155</v>
      </c>
      <c r="B7" s="1750">
        <f>'Revenues 9-14'!F5</f>
        <v>34075</v>
      </c>
      <c r="C7" s="585"/>
      <c r="D7" s="1753">
        <f t="shared" si="0"/>
        <v>34075</v>
      </c>
      <c r="E7" s="585">
        <v>35274</v>
      </c>
      <c r="F7" s="1753">
        <f t="shared" si="1"/>
        <v>35274</v>
      </c>
    </row>
    <row r="8" spans="1:6" ht="13.7" customHeight="1" x14ac:dyDescent="0.2">
      <c r="A8" s="715" t="s">
        <v>1179</v>
      </c>
      <c r="B8" s="1750">
        <f>'Revenues 9-14'!G5</f>
        <v>72063</v>
      </c>
      <c r="C8" s="585"/>
      <c r="D8" s="1753">
        <f t="shared" si="0"/>
        <v>72063</v>
      </c>
      <c r="E8" s="585">
        <v>50000</v>
      </c>
      <c r="F8" s="1753">
        <f t="shared" si="1"/>
        <v>50000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8519</v>
      </c>
      <c r="C10" s="585"/>
      <c r="D10" s="1753">
        <f t="shared" si="0"/>
        <v>8519</v>
      </c>
      <c r="E10" s="585">
        <v>8818</v>
      </c>
      <c r="F10" s="1753">
        <f t="shared" si="1"/>
        <v>8818</v>
      </c>
    </row>
    <row r="11" spans="1:6" x14ac:dyDescent="0.2">
      <c r="A11" s="715" t="s">
        <v>409</v>
      </c>
      <c r="B11" s="1750">
        <f>'Revenues 9-14'!J5</f>
        <v>174132</v>
      </c>
      <c r="C11" s="585"/>
      <c r="D11" s="1753">
        <f t="shared" si="0"/>
        <v>174132</v>
      </c>
      <c r="E11" s="585">
        <v>175000</v>
      </c>
      <c r="F11" s="1753">
        <f t="shared" si="1"/>
        <v>175000</v>
      </c>
    </row>
    <row r="12" spans="1:6" ht="13.7" customHeight="1" x14ac:dyDescent="0.2">
      <c r="A12" s="715" t="s">
        <v>157</v>
      </c>
      <c r="B12" s="1750">
        <f>'Revenues 9-14'!K5</f>
        <v>8519</v>
      </c>
      <c r="C12" s="585"/>
      <c r="D12" s="1753">
        <f t="shared" si="0"/>
        <v>8519</v>
      </c>
      <c r="E12" s="585">
        <v>8818</v>
      </c>
      <c r="F12" s="1753">
        <f t="shared" si="1"/>
        <v>8818</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6815</v>
      </c>
      <c r="C14" s="585"/>
      <c r="D14" s="1753">
        <f t="shared" si="0"/>
        <v>6815</v>
      </c>
      <c r="E14" s="585">
        <v>7055</v>
      </c>
      <c r="F14" s="1753">
        <f t="shared" si="1"/>
        <v>7055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60859</v>
      </c>
      <c r="C16" s="585"/>
      <c r="D16" s="1753">
        <f t="shared" si="0"/>
        <v>60859</v>
      </c>
      <c r="E16" s="585">
        <v>40000</v>
      </c>
      <c r="F16" s="1753">
        <f t="shared" si="1"/>
        <v>40000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909770</v>
      </c>
      <c r="C19" s="1751">
        <f>SUM(C4:C18)</f>
        <v>0</v>
      </c>
      <c r="D19" s="1751">
        <f>SUM(D4:D18)</f>
        <v>909770</v>
      </c>
      <c r="E19" s="1751">
        <f>SUM(E4:E18)</f>
        <v>884587</v>
      </c>
      <c r="F19" s="1751">
        <f>SUM(F4:F18)</f>
        <v>884587</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7" right="0.7" top="1.65" bottom="0.52" header="0.44" footer="0.42"/>
  <pageSetup scale="93"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1"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7" t="s">
        <v>629</v>
      </c>
      <c r="B1" s="2198"/>
      <c r="C1" s="721"/>
    </row>
    <row r="2" spans="1:7" ht="33.75" x14ac:dyDescent="0.2">
      <c r="A2" s="2206" t="s">
        <v>1799</v>
      </c>
      <c r="B2" s="2207"/>
      <c r="C2" s="1884" t="s">
        <v>1953</v>
      </c>
      <c r="D2" s="723" t="s">
        <v>1954</v>
      </c>
      <c r="E2" s="723" t="s">
        <v>1955</v>
      </c>
      <c r="F2" s="1884" t="s">
        <v>1956</v>
      </c>
    </row>
    <row r="3" spans="1:7" ht="15.75" customHeight="1" x14ac:dyDescent="0.2">
      <c r="A3" s="2210" t="s">
        <v>1114</v>
      </c>
      <c r="B3" s="2211"/>
      <c r="C3" s="2199"/>
      <c r="D3" s="2200"/>
      <c r="E3" s="2200"/>
      <c r="F3" s="2201"/>
    </row>
    <row r="4" spans="1:7" ht="12.75" customHeight="1" thickBot="1" x14ac:dyDescent="0.25">
      <c r="A4" s="2208" t="s">
        <v>630</v>
      </c>
      <c r="B4" s="2209"/>
      <c r="C4" s="581"/>
      <c r="D4" s="581"/>
      <c r="E4" s="581"/>
      <c r="F4" s="1755">
        <f>SUM(C4+D4)-E4</f>
        <v>0</v>
      </c>
    </row>
    <row r="5" spans="1:7" ht="15.75" customHeight="1" thickTop="1" x14ac:dyDescent="0.2">
      <c r="A5" s="2193" t="s">
        <v>1110</v>
      </c>
      <c r="B5" s="2194"/>
      <c r="C5" s="2202"/>
      <c r="D5" s="2203"/>
      <c r="E5" s="2203"/>
      <c r="F5" s="220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5" t="s">
        <v>1111</v>
      </c>
      <c r="B16" s="2194"/>
      <c r="C16" s="2202"/>
      <c r="D16" s="2203"/>
      <c r="E16" s="2203"/>
      <c r="F16" s="2204"/>
    </row>
    <row r="17" spans="1:11" ht="12.75" customHeight="1" thickBot="1" x14ac:dyDescent="0.25">
      <c r="A17" s="2218" t="s">
        <v>64</v>
      </c>
      <c r="B17" s="2219"/>
      <c r="C17" s="726"/>
      <c r="D17" s="585"/>
      <c r="E17" s="726"/>
      <c r="F17" s="1755">
        <f>SUM(C17+D17)-E17</f>
        <v>0</v>
      </c>
    </row>
    <row r="18" spans="1:11" ht="12.75" customHeight="1" thickTop="1" thickBot="1" x14ac:dyDescent="0.25">
      <c r="A18" s="2218" t="s">
        <v>6</v>
      </c>
      <c r="B18" s="2219"/>
      <c r="C18" s="726"/>
      <c r="D18" s="585"/>
      <c r="E18" s="726"/>
      <c r="F18" s="1755">
        <f>SUM(C18+D18)-E18</f>
        <v>0</v>
      </c>
    </row>
    <row r="19" spans="1:11" ht="12.75" customHeight="1" thickTop="1" thickBot="1" x14ac:dyDescent="0.25">
      <c r="A19" s="2218" t="s">
        <v>388</v>
      </c>
      <c r="B19" s="2219"/>
      <c r="C19" s="726"/>
      <c r="D19" s="585"/>
      <c r="E19" s="726"/>
      <c r="F19" s="1755">
        <f>SUM(C19+D19)-E19</f>
        <v>0</v>
      </c>
    </row>
    <row r="20" spans="1:11" ht="12.75" customHeight="1" thickTop="1" thickBot="1" x14ac:dyDescent="0.25">
      <c r="A20" s="2218" t="s">
        <v>448</v>
      </c>
      <c r="B20" s="2219"/>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220" t="s">
        <v>1112</v>
      </c>
      <c r="B22" s="2194"/>
      <c r="C22" s="2202"/>
      <c r="D22" s="2203"/>
      <c r="E22" s="2203"/>
      <c r="F22" s="2204"/>
    </row>
    <row r="23" spans="1:11" ht="13.5" thickBot="1" x14ac:dyDescent="0.25">
      <c r="A23" s="2208" t="s">
        <v>633</v>
      </c>
      <c r="B23" s="2209"/>
      <c r="C23" s="581"/>
      <c r="D23" s="581"/>
      <c r="E23" s="581"/>
      <c r="F23" s="1755">
        <f>SUM(C23+D23)-E23</f>
        <v>0</v>
      </c>
      <c r="G23" s="552"/>
    </row>
    <row r="24" spans="1:11" ht="15.75" customHeight="1" thickTop="1" x14ac:dyDescent="0.2">
      <c r="A24" s="2220" t="s">
        <v>1113</v>
      </c>
      <c r="B24" s="2194"/>
      <c r="C24" s="2202"/>
      <c r="D24" s="2203"/>
      <c r="E24" s="2203"/>
      <c r="F24" s="2204"/>
    </row>
    <row r="25" spans="1:11" ht="13.5" thickBot="1" x14ac:dyDescent="0.25">
      <c r="A25" s="2208" t="s">
        <v>634</v>
      </c>
      <c r="B25" s="2209"/>
      <c r="C25" s="581"/>
      <c r="D25" s="581"/>
      <c r="E25" s="581"/>
      <c r="F25" s="1755">
        <f>SUM(C25+D25)-E25</f>
        <v>0</v>
      </c>
      <c r="G25" s="552"/>
    </row>
    <row r="26" spans="1:11" ht="15.75" customHeight="1" thickTop="1" x14ac:dyDescent="0.2">
      <c r="A26" s="2193" t="s">
        <v>657</v>
      </c>
      <c r="B26" s="2194"/>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21" t="s">
        <v>582</v>
      </c>
      <c r="B29" s="2198"/>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2080</v>
      </c>
      <c r="B31" s="733">
        <v>42303</v>
      </c>
      <c r="C31" s="734">
        <v>605000</v>
      </c>
      <c r="D31" s="735">
        <v>3</v>
      </c>
      <c r="E31" s="734">
        <v>420600</v>
      </c>
      <c r="F31" s="734"/>
      <c r="G31" s="734"/>
      <c r="H31" s="734">
        <v>137700</v>
      </c>
      <c r="I31" s="1756">
        <f>((E31+F31)-H31)+G31</f>
        <v>282900</v>
      </c>
      <c r="J31" s="734">
        <v>255214</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605000</v>
      </c>
      <c r="D49" s="745"/>
      <c r="E49" s="1756">
        <f t="shared" ref="E49:J49" si="2">SUM(E31:E48)</f>
        <v>420600</v>
      </c>
      <c r="F49" s="1756">
        <f t="shared" si="2"/>
        <v>0</v>
      </c>
      <c r="G49" s="1756">
        <f t="shared" si="2"/>
        <v>0</v>
      </c>
      <c r="H49" s="1756">
        <f t="shared" si="2"/>
        <v>137700</v>
      </c>
      <c r="I49" s="1756">
        <f t="shared" si="2"/>
        <v>282900</v>
      </c>
      <c r="J49" s="1756">
        <f t="shared" si="2"/>
        <v>255214</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2" t="s">
        <v>584</v>
      </c>
      <c r="C52" s="2213"/>
      <c r="D52" s="2213"/>
      <c r="E52" s="749" t="s">
        <v>845</v>
      </c>
      <c r="F52" s="2214"/>
      <c r="G52" s="2215"/>
      <c r="H52" s="736"/>
      <c r="I52" s="736"/>
      <c r="J52" s="746"/>
    </row>
    <row r="53" spans="1:11" ht="11.25" customHeight="1" x14ac:dyDescent="0.2">
      <c r="A53" s="750" t="s">
        <v>913</v>
      </c>
      <c r="B53" s="751" t="s">
        <v>951</v>
      </c>
      <c r="C53" s="746"/>
      <c r="D53" s="737"/>
      <c r="E53" s="749" t="s">
        <v>497</v>
      </c>
      <c r="F53" s="2216"/>
      <c r="G53" s="2217"/>
      <c r="H53" s="736"/>
      <c r="I53" s="736"/>
      <c r="J53" s="746"/>
    </row>
    <row r="54" spans="1:11" ht="11.25" customHeight="1" x14ac:dyDescent="0.2">
      <c r="A54" s="752" t="s">
        <v>914</v>
      </c>
      <c r="B54" s="747" t="s">
        <v>952</v>
      </c>
      <c r="C54" s="746"/>
      <c r="D54" s="737"/>
      <c r="E54" s="749" t="s">
        <v>498</v>
      </c>
      <c r="F54" s="2216"/>
      <c r="G54" s="221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4" sqref="K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856</v>
      </c>
      <c r="B1" s="2247"/>
      <c r="C1" s="2247"/>
      <c r="D1" s="2247"/>
      <c r="E1" s="2247"/>
      <c r="F1" s="2247"/>
      <c r="G1" s="2248"/>
      <c r="H1" s="1530"/>
      <c r="I1" s="760"/>
      <c r="J1" s="433"/>
    </row>
    <row r="2" spans="1:11" ht="26.25" x14ac:dyDescent="0.2">
      <c r="A2" s="2225" t="s">
        <v>1677</v>
      </c>
      <c r="B2" s="2226"/>
      <c r="C2" s="2226"/>
      <c r="D2" s="2226"/>
      <c r="E2" s="2227"/>
      <c r="F2" s="761" t="s">
        <v>904</v>
      </c>
      <c r="G2" s="762" t="s">
        <v>1674</v>
      </c>
      <c r="H2" s="762" t="s">
        <v>410</v>
      </c>
      <c r="I2" s="762" t="s">
        <v>1158</v>
      </c>
      <c r="J2" s="762" t="s">
        <v>1809</v>
      </c>
      <c r="K2" s="762" t="s">
        <v>138</v>
      </c>
    </row>
    <row r="3" spans="1:11" x14ac:dyDescent="0.2">
      <c r="A3" s="2228" t="s">
        <v>1961</v>
      </c>
      <c r="B3" s="2229"/>
      <c r="C3" s="2229"/>
      <c r="D3" s="2229"/>
      <c r="E3" s="2230"/>
      <c r="F3" s="763"/>
      <c r="G3" s="764"/>
      <c r="H3" s="764"/>
      <c r="I3" s="764"/>
      <c r="J3" s="765"/>
      <c r="K3" s="765"/>
    </row>
    <row r="4" spans="1:11" x14ac:dyDescent="0.2">
      <c r="A4" s="2231" t="s">
        <v>369</v>
      </c>
      <c r="B4" s="2232"/>
      <c r="C4" s="2232"/>
      <c r="D4" s="2232"/>
      <c r="E4" s="2213"/>
      <c r="F4" s="766"/>
      <c r="G4" s="767"/>
      <c r="H4" s="768"/>
      <c r="I4" s="767"/>
      <c r="J4" s="769"/>
      <c r="K4" s="769"/>
    </row>
    <row r="5" spans="1:11" x14ac:dyDescent="0.2">
      <c r="A5" s="2249" t="s">
        <v>1069</v>
      </c>
      <c r="B5" s="2222"/>
      <c r="C5" s="2222"/>
      <c r="D5" s="2222"/>
      <c r="E5" s="2250"/>
      <c r="F5" s="770" t="s">
        <v>848</v>
      </c>
      <c r="G5" s="771"/>
      <c r="H5" s="764">
        <v>6815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3890</v>
      </c>
    </row>
    <row r="10" spans="1:11" x14ac:dyDescent="0.2">
      <c r="A10" s="2249" t="s">
        <v>1810</v>
      </c>
      <c r="B10" s="2222"/>
      <c r="C10" s="2222"/>
      <c r="D10" s="2222"/>
      <c r="E10" s="2251"/>
      <c r="F10" s="783" t="s">
        <v>862</v>
      </c>
      <c r="G10" s="782"/>
      <c r="H10" s="784"/>
      <c r="I10" s="764"/>
      <c r="J10" s="765"/>
      <c r="K10" s="765"/>
    </row>
    <row r="11" spans="1:11" x14ac:dyDescent="0.2">
      <c r="A11" s="2249" t="s">
        <v>160</v>
      </c>
      <c r="B11" s="2222"/>
      <c r="C11" s="2222"/>
      <c r="D11" s="2222"/>
      <c r="E11" s="2250"/>
      <c r="F11" s="770" t="s">
        <v>852</v>
      </c>
      <c r="G11" s="771"/>
      <c r="H11" s="764"/>
      <c r="I11" s="764"/>
      <c r="J11" s="765"/>
      <c r="K11" s="773"/>
    </row>
    <row r="12" spans="1:11" ht="13.5" thickBot="1" x14ac:dyDescent="0.25">
      <c r="A12" s="2239" t="s">
        <v>905</v>
      </c>
      <c r="B12" s="2240"/>
      <c r="C12" s="2240"/>
      <c r="D12" s="2240"/>
      <c r="E12" s="2241"/>
      <c r="F12" s="1757"/>
      <c r="G12" s="1758">
        <f>SUM(G5:G11)</f>
        <v>0</v>
      </c>
      <c r="H12" s="1758">
        <f>SUM(H5:H11)</f>
        <v>6815</v>
      </c>
      <c r="I12" s="1758">
        <f>SUM(I5:I11)</f>
        <v>0</v>
      </c>
      <c r="J12" s="1758">
        <f>SUM(J5:J11)</f>
        <v>0</v>
      </c>
      <c r="K12" s="1758">
        <f>SUM(K5:K11)</f>
        <v>3890</v>
      </c>
    </row>
    <row r="13" spans="1:11" ht="13.5" thickTop="1" x14ac:dyDescent="0.2">
      <c r="A13" s="2233" t="s">
        <v>370</v>
      </c>
      <c r="B13" s="2234"/>
      <c r="C13" s="2234"/>
      <c r="D13" s="2234"/>
      <c r="E13" s="2235"/>
      <c r="F13" s="785"/>
      <c r="G13" s="786"/>
      <c r="H13" s="787"/>
      <c r="I13" s="788"/>
      <c r="J13" s="788"/>
      <c r="K13" s="788"/>
    </row>
    <row r="14" spans="1:11" x14ac:dyDescent="0.2">
      <c r="A14" s="2255" t="s">
        <v>456</v>
      </c>
      <c r="B14" s="2255"/>
      <c r="C14" s="2255"/>
      <c r="D14" s="2255"/>
      <c r="E14" s="2256"/>
      <c r="F14" s="789" t="s">
        <v>854</v>
      </c>
      <c r="G14" s="782"/>
      <c r="H14" s="764">
        <v>6815</v>
      </c>
      <c r="I14" s="771"/>
      <c r="J14" s="773"/>
      <c r="K14" s="765">
        <v>3890</v>
      </c>
    </row>
    <row r="15" spans="1:11" x14ac:dyDescent="0.2">
      <c r="A15" s="2222" t="s">
        <v>4</v>
      </c>
      <c r="B15" s="2222"/>
      <c r="C15" s="2222"/>
      <c r="D15" s="2222"/>
      <c r="E15" s="2250"/>
      <c r="F15" s="789" t="s">
        <v>855</v>
      </c>
      <c r="G15" s="771"/>
      <c r="H15" s="764"/>
      <c r="I15" s="764"/>
      <c r="J15" s="765"/>
      <c r="K15" s="765"/>
    </row>
    <row r="16" spans="1:11" x14ac:dyDescent="0.2">
      <c r="A16" s="2222" t="s">
        <v>298</v>
      </c>
      <c r="B16" s="2222"/>
      <c r="C16" s="2222"/>
      <c r="D16" s="2222"/>
      <c r="E16" s="2250"/>
      <c r="F16" s="789" t="s">
        <v>923</v>
      </c>
      <c r="G16" s="772"/>
      <c r="H16" s="767"/>
      <c r="I16" s="767"/>
      <c r="J16" s="769"/>
      <c r="K16" s="769"/>
    </row>
    <row r="17" spans="1:11" x14ac:dyDescent="0.2">
      <c r="A17" s="2244" t="s">
        <v>935</v>
      </c>
      <c r="B17" s="2244"/>
      <c r="C17" s="2244"/>
      <c r="D17" s="2244"/>
      <c r="E17" s="2245"/>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57" t="s">
        <v>1806</v>
      </c>
      <c r="B19" s="2257"/>
      <c r="C19" s="2257"/>
      <c r="D19" s="2257"/>
      <c r="E19" s="2258"/>
      <c r="F19" s="789" t="s">
        <v>933</v>
      </c>
      <c r="G19" s="782"/>
      <c r="H19" s="782"/>
      <c r="I19" s="782"/>
      <c r="J19" s="765"/>
      <c r="K19" s="795"/>
    </row>
    <row r="20" spans="1:11" x14ac:dyDescent="0.2">
      <c r="A20" s="2236" t="s">
        <v>1811</v>
      </c>
      <c r="B20" s="2237"/>
      <c r="C20" s="2237"/>
      <c r="D20" s="2237"/>
      <c r="E20" s="2238"/>
      <c r="F20" s="789" t="s">
        <v>934</v>
      </c>
      <c r="G20" s="782"/>
      <c r="H20" s="782"/>
      <c r="I20" s="782"/>
      <c r="J20" s="765"/>
      <c r="K20" s="795"/>
    </row>
    <row r="21" spans="1:11" ht="13.5" thickBot="1" x14ac:dyDescent="0.25">
      <c r="A21" s="2242" t="s">
        <v>638</v>
      </c>
      <c r="B21" s="2242"/>
      <c r="C21" s="2242"/>
      <c r="D21" s="2242"/>
      <c r="E21" s="2242"/>
      <c r="F21" s="1759"/>
      <c r="G21" s="792"/>
      <c r="H21" s="796"/>
      <c r="I21" s="796"/>
      <c r="J21" s="1760">
        <f>SUM(J18:J20)</f>
        <v>0</v>
      </c>
      <c r="K21" s="793"/>
    </row>
    <row r="22" spans="1:11" ht="13.5" thickTop="1" x14ac:dyDescent="0.2">
      <c r="A22" s="2222" t="s">
        <v>1812</v>
      </c>
      <c r="B22" s="2222"/>
      <c r="C22" s="2222"/>
      <c r="D22" s="2222"/>
      <c r="E22" s="2250"/>
      <c r="F22" s="789" t="s">
        <v>862</v>
      </c>
      <c r="G22" s="782"/>
      <c r="H22" s="764"/>
      <c r="I22" s="764"/>
      <c r="J22" s="797"/>
      <c r="K22" s="765"/>
    </row>
    <row r="23" spans="1:11" ht="13.5" thickBot="1" x14ac:dyDescent="0.25">
      <c r="A23" s="2243" t="s">
        <v>906</v>
      </c>
      <c r="B23" s="2242"/>
      <c r="C23" s="2242"/>
      <c r="D23" s="2242"/>
      <c r="E23" s="2242"/>
      <c r="F23" s="1761"/>
      <c r="G23" s="1758">
        <f>SUM(G14:G16,G21,G22)</f>
        <v>0</v>
      </c>
      <c r="H23" s="1758">
        <f>SUM(H14:H16,H21,H22)</f>
        <v>6815</v>
      </c>
      <c r="I23" s="1758">
        <f>SUM(I14:I16,I21,I22)</f>
        <v>0</v>
      </c>
      <c r="J23" s="1758">
        <f>SUM(J14:J16,J21,J22)</f>
        <v>0</v>
      </c>
      <c r="K23" s="1758">
        <f>SUM(K14:K16,K21,K22)</f>
        <v>3890</v>
      </c>
    </row>
    <row r="24" spans="1:11" ht="14.25" thickTop="1" thickBot="1" x14ac:dyDescent="0.25">
      <c r="A24" s="2243" t="s">
        <v>1962</v>
      </c>
      <c r="B24" s="2242"/>
      <c r="C24" s="2242"/>
      <c r="D24" s="2242"/>
      <c r="E24" s="224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2"/>
      <c r="I31" s="2253"/>
      <c r="J31" s="2253"/>
      <c r="K31" s="2253"/>
    </row>
    <row r="32" spans="1:11" x14ac:dyDescent="0.2">
      <c r="A32" s="809"/>
      <c r="B32" s="237"/>
      <c r="C32" s="237"/>
      <c r="D32" s="237"/>
      <c r="E32" s="805"/>
      <c r="F32" s="811" t="s">
        <v>540</v>
      </c>
      <c r="G32" s="764"/>
      <c r="H32" s="2254"/>
      <c r="I32" s="2253"/>
      <c r="J32" s="2253"/>
      <c r="K32" s="2253"/>
    </row>
    <row r="33" spans="1:11" ht="1.5" customHeight="1" x14ac:dyDescent="0.2">
      <c r="A33" s="812" t="s">
        <v>1169</v>
      </c>
      <c r="B33" s="364"/>
      <c r="C33" s="364"/>
      <c r="D33" s="364"/>
      <c r="E33" s="364"/>
      <c r="F33" s="364"/>
      <c r="G33" s="813"/>
      <c r="H33" s="2254"/>
      <c r="I33" s="2253"/>
      <c r="J33" s="2253"/>
      <c r="K33" s="225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23"/>
      <c r="C41" s="2223"/>
      <c r="D41" s="2223"/>
      <c r="E41" s="2223"/>
      <c r="F41" s="222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35" right="0.17" top="0.83" bottom="0.5" header="0.46" footer="0.4"/>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1906</v>
      </c>
      <c r="B1" s="2262"/>
      <c r="C1" s="2263"/>
      <c r="D1" s="826"/>
      <c r="E1" s="827"/>
      <c r="F1" s="827"/>
      <c r="G1" s="828"/>
      <c r="H1" s="829"/>
      <c r="I1" s="830"/>
      <c r="J1" s="2259"/>
      <c r="K1" s="2260"/>
      <c r="L1" s="2260"/>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204945</v>
      </c>
      <c r="D5" s="841"/>
      <c r="E5" s="841"/>
      <c r="F5" s="1760">
        <f>(C5+D5)-E5</f>
        <v>204945</v>
      </c>
      <c r="G5" s="837"/>
      <c r="H5" s="842"/>
      <c r="I5" s="842"/>
      <c r="J5" s="842"/>
      <c r="K5" s="793"/>
      <c r="L5" s="1769">
        <f>F5-K5</f>
        <v>204945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8040810</v>
      </c>
      <c r="D8" s="844">
        <v>201977</v>
      </c>
      <c r="E8" s="844"/>
      <c r="F8" s="1760">
        <f>(C8+D8)-E8</f>
        <v>8242787</v>
      </c>
      <c r="G8" s="843">
        <v>50</v>
      </c>
      <c r="H8" s="765">
        <v>5348561</v>
      </c>
      <c r="I8" s="765">
        <v>136690</v>
      </c>
      <c r="J8" s="765"/>
      <c r="K8" s="1769">
        <f>(H8+I8)-J8</f>
        <v>5485251</v>
      </c>
      <c r="L8" s="1769">
        <f>F8-K8</f>
        <v>2757536</v>
      </c>
    </row>
    <row r="9" spans="1:14" ht="14.25" thickTop="1" thickBot="1" x14ac:dyDescent="0.25">
      <c r="A9" s="778" t="s">
        <v>1119</v>
      </c>
      <c r="B9" s="840">
        <v>232</v>
      </c>
      <c r="C9" s="765">
        <v>2085</v>
      </c>
      <c r="D9" s="765"/>
      <c r="E9" s="765"/>
      <c r="F9" s="1760">
        <f>(C9+D9)-E9</f>
        <v>2085</v>
      </c>
      <c r="G9" s="843">
        <v>20</v>
      </c>
      <c r="H9" s="765">
        <v>493</v>
      </c>
      <c r="I9" s="765">
        <v>84</v>
      </c>
      <c r="J9" s="765"/>
      <c r="K9" s="1769">
        <f>(H9+I9)-J9</f>
        <v>577</v>
      </c>
      <c r="L9" s="1769">
        <f>F9-K9</f>
        <v>1508</v>
      </c>
    </row>
    <row r="10" spans="1:14" ht="24" thickTop="1" thickBot="1" x14ac:dyDescent="0.25">
      <c r="A10" s="845" t="s">
        <v>1120</v>
      </c>
      <c r="B10" s="840">
        <v>240</v>
      </c>
      <c r="C10" s="846">
        <v>278579</v>
      </c>
      <c r="D10" s="846">
        <v>11200</v>
      </c>
      <c r="E10" s="846"/>
      <c r="F10" s="1764">
        <f>(C10+D10)-E10</f>
        <v>289779</v>
      </c>
      <c r="G10" s="843">
        <v>20</v>
      </c>
      <c r="H10" s="847">
        <v>82108</v>
      </c>
      <c r="I10" s="847">
        <v>14349</v>
      </c>
      <c r="J10" s="847"/>
      <c r="K10" s="1769">
        <f>(H10+I10)-J10</f>
        <v>96457</v>
      </c>
      <c r="L10" s="1769">
        <f>F10-K10</f>
        <v>193322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1169152</v>
      </c>
      <c r="D12" s="844">
        <v>59083</v>
      </c>
      <c r="E12" s="844"/>
      <c r="F12" s="1760">
        <f>(C12+D12)-E12</f>
        <v>1228235</v>
      </c>
      <c r="G12" s="843">
        <v>10</v>
      </c>
      <c r="H12" s="765">
        <v>974170</v>
      </c>
      <c r="I12" s="765">
        <v>36611</v>
      </c>
      <c r="J12" s="765"/>
      <c r="K12" s="1769">
        <f>(H12+I12)-J12</f>
        <v>1010781</v>
      </c>
      <c r="L12" s="1769">
        <f>F12-K12</f>
        <v>217454</v>
      </c>
    </row>
    <row r="13" spans="1:14" ht="14.25" thickTop="1" thickBot="1" x14ac:dyDescent="0.25">
      <c r="A13" s="848" t="s">
        <v>1122</v>
      </c>
      <c r="B13" s="840">
        <v>252</v>
      </c>
      <c r="C13" s="844">
        <v>171150</v>
      </c>
      <c r="D13" s="844">
        <v>92849</v>
      </c>
      <c r="E13" s="844"/>
      <c r="F13" s="1760">
        <f>(C13+D13)-E13</f>
        <v>263999</v>
      </c>
      <c r="G13" s="843">
        <v>5</v>
      </c>
      <c r="H13" s="765">
        <v>157665</v>
      </c>
      <c r="I13" s="765">
        <v>10310</v>
      </c>
      <c r="J13" s="765"/>
      <c r="K13" s="1769">
        <f>(H13+I13)-J13</f>
        <v>167975</v>
      </c>
      <c r="L13" s="1769">
        <f>F13-K13</f>
        <v>96024</v>
      </c>
    </row>
    <row r="14" spans="1:14" ht="14.25" thickTop="1" thickBot="1" x14ac:dyDescent="0.25">
      <c r="A14" s="848" t="s">
        <v>1123</v>
      </c>
      <c r="B14" s="840">
        <v>253</v>
      </c>
      <c r="C14" s="765">
        <v>29948</v>
      </c>
      <c r="D14" s="765"/>
      <c r="E14" s="765"/>
      <c r="F14" s="1760">
        <f>(C14+D14)-E14</f>
        <v>29948</v>
      </c>
      <c r="G14" s="843">
        <v>3</v>
      </c>
      <c r="H14" s="765">
        <v>29948</v>
      </c>
      <c r="I14" s="765"/>
      <c r="J14" s="765"/>
      <c r="K14" s="1769">
        <f>(H14+I14)-J14</f>
        <v>29948</v>
      </c>
      <c r="L14" s="1769">
        <f>F14-K14</f>
        <v>0</v>
      </c>
    </row>
    <row r="15" spans="1:14" ht="15" customHeight="1" thickTop="1" thickBot="1" x14ac:dyDescent="0.25">
      <c r="A15" s="1631" t="s">
        <v>528</v>
      </c>
      <c r="B15" s="1630">
        <v>260</v>
      </c>
      <c r="C15" s="844">
        <v>12920</v>
      </c>
      <c r="D15" s="844">
        <v>190706</v>
      </c>
      <c r="E15" s="844">
        <v>168946</v>
      </c>
      <c r="F15" s="1760">
        <f>(C15+D15)-E15</f>
        <v>34680</v>
      </c>
      <c r="G15" s="849" t="s">
        <v>862</v>
      </c>
      <c r="H15" s="781"/>
      <c r="I15" s="781"/>
      <c r="J15" s="781"/>
      <c r="K15" s="781"/>
      <c r="L15" s="1769">
        <f>F15-K15</f>
        <v>34680</v>
      </c>
    </row>
    <row r="16" spans="1:14" ht="15" customHeight="1" thickTop="1" thickBot="1" x14ac:dyDescent="0.25">
      <c r="A16" s="1765" t="s">
        <v>643</v>
      </c>
      <c r="B16" s="1766">
        <v>200</v>
      </c>
      <c r="C16" s="1760">
        <f>SUM(C3,C5:C6,C8:C10,C12:C15)</f>
        <v>9909589</v>
      </c>
      <c r="D16" s="1760">
        <f>SUM(D3,D5:D6,D8:D10,D12:D15)</f>
        <v>555815</v>
      </c>
      <c r="E16" s="1760">
        <f>SUM(E3,E5:E6,E8:E10,E12:E15)</f>
        <v>168946</v>
      </c>
      <c r="F16" s="1760">
        <f>SUM(F3,F5:F6,F8:F10,F12:F15)</f>
        <v>10296458</v>
      </c>
      <c r="G16" s="843"/>
      <c r="H16" s="1760">
        <f>SUM(H3,H6,H8:H10,H12:H14,)</f>
        <v>6592945</v>
      </c>
      <c r="I16" s="1760">
        <f>SUM(I3,I6,I8:I10,I12:I14,)</f>
        <v>198044</v>
      </c>
      <c r="J16" s="1760">
        <f>SUM(J3,J6,J8:J10,J12:J14,)</f>
        <v>0</v>
      </c>
      <c r="K16" s="1760">
        <f>(H16+I16)-J16</f>
        <v>6790989</v>
      </c>
      <c r="L16" s="1760">
        <f>F16-K16</f>
        <v>3505469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198044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62" activePane="bottomLeft" state="frozen"/>
      <selection activeCell="A47" sqref="A47"/>
      <selection pane="bottomLeft" activeCell="F176" sqref="F1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1972</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4741067</v>
      </c>
      <c r="G8" s="865"/>
    </row>
    <row r="9" spans="1:7" x14ac:dyDescent="0.2">
      <c r="A9" s="869" t="s">
        <v>460</v>
      </c>
      <c r="B9" s="870" t="s">
        <v>1874</v>
      </c>
      <c r="C9" s="871"/>
      <c r="D9" s="869" t="s">
        <v>501</v>
      </c>
      <c r="E9" s="868"/>
      <c r="F9" s="1909">
        <f>'Expenditures 15-22'!K151</f>
        <v>346191</v>
      </c>
      <c r="G9" s="872"/>
    </row>
    <row r="10" spans="1:7" x14ac:dyDescent="0.2">
      <c r="A10" s="869" t="s">
        <v>499</v>
      </c>
      <c r="B10" s="870" t="s">
        <v>1875</v>
      </c>
      <c r="C10" s="871"/>
      <c r="D10" s="869" t="s">
        <v>501</v>
      </c>
      <c r="E10" s="868"/>
      <c r="F10" s="1909">
        <f>'Expenditures 15-22'!K174</f>
        <v>145271</v>
      </c>
      <c r="G10" s="872"/>
    </row>
    <row r="11" spans="1:7" x14ac:dyDescent="0.2">
      <c r="A11" s="869" t="s">
        <v>461</v>
      </c>
      <c r="B11" s="870" t="s">
        <v>1876</v>
      </c>
      <c r="C11" s="871"/>
      <c r="D11" s="869" t="s">
        <v>501</v>
      </c>
      <c r="E11" s="868"/>
      <c r="F11" s="1909">
        <f>'Expenditures 15-22'!K210</f>
        <v>407925</v>
      </c>
      <c r="G11" s="872"/>
    </row>
    <row r="12" spans="1:7" x14ac:dyDescent="0.2">
      <c r="A12" s="869" t="s">
        <v>462</v>
      </c>
      <c r="B12" s="870" t="s">
        <v>1877</v>
      </c>
      <c r="C12" s="871"/>
      <c r="D12" s="869" t="s">
        <v>501</v>
      </c>
      <c r="E12" s="868"/>
      <c r="F12" s="1909">
        <f>'Expenditures 15-22'!K295</f>
        <v>210999</v>
      </c>
      <c r="G12" s="872"/>
    </row>
    <row r="13" spans="1:7" x14ac:dyDescent="0.2">
      <c r="A13" s="869" t="s">
        <v>106</v>
      </c>
      <c r="B13" s="870" t="s">
        <v>1878</v>
      </c>
      <c r="C13" s="871"/>
      <c r="D13" s="869" t="s">
        <v>501</v>
      </c>
      <c r="E13" s="868"/>
      <c r="F13" s="1909">
        <f>'Expenditures 15-22'!K342</f>
        <v>207190</v>
      </c>
      <c r="G13" s="873"/>
    </row>
    <row r="14" spans="1:7" ht="12" customHeight="1" thickBot="1" x14ac:dyDescent="0.25">
      <c r="A14" s="1770"/>
      <c r="B14" s="1771"/>
      <c r="C14" s="1772"/>
      <c r="D14" s="1773" t="s">
        <v>501</v>
      </c>
      <c r="E14" s="1774" t="s">
        <v>958</v>
      </c>
      <c r="F14" s="1775">
        <f>SUM(F8:F13)</f>
        <v>6058643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220276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29027</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189503</v>
      </c>
      <c r="G52" s="865"/>
    </row>
    <row r="53" spans="1:7" x14ac:dyDescent="0.2">
      <c r="A53" s="869" t="s">
        <v>459</v>
      </c>
      <c r="B53" s="869" t="s">
        <v>1475</v>
      </c>
      <c r="C53" s="889">
        <f>'Expenditures 15-22'!B102</f>
        <v>4000</v>
      </c>
      <c r="D53" s="888" t="str">
        <f>'Expenditures 15-22'!A102</f>
        <v>Total Payments to Other Govt Units</v>
      </c>
      <c r="E53" s="868"/>
      <c r="F53" s="1913">
        <f>'Expenditures 15-22'!K102</f>
        <v>203574</v>
      </c>
      <c r="G53" s="865"/>
    </row>
    <row r="54" spans="1:7" x14ac:dyDescent="0.2">
      <c r="A54" s="869" t="s">
        <v>459</v>
      </c>
      <c r="B54" s="869" t="s">
        <v>1476</v>
      </c>
      <c r="C54" s="889" t="s">
        <v>982</v>
      </c>
      <c r="D54" s="885" t="s">
        <v>1095</v>
      </c>
      <c r="E54" s="868"/>
      <c r="F54" s="1913">
        <f>'Expenditures 15-22'!G114</f>
        <v>161451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29393</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137700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12261</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1585</v>
      </c>
      <c r="G71" s="865"/>
    </row>
    <row r="72" spans="1:8" x14ac:dyDescent="0.2">
      <c r="A72" s="869" t="s">
        <v>462</v>
      </c>
      <c r="B72" s="869" t="s">
        <v>1893</v>
      </c>
      <c r="C72" s="886">
        <f>'Expenditures 15-22'!B280</f>
        <v>3000</v>
      </c>
      <c r="D72" s="876" t="s">
        <v>449</v>
      </c>
      <c r="E72" s="868"/>
      <c r="F72" s="1913">
        <f>'Expenditures 15-22'!K280</f>
        <v>22633</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1007403</v>
      </c>
      <c r="G76" s="865"/>
    </row>
    <row r="77" spans="1:8" s="893" customFormat="1" ht="12" customHeight="1" thickTop="1" thickBot="1" x14ac:dyDescent="0.25">
      <c r="A77" s="1779"/>
      <c r="B77" s="1776"/>
      <c r="C77" s="1772"/>
      <c r="D77" s="1777" t="s">
        <v>1897</v>
      </c>
      <c r="E77" s="1774"/>
      <c r="F77" s="1780">
        <f>(F14-F76)</f>
        <v>5051240</v>
      </c>
      <c r="G77" s="869"/>
    </row>
    <row r="78" spans="1:8" s="893" customFormat="1" ht="12" customHeight="1" thickTop="1" x14ac:dyDescent="0.2">
      <c r="A78" s="1781"/>
      <c r="B78" s="1776"/>
      <c r="C78" s="1772"/>
      <c r="D78" s="1777" t="s">
        <v>2059</v>
      </c>
      <c r="E78" s="1774"/>
      <c r="F78" s="898">
        <v>278</v>
      </c>
      <c r="G78" s="899"/>
      <c r="H78" s="869"/>
    </row>
    <row r="79" spans="1:8" s="893" customFormat="1" ht="12" customHeight="1" thickBot="1" x14ac:dyDescent="0.25">
      <c r="A79" s="1782"/>
      <c r="B79" s="1776"/>
      <c r="C79" s="1772"/>
      <c r="D79" s="1777" t="s">
        <v>1898</v>
      </c>
      <c r="E79" s="1774" t="s">
        <v>958</v>
      </c>
      <c r="F79" s="1783">
        <f>IF(F78&gt;0,F77/F78," Complete Line 78")</f>
        <v>18169.928057553956</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12453</v>
      </c>
      <c r="G94" s="912"/>
    </row>
    <row r="95" spans="1:7" x14ac:dyDescent="0.2">
      <c r="A95" s="908" t="s">
        <v>140</v>
      </c>
      <c r="B95" s="908" t="s">
        <v>175</v>
      </c>
      <c r="C95" s="910">
        <v>1700</v>
      </c>
      <c r="D95" s="918" t="str">
        <f>'Revenues 9-14'!A82</f>
        <v>Total District/School Activity Income</v>
      </c>
      <c r="E95" s="906"/>
      <c r="F95" s="1789">
        <f>SUM('Revenues 9-14'!C82,'Revenues 9-14'!D82)</f>
        <v>1654</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960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9147</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5550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3890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168686</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6184</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20616</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800</v>
      </c>
      <c r="G124" s="930"/>
    </row>
    <row r="125" spans="1:7" x14ac:dyDescent="0.2">
      <c r="A125" s="927" t="s">
        <v>664</v>
      </c>
      <c r="B125" s="927" t="s">
        <v>2020</v>
      </c>
      <c r="C125" s="932">
        <v>4200</v>
      </c>
      <c r="D125" s="929" t="str">
        <f>'Revenues 9-14'!A198</f>
        <v>Total Food Service</v>
      </c>
      <c r="E125" s="906"/>
      <c r="F125" s="1789">
        <f>SUM('Revenues 9-14'!C198,'Revenues 9-14'!G198)</f>
        <v>256582</v>
      </c>
      <c r="G125" s="930"/>
    </row>
    <row r="126" spans="1:7" x14ac:dyDescent="0.2">
      <c r="A126" s="927" t="s">
        <v>668</v>
      </c>
      <c r="B126" s="927" t="s">
        <v>2021</v>
      </c>
      <c r="C126" s="932">
        <v>4300</v>
      </c>
      <c r="D126" s="933" t="str">
        <f>'Revenues 9-14'!A204</f>
        <v>Total Title I</v>
      </c>
      <c r="E126" s="906"/>
      <c r="F126" s="1789">
        <f>SUM('Revenues 9-14'!C204,'Revenues 9-14'!D204,'Revenues 9-14'!F204,'Revenues 9-14'!G204)</f>
        <v>879874</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6549</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18705</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178570</v>
      </c>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1570220</v>
      </c>
    </row>
    <row r="175" spans="1:7" ht="12" customHeight="1" x14ac:dyDescent="0.2">
      <c r="A175" s="1770"/>
      <c r="B175" s="1784"/>
      <c r="C175" s="1785"/>
      <c r="D175" s="1786" t="s">
        <v>2054</v>
      </c>
      <c r="E175" s="1787"/>
      <c r="F175" s="1789">
        <f>'PCTC-OEPP 27-28'!F77-F174</f>
        <v>3481020</v>
      </c>
    </row>
    <row r="176" spans="1:7" ht="12" customHeight="1" x14ac:dyDescent="0.2">
      <c r="A176" s="1770"/>
      <c r="B176" s="1784"/>
      <c r="C176" s="1785"/>
      <c r="D176" s="1786" t="s">
        <v>1814</v>
      </c>
      <c r="E176" s="1787"/>
      <c r="F176" s="1789">
        <f>'Cap Outlay Deprec 26'!I18</f>
        <v>198044</v>
      </c>
    </row>
    <row r="177" spans="1:7" ht="12" customHeight="1" x14ac:dyDescent="0.2">
      <c r="A177" s="1770"/>
      <c r="B177" s="1784"/>
      <c r="C177" s="1785"/>
      <c r="D177" s="1786" t="s">
        <v>2055</v>
      </c>
      <c r="E177" s="1787"/>
      <c r="F177" s="1789">
        <f>F175+F176</f>
        <v>3679064</v>
      </c>
    </row>
    <row r="178" spans="1:7" ht="12" customHeight="1" x14ac:dyDescent="0.2">
      <c r="A178" s="1770"/>
      <c r="B178" s="1790"/>
      <c r="C178" s="1785"/>
      <c r="D178" s="1786" t="str">
        <f>D78</f>
        <v>9 Month ADA from District Average Daily Attendance/Prior General State Aid Inquiry 2018-2019</v>
      </c>
      <c r="E178" s="1787"/>
      <c r="F178" s="1791">
        <f>'PCTC-OEPP 27-28'!F78</f>
        <v>278</v>
      </c>
      <c r="G178" s="930"/>
    </row>
    <row r="179" spans="1:7" ht="12" customHeight="1" thickBot="1" x14ac:dyDescent="0.25">
      <c r="A179" s="1770"/>
      <c r="B179" s="1790"/>
      <c r="C179" s="1785"/>
      <c r="D179" s="1786" t="s">
        <v>2056</v>
      </c>
      <c r="E179" s="1787" t="s">
        <v>1545</v>
      </c>
      <c r="F179" s="1792">
        <f>F177/F178</f>
        <v>13234.043165467627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6" zoomScaleNormal="100" workbookViewId="0">
      <selection activeCell="D19" sqref="D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8" t="s">
        <v>1815</v>
      </c>
      <c r="B4" s="2279"/>
      <c r="C4" s="2279"/>
      <c r="D4" s="2279"/>
      <c r="E4" s="2279"/>
      <c r="F4" s="2279"/>
      <c r="G4" s="2280"/>
    </row>
    <row r="5" spans="1:7" x14ac:dyDescent="0.25">
      <c r="A5" s="2281"/>
      <c r="B5" s="2282"/>
      <c r="C5" s="2282"/>
      <c r="D5" s="2282"/>
      <c r="E5" s="2282"/>
      <c r="F5" s="2282"/>
      <c r="G5" s="2283"/>
    </row>
    <row r="6" spans="1:7" ht="18.75" x14ac:dyDescent="0.25">
      <c r="A6" s="1534" t="s">
        <v>1816</v>
      </c>
      <c r="B6" s="1535"/>
      <c r="C6" s="1535"/>
      <c r="D6" s="1535"/>
      <c r="E6" s="1535"/>
      <c r="F6" s="1535"/>
      <c r="G6" s="1536"/>
    </row>
    <row r="7" spans="1:7" ht="30.75" customHeight="1" x14ac:dyDescent="0.25">
      <c r="A7" s="2284" t="s">
        <v>1929</v>
      </c>
      <c r="B7" s="2285"/>
      <c r="C7" s="2285"/>
      <c r="D7" s="2285"/>
      <c r="E7" s="2285"/>
      <c r="F7" s="2285"/>
      <c r="G7" s="2286"/>
    </row>
    <row r="8" spans="1:7" ht="15.75" customHeight="1" x14ac:dyDescent="0.25">
      <c r="A8" s="2287" t="s">
        <v>1904</v>
      </c>
      <c r="B8" s="2288"/>
      <c r="C8" s="2288"/>
      <c r="D8" s="2288"/>
      <c r="E8" s="2288"/>
      <c r="F8" s="2288"/>
      <c r="G8" s="2289"/>
    </row>
    <row r="9" spans="1:7" ht="35.25" customHeight="1" x14ac:dyDescent="0.25">
      <c r="A9" s="2284" t="s">
        <v>1932</v>
      </c>
      <c r="B9" s="2285"/>
      <c r="C9" s="2285"/>
      <c r="D9" s="2285"/>
      <c r="E9" s="2285"/>
      <c r="F9" s="2285"/>
      <c r="G9" s="2286"/>
    </row>
    <row r="10" spans="1:7" ht="15" customHeight="1" x14ac:dyDescent="0.25">
      <c r="A10" s="1537" t="s">
        <v>1817</v>
      </c>
      <c r="B10" s="1538"/>
      <c r="C10" s="1538"/>
      <c r="D10" s="1538"/>
      <c r="E10" s="1538"/>
      <c r="F10" s="1538"/>
      <c r="G10" s="1539"/>
    </row>
    <row r="11" spans="1:7" ht="17.25" customHeight="1" x14ac:dyDescent="0.25">
      <c r="A11" s="2284" t="s">
        <v>1931</v>
      </c>
      <c r="B11" s="2285"/>
      <c r="C11" s="2285"/>
      <c r="D11" s="2285"/>
      <c r="E11" s="2285"/>
      <c r="F11" s="2285"/>
      <c r="G11" s="2286"/>
    </row>
    <row r="12" spans="1:7" ht="15" customHeight="1" x14ac:dyDescent="0.25">
      <c r="A12" s="1537" t="s">
        <v>1822</v>
      </c>
      <c r="B12" s="1538"/>
      <c r="C12" s="1538"/>
      <c r="D12" s="1538"/>
      <c r="E12" s="1538"/>
      <c r="F12" s="1538"/>
      <c r="G12" s="1539"/>
    </row>
    <row r="13" spans="1:7" ht="32.25" customHeight="1" x14ac:dyDescent="0.25">
      <c r="A13" s="2275" t="s">
        <v>1973</v>
      </c>
      <c r="B13" s="2276"/>
      <c r="C13" s="2276"/>
      <c r="D13" s="2276"/>
      <c r="E13" s="2276"/>
      <c r="F13" s="2276"/>
      <c r="G13" s="2277"/>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2081</v>
      </c>
      <c r="B17" s="1938" t="s">
        <v>2082</v>
      </c>
      <c r="C17" s="1939" t="s">
        <v>2083</v>
      </c>
      <c r="D17" s="1844">
        <v>323747</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298747</v>
      </c>
      <c r="H17" s="1647"/>
    </row>
    <row r="18" spans="1:8" x14ac:dyDescent="0.25">
      <c r="A18" s="1937" t="s">
        <v>2086</v>
      </c>
      <c r="B18" s="1938" t="s">
        <v>2084</v>
      </c>
      <c r="C18" s="1939" t="s">
        <v>2085</v>
      </c>
      <c r="D18" s="1844">
        <v>396619</v>
      </c>
      <c r="E18" s="1540">
        <f t="shared" ref="E18:E140" si="2">IF(D18&lt;=25000,D18,IF(D18&gt;25000,25000,0))</f>
        <v>25000</v>
      </c>
      <c r="F18" s="1932">
        <f t="shared" si="1"/>
        <v>25000</v>
      </c>
      <c r="G18" s="1793">
        <f t="shared" ref="G18:G140" si="3">IF(F18=0,0,D18-F18)</f>
        <v>371619</v>
      </c>
    </row>
    <row r="19" spans="1:8" x14ac:dyDescent="0.25">
      <c r="A19" s="1937" t="s">
        <v>2087</v>
      </c>
      <c r="B19" s="1938" t="s">
        <v>2088</v>
      </c>
      <c r="C19" s="1939" t="s">
        <v>2089</v>
      </c>
      <c r="D19" s="1844">
        <v>25188</v>
      </c>
      <c r="E19" s="1540">
        <f t="shared" si="2"/>
        <v>25000</v>
      </c>
      <c r="F19" s="1932">
        <f t="shared" si="1"/>
        <v>25000</v>
      </c>
      <c r="G19" s="1793">
        <f t="shared" si="3"/>
        <v>188</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745554</v>
      </c>
      <c r="E141" s="1541">
        <f t="shared" si="0"/>
        <v>25000</v>
      </c>
      <c r="F141" s="1933">
        <f>SUM(F17:F140)</f>
        <v>75000</v>
      </c>
      <c r="G141" s="1795">
        <f>SUM(G17:G140)</f>
        <v>670554</v>
      </c>
    </row>
  </sheetData>
  <sheetProtection password="F60E" sheet="1" selectLockedCells="1"/>
  <mergeCells count="6">
    <mergeCell ref="A13:G13"/>
    <mergeCell ref="A4:G5"/>
    <mergeCell ref="A11:G11"/>
    <mergeCell ref="A7:G7"/>
    <mergeCell ref="A8:G8"/>
    <mergeCell ref="A9:G9"/>
  </mergeCells>
  <printOptions horizontalCentered="1"/>
  <pageMargins left="0.7" right="0.7" top="0.5" bottom="0.5" header="0.3" footer="0.4"/>
  <pageSetup scale="75"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291941</v>
      </c>
      <c r="F10" s="974"/>
      <c r="G10" s="975"/>
      <c r="H10" s="162"/>
      <c r="I10" s="162"/>
    </row>
    <row r="11" spans="1:9" s="668" customFormat="1" ht="22.5" customHeight="1" x14ac:dyDescent="0.2">
      <c r="A11" s="2295" t="s">
        <v>1974</v>
      </c>
      <c r="B11" s="2296"/>
      <c r="C11" s="2296"/>
      <c r="D11" s="2297"/>
      <c r="E11" s="977">
        <v>16750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2334813</v>
      </c>
      <c r="F19" s="1799"/>
      <c r="G19" s="1801">
        <f>'Expenditures 15-22'!K33-SUM('Expenditures 15-22'!G33,'Expenditures 15-22'!I33)+'Expenditures 15-22'!D229</f>
        <v>2334813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255659</v>
      </c>
      <c r="F21" s="1802"/>
      <c r="G21" s="1805">
        <f>'Expenditures 15-22'!K42-SUM('Expenditures 15-22'!G42,'Expenditures 15-22'!I42)+'Expenditures 15-22'!K120-SUM('Expenditures 15-22'!G120,'Expenditures 15-22'!I120)+'Expenditures 15-22'!K180-SUM('Expenditures 15-22'!G180,'Expenditures 15-22'!I180)+'Expenditures 15-22'!D238</f>
        <v>255659</v>
      </c>
      <c r="H21" s="987"/>
      <c r="I21" s="162"/>
    </row>
    <row r="22" spans="1:9" s="668" customFormat="1" ht="12" customHeight="1" x14ac:dyDescent="0.2">
      <c r="A22" s="994" t="s">
        <v>564</v>
      </c>
      <c r="B22" s="995"/>
      <c r="C22" s="993">
        <v>2200</v>
      </c>
      <c r="D22" s="1802"/>
      <c r="E22" s="1804">
        <f>'Expenditures 15-22'!K47-SUM('Expenditures 15-22'!G47,'Expenditures 15-22'!I47)+'Expenditures 15-22'!D243</f>
        <v>339271</v>
      </c>
      <c r="F22" s="1802"/>
      <c r="G22" s="1805">
        <f>'Expenditures 15-22'!K47-SUM('Expenditures 15-22'!G47,'Expenditures 15-22'!I47)+'Expenditures 15-22'!D243</f>
        <v>339271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518529</v>
      </c>
      <c r="F23" s="1802"/>
      <c r="G23" s="1804">
        <f>'Expenditures 15-22'!K53-SUM('Expenditures 15-22'!G53,'Expenditures 15-22'!I53)+'Expenditures 15-22'!D257+'Expenditures 15-22'!K330-SUM('Expenditures 15-22'!G330,'Expenditures 15-22'!I330)</f>
        <v>518529</v>
      </c>
      <c r="H23" s="987"/>
      <c r="I23" s="162"/>
    </row>
    <row r="24" spans="1:9" s="668" customFormat="1" ht="12" customHeight="1" x14ac:dyDescent="0.2">
      <c r="A24" s="994" t="s">
        <v>566</v>
      </c>
      <c r="B24" s="995"/>
      <c r="C24" s="993">
        <v>2400</v>
      </c>
      <c r="D24" s="1802"/>
      <c r="E24" s="1804">
        <f>'Expenditures 15-22'!K57-SUM('Expenditures 15-22'!G57,'Expenditures 15-22'!I57)+'Expenditures 15-22'!D261</f>
        <v>310290</v>
      </c>
      <c r="F24" s="1802"/>
      <c r="G24" s="1805">
        <f>'Expenditures 15-22'!K57-SUM('Expenditures 15-22'!G57,'Expenditures 15-22'!I57)+'Expenditures 15-22'!D261</f>
        <v>310290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198796</v>
      </c>
      <c r="E27" s="1804">
        <f>E8</f>
        <v>0</v>
      </c>
      <c r="F27" s="1804">
        <f>'Expenditures 15-22'!K60-SUM('Expenditures 15-22'!G60,'Expenditures 15-22'!I60)+'Expenditures 15-22'!D264-E8</f>
        <v>198796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641235</v>
      </c>
      <c r="F28" s="1806">
        <f>'Expenditures 15-22'!K61-SUM('Expenditures 15-22'!G61,'Expenditures 15-22'!I61)+'Expenditures 15-22'!K124-SUM('Expenditures 15-22'!G124,'Expenditures 15-22'!I124)+'Expenditures 15-22'!D266-E9</f>
        <v>641235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399682</v>
      </c>
      <c r="F29" s="1802"/>
      <c r="G29" s="1805">
        <f>'Expenditures 15-22'!K62-SUM('Expenditures 15-22'!G62,'Expenditures 15-22'!I62)+'Expenditures 15-22'!K125-SUM('Expenditures 15-22'!G125,'Expenditures 15-22'!I125)+'Expenditures 15-22'!K182-SUM('Expenditures 15-22'!G182,'Expenditures 15-22'!I182)+'Expenditures 15-22'!D267</f>
        <v>399682</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3864</v>
      </c>
      <c r="F35" s="1802"/>
      <c r="G35" s="1804">
        <f>'Expenditures 15-22'!K69-SUM('Expenditures 15-22'!G69,'Expenditures 15-22'!I69)+'Expenditures 15-22'!D274</f>
        <v>3864</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12738</v>
      </c>
      <c r="F38" s="1802"/>
      <c r="G38" s="1804">
        <f>'Expenditures 15-22'!K73-SUM('Expenditures 15-22'!G73,'Expenditures 15-22'!I73)+'Expenditures 15-22'!K128-SUM('Expenditures 15-22'!G128,'Expenditures 15-22'!I128)+'Expenditures 15-22'!K183-SUM('Expenditures 15-22'!G183,'Expenditures 15-22'!I183)+'Expenditures 15-22'!D278</f>
        <v>12738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212136</v>
      </c>
      <c r="F39" s="1802"/>
      <c r="G39" s="1804">
        <f>'Expenditures 15-22'!K75-SUM('Expenditures 15-22'!G75,'Expenditures 15-22'!I75)+'Expenditures 15-22'!K130-SUM('Expenditures 15-22'!G130,'Expenditures 15-22'!I130)+'Expenditures 15-22'!K185-SUM('Expenditures 15-22'!G185,'Expenditures 15-22'!I185)+'Expenditures 15-22'!D280</f>
        <v>212136</v>
      </c>
    </row>
    <row r="40" spans="1:7" ht="12" customHeight="1" x14ac:dyDescent="0.2">
      <c r="A40" s="990" t="s">
        <v>1820</v>
      </c>
      <c r="B40" s="991"/>
      <c r="C40" s="993"/>
      <c r="D40" s="1802"/>
      <c r="E40" s="1806">
        <f>-'Contracts Paid in CY 29'!G141</f>
        <v>-670554</v>
      </c>
      <c r="F40" s="1802"/>
      <c r="G40" s="1806">
        <f>-'Contracts Paid in CY 29'!G141</f>
        <v>-670554</v>
      </c>
    </row>
    <row r="41" spans="1:7" ht="12" customHeight="1" x14ac:dyDescent="0.2">
      <c r="A41" s="998" t="s">
        <v>156</v>
      </c>
      <c r="B41" s="999"/>
      <c r="C41" s="1000"/>
      <c r="D41" s="1806">
        <f>SUM(D19:D39)</f>
        <v>198796</v>
      </c>
      <c r="E41" s="1806">
        <f>SUM(E19:E40)</f>
        <v>4357663</v>
      </c>
      <c r="F41" s="1806">
        <f>SUM(F19:F39)</f>
        <v>840031</v>
      </c>
      <c r="G41" s="1806">
        <f>SUM(G19:G40)</f>
        <v>3716428</v>
      </c>
    </row>
    <row r="42" spans="1:7" x14ac:dyDescent="0.2">
      <c r="A42" s="987"/>
      <c r="B42" s="162"/>
      <c r="C42" s="1001"/>
      <c r="D42" s="2293" t="s">
        <v>522</v>
      </c>
      <c r="E42" s="2294"/>
      <c r="F42" s="1002" t="s">
        <v>523</v>
      </c>
      <c r="G42" s="1003"/>
    </row>
    <row r="43" spans="1:7" ht="12" customHeight="1" x14ac:dyDescent="0.2">
      <c r="A43" s="987"/>
      <c r="B43" s="162"/>
      <c r="C43" s="1001"/>
      <c r="D43" s="1807" t="s">
        <v>473</v>
      </c>
      <c r="E43" s="1808">
        <f>D41</f>
        <v>198796</v>
      </c>
      <c r="F43" s="1807" t="s">
        <v>473</v>
      </c>
      <c r="G43" s="1808">
        <f>F41</f>
        <v>840031</v>
      </c>
    </row>
    <row r="44" spans="1:7" ht="12" customHeight="1" x14ac:dyDescent="0.2">
      <c r="A44" s="987"/>
      <c r="B44" s="162"/>
      <c r="C44" s="1001"/>
      <c r="D44" s="1807" t="s">
        <v>474</v>
      </c>
      <c r="E44" s="1808">
        <f>E41</f>
        <v>4357663</v>
      </c>
      <c r="F44" s="1807" t="s">
        <v>474</v>
      </c>
      <c r="G44" s="1808">
        <f>G41</f>
        <v>3716428</v>
      </c>
    </row>
    <row r="45" spans="1:7" ht="12" customHeight="1" x14ac:dyDescent="0.2">
      <c r="A45" s="987"/>
      <c r="B45" s="162"/>
      <c r="C45" s="162"/>
      <c r="D45" s="1809" t="s">
        <v>1006</v>
      </c>
      <c r="E45" s="1810">
        <f>(E43/E44)</f>
        <v>4.5619865510481195E-2</v>
      </c>
      <c r="F45" s="1809" t="s">
        <v>1006</v>
      </c>
      <c r="G45" s="1810">
        <f>(G43/G44)</f>
        <v>0.2260318241063731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1" top="0.77" bottom="0.59" header="0.42" footer="0.42"/>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14" sqref="A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Cairo USD 1</v>
      </c>
      <c r="D6" s="2305"/>
      <c r="E6" s="2305"/>
      <c r="F6" s="1852"/>
    </row>
    <row r="7" spans="1:10" ht="11.25" customHeight="1" thickBot="1" x14ac:dyDescent="0.3">
      <c r="A7" s="1850"/>
      <c r="B7" s="1851"/>
      <c r="C7" s="2306">
        <f>COVER!A13</f>
        <v>30002001022</v>
      </c>
      <c r="D7" s="2306"/>
      <c r="E7" s="2306"/>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c r="F26" s="1867" t="s">
        <v>2090</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2061</v>
      </c>
      <c r="D31" s="1865" t="s">
        <v>2061</v>
      </c>
      <c r="E31" s="1868"/>
      <c r="F31" s="1867" t="s">
        <v>2091</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7"/>
      <c r="D35" s="2307"/>
      <c r="E35" s="2307"/>
      <c r="F35" s="2308"/>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12"/>
      <c r="B38" s="2313"/>
      <c r="C38" s="2313"/>
      <c r="D38" s="2313"/>
      <c r="E38" s="2313"/>
      <c r="F38" s="2314"/>
    </row>
    <row r="39" spans="1:11" ht="4.5" hidden="1" customHeight="1" x14ac:dyDescent="0.2">
      <c r="A39" s="1873"/>
      <c r="B39" s="1873"/>
      <c r="C39" s="1873"/>
      <c r="D39" s="1873"/>
      <c r="E39" s="1873"/>
      <c r="F39" s="1873"/>
    </row>
    <row r="40" spans="1:11" s="1870" customFormat="1" ht="12" customHeight="1" x14ac:dyDescent="0.25">
      <c r="A40" s="1874" t="s">
        <v>1391</v>
      </c>
      <c r="B40" s="1875"/>
      <c r="C40" s="2315"/>
      <c r="D40" s="2315"/>
      <c r="E40" s="2315"/>
      <c r="F40" s="2316"/>
      <c r="H40" s="1879"/>
      <c r="I40" s="1879"/>
      <c r="J40" s="1879"/>
      <c r="K40" s="1879"/>
    </row>
    <row r="41" spans="1:11" s="1870" customFormat="1" ht="12" customHeight="1" x14ac:dyDescent="0.25">
      <c r="A41" s="2317"/>
      <c r="B41" s="2318"/>
      <c r="C41" s="2318"/>
      <c r="D41" s="2318"/>
      <c r="E41" s="2318"/>
      <c r="F41" s="2319"/>
      <c r="H41" s="1879"/>
      <c r="I41" s="1879"/>
      <c r="J41" s="1879"/>
      <c r="K41" s="1879"/>
    </row>
    <row r="42" spans="1:11" s="1870" customFormat="1" ht="12" customHeight="1" x14ac:dyDescent="0.25">
      <c r="A42" s="2317"/>
      <c r="B42" s="2318"/>
      <c r="C42" s="2318"/>
      <c r="D42" s="2318"/>
      <c r="E42" s="2318"/>
      <c r="F42" s="2319"/>
      <c r="H42" s="1879"/>
      <c r="I42" s="1879"/>
      <c r="J42" s="1879"/>
      <c r="K42" s="1879"/>
    </row>
    <row r="43" spans="1:11" s="1870" customFormat="1" ht="15" x14ac:dyDescent="0.25">
      <c r="A43" s="2309"/>
      <c r="B43" s="2310"/>
      <c r="C43" s="2310"/>
      <c r="D43" s="2310"/>
      <c r="E43" s="2310"/>
      <c r="F43" s="2311"/>
      <c r="H43" s="1879"/>
      <c r="I43" s="1879"/>
      <c r="J43" s="1879"/>
      <c r="K43" s="1879"/>
    </row>
    <row r="44" spans="1:11" s="1870" customFormat="1" ht="12" hidden="1" customHeight="1" x14ac:dyDescent="0.25">
      <c r="A44" s="2309"/>
      <c r="B44" s="2310"/>
      <c r="C44" s="2310"/>
      <c r="D44" s="2310"/>
      <c r="E44" s="2310"/>
      <c r="F44" s="231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headings="1"/>
  <pageMargins left="0.3" right="0.2" top="0.68" bottom="0.62" header="0.17" footer="0.42"/>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5"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5" t="str">
        <f>COVER!A17</f>
        <v>Cairo USD 1</v>
      </c>
      <c r="J6" s="2326"/>
      <c r="Q6" s="1664"/>
    </row>
    <row r="7" spans="1:17" x14ac:dyDescent="0.2">
      <c r="A7" s="2327" t="s">
        <v>869</v>
      </c>
      <c r="B7" s="2328"/>
      <c r="C7" s="2328"/>
      <c r="D7" s="2328"/>
      <c r="E7" s="2329"/>
      <c r="F7" s="1017"/>
      <c r="G7" s="1009"/>
      <c r="H7" s="1016" t="s">
        <v>372</v>
      </c>
      <c r="I7" s="2330">
        <f>COVER!A13</f>
        <v>30002001022</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137686</v>
      </c>
      <c r="F12" s="1039"/>
      <c r="G12" s="1811">
        <f t="shared" ref="G12:G18" si="0">SUM(E12:F12)</f>
        <v>137686</v>
      </c>
      <c r="H12" s="1040"/>
      <c r="I12" s="1039"/>
      <c r="J12" s="1811">
        <f t="shared" ref="J12:J18" si="1">SUM(H12:I12)</f>
        <v>0</v>
      </c>
    </row>
    <row r="13" spans="1:17" ht="15" customHeight="1" x14ac:dyDescent="0.2">
      <c r="A13" s="1035">
        <v>2</v>
      </c>
      <c r="B13" s="1036" t="s">
        <v>42</v>
      </c>
      <c r="C13" s="1037"/>
      <c r="D13" s="1038">
        <v>2330</v>
      </c>
      <c r="E13" s="1811">
        <f>'Expenditures 15-22'!K51</f>
        <v>1650</v>
      </c>
      <c r="F13" s="1039"/>
      <c r="G13" s="1811">
        <f t="shared" si="0"/>
        <v>1650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4" t="s">
        <v>7</v>
      </c>
      <c r="C18" s="2335"/>
      <c r="D18" s="233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139336</v>
      </c>
      <c r="F19" s="1813">
        <f t="shared" si="2"/>
        <v>0</v>
      </c>
      <c r="G19" s="1813">
        <f t="shared" si="2"/>
        <v>139336</v>
      </c>
      <c r="H19" s="1813">
        <f t="shared" si="2"/>
        <v>0</v>
      </c>
      <c r="I19" s="1813">
        <f t="shared" si="2"/>
        <v>0</v>
      </c>
      <c r="J19" s="1813">
        <f t="shared" si="2"/>
        <v>0</v>
      </c>
    </row>
    <row r="20" spans="1:10" ht="13.5" thickTop="1" x14ac:dyDescent="0.2">
      <c r="A20" s="1035">
        <v>9</v>
      </c>
      <c r="B20" s="2337" t="s">
        <v>1978</v>
      </c>
      <c r="C20" s="2337"/>
      <c r="D20" s="2338"/>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1980</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F65"/>
  <sheetViews>
    <sheetView showGridLines="0" zoomScale="110" zoomScaleNormal="110" workbookViewId="0">
      <selection activeCell="E21" sqref="E21"/>
    </sheetView>
  </sheetViews>
  <sheetFormatPr defaultRowHeight="12.75" x14ac:dyDescent="0.2"/>
  <cols>
    <col min="1" max="1" width="3" style="329" customWidth="1"/>
    <col min="2" max="2" width="23.28515625" style="329" customWidth="1"/>
    <col min="3" max="3" width="10.140625" style="329" customWidth="1"/>
    <col min="4" max="4" width="18.7109375" style="329" customWidth="1"/>
    <col min="5" max="5" width="32.28515625" style="329" customWidth="1"/>
    <col min="6" max="16384" width="9.140625" style="329"/>
  </cols>
  <sheetData>
    <row r="2" spans="1:6" x14ac:dyDescent="0.2">
      <c r="A2" s="389" t="s">
        <v>258</v>
      </c>
    </row>
    <row r="3" spans="1:6" x14ac:dyDescent="0.2">
      <c r="A3" s="329" t="s">
        <v>259</v>
      </c>
    </row>
    <row r="4" spans="1:6" x14ac:dyDescent="0.2">
      <c r="B4" s="1940" t="s">
        <v>2152</v>
      </c>
      <c r="C4" s="1940" t="s">
        <v>1077</v>
      </c>
      <c r="D4" s="1940" t="s">
        <v>2153</v>
      </c>
      <c r="E4" s="1940" t="s">
        <v>481</v>
      </c>
      <c r="F4" s="1940" t="s">
        <v>865</v>
      </c>
    </row>
    <row r="5" spans="1:6" x14ac:dyDescent="0.2">
      <c r="A5" s="1068">
        <v>1</v>
      </c>
      <c r="B5" s="1941">
        <v>190</v>
      </c>
      <c r="C5" s="1941">
        <v>20</v>
      </c>
      <c r="E5" s="329" t="s">
        <v>2154</v>
      </c>
      <c r="F5" s="1942">
        <v>3140</v>
      </c>
    </row>
    <row r="6" spans="1:6" x14ac:dyDescent="0.2">
      <c r="A6" s="1068"/>
      <c r="F6" s="1943"/>
    </row>
    <row r="7" spans="1:6" x14ac:dyDescent="0.2">
      <c r="A7" s="1068">
        <v>2</v>
      </c>
      <c r="B7" s="1941">
        <v>1999</v>
      </c>
      <c r="C7" s="1941">
        <v>10</v>
      </c>
      <c r="E7" s="329" t="s">
        <v>2155</v>
      </c>
      <c r="F7" s="1942">
        <v>231</v>
      </c>
    </row>
    <row r="8" spans="1:6" x14ac:dyDescent="0.2">
      <c r="A8" s="1068"/>
      <c r="B8" s="1941"/>
      <c r="F8" s="1943"/>
    </row>
    <row r="9" spans="1:6" x14ac:dyDescent="0.2">
      <c r="A9" s="1068">
        <v>3</v>
      </c>
      <c r="B9" s="1941">
        <v>1999</v>
      </c>
      <c r="C9" s="1941">
        <v>40</v>
      </c>
      <c r="E9" s="329" t="s">
        <v>2155</v>
      </c>
      <c r="F9" s="1942">
        <v>264</v>
      </c>
    </row>
    <row r="10" spans="1:6" x14ac:dyDescent="0.2">
      <c r="A10" s="1068"/>
      <c r="F10" s="1943"/>
    </row>
    <row r="11" spans="1:6" x14ac:dyDescent="0.2">
      <c r="A11" s="1068">
        <v>4</v>
      </c>
      <c r="B11" s="1941">
        <v>3999</v>
      </c>
      <c r="C11" s="1941">
        <v>10</v>
      </c>
      <c r="E11" s="329" t="s">
        <v>2156</v>
      </c>
      <c r="F11" s="1943">
        <v>14588</v>
      </c>
    </row>
    <row r="12" spans="1:6" x14ac:dyDescent="0.2">
      <c r="A12" s="1069"/>
      <c r="E12" s="329" t="s">
        <v>2157</v>
      </c>
      <c r="F12" s="1944">
        <v>5278</v>
      </c>
    </row>
    <row r="13" spans="1:6" x14ac:dyDescent="0.2">
      <c r="A13" s="1069"/>
      <c r="E13" s="329" t="s">
        <v>2158</v>
      </c>
      <c r="F13" s="1945">
        <v>750</v>
      </c>
    </row>
    <row r="14" spans="1:6" x14ac:dyDescent="0.2">
      <c r="A14" s="1069"/>
      <c r="E14" s="329" t="s">
        <v>2159</v>
      </c>
      <c r="F14" s="1946">
        <f>SUM(F11:F13)</f>
        <v>20616</v>
      </c>
    </row>
    <row r="15" spans="1:6" x14ac:dyDescent="0.2">
      <c r="A15" s="1069"/>
      <c r="F15" s="1943"/>
    </row>
    <row r="16" spans="1:6" x14ac:dyDescent="0.2">
      <c r="A16" s="1068">
        <v>5</v>
      </c>
      <c r="B16" s="1941">
        <v>4399</v>
      </c>
      <c r="C16" s="1941">
        <v>10</v>
      </c>
      <c r="E16" s="329" t="s">
        <v>2160</v>
      </c>
      <c r="F16" s="1946">
        <v>68834</v>
      </c>
    </row>
    <row r="17" spans="1:6" x14ac:dyDescent="0.2">
      <c r="A17" s="1068"/>
    </row>
    <row r="18" spans="1:6" ht="15" x14ac:dyDescent="0.35">
      <c r="A18" s="1068">
        <v>6</v>
      </c>
      <c r="B18" s="1941">
        <v>2190</v>
      </c>
      <c r="C18" s="1941">
        <v>10</v>
      </c>
      <c r="D18" s="1941">
        <v>400</v>
      </c>
      <c r="E18" s="329" t="s">
        <v>2161</v>
      </c>
      <c r="F18" s="1948">
        <v>55</v>
      </c>
    </row>
    <row r="19" spans="1:6" x14ac:dyDescent="0.2">
      <c r="A19" s="1068"/>
      <c r="F19" s="1943"/>
    </row>
    <row r="20" spans="1:6" x14ac:dyDescent="0.2">
      <c r="A20" s="1068">
        <v>7</v>
      </c>
      <c r="B20" s="1941">
        <v>2900</v>
      </c>
      <c r="C20" s="1941">
        <v>10</v>
      </c>
      <c r="D20" s="1941">
        <v>100</v>
      </c>
      <c r="E20" s="329" t="s">
        <v>2166</v>
      </c>
      <c r="F20" s="1943">
        <v>3803</v>
      </c>
    </row>
    <row r="21" spans="1:6" x14ac:dyDescent="0.2">
      <c r="A21" s="1068"/>
      <c r="B21" s="1941">
        <v>2900</v>
      </c>
      <c r="C21" s="1941">
        <v>10</v>
      </c>
      <c r="D21" s="1941">
        <v>200</v>
      </c>
      <c r="E21" s="329" t="s">
        <v>2167</v>
      </c>
      <c r="F21" s="1944">
        <v>223</v>
      </c>
    </row>
    <row r="22" spans="1:6" ht="15" x14ac:dyDescent="0.35">
      <c r="A22" s="1068"/>
      <c r="B22" s="1941">
        <v>2900</v>
      </c>
      <c r="C22" s="1941">
        <v>10</v>
      </c>
      <c r="D22" s="1941">
        <v>400</v>
      </c>
      <c r="E22" s="329" t="s">
        <v>2168</v>
      </c>
      <c r="F22" s="1947">
        <v>35</v>
      </c>
    </row>
    <row r="23" spans="1:6" ht="15" x14ac:dyDescent="0.35">
      <c r="A23" s="1068"/>
      <c r="E23" s="329" t="s">
        <v>2159</v>
      </c>
      <c r="F23" s="1948">
        <f>SUM(F20:F22)</f>
        <v>4061</v>
      </c>
    </row>
    <row r="24" spans="1:6" x14ac:dyDescent="0.2">
      <c r="A24" s="1068"/>
    </row>
    <row r="25" spans="1:6" x14ac:dyDescent="0.2">
      <c r="A25" s="1068">
        <v>8</v>
      </c>
      <c r="B25" s="1941">
        <v>4190</v>
      </c>
      <c r="C25" s="1941">
        <v>10</v>
      </c>
      <c r="D25" s="1941">
        <v>600</v>
      </c>
      <c r="E25" s="329" t="s">
        <v>2162</v>
      </c>
      <c r="F25" s="1943">
        <v>1200</v>
      </c>
    </row>
    <row r="26" spans="1:6" x14ac:dyDescent="0.2">
      <c r="A26" s="1068"/>
      <c r="E26" s="329" t="s">
        <v>2163</v>
      </c>
      <c r="F26" s="1945">
        <v>2833</v>
      </c>
    </row>
    <row r="27" spans="1:6" ht="15" x14ac:dyDescent="0.35">
      <c r="A27" s="1068"/>
      <c r="E27" s="329" t="s">
        <v>2159</v>
      </c>
      <c r="F27" s="1948">
        <f>SUM(F25:F26)</f>
        <v>4033</v>
      </c>
    </row>
    <row r="28" spans="1:6" x14ac:dyDescent="0.2">
      <c r="A28" s="1068"/>
      <c r="F28" s="1944"/>
    </row>
    <row r="29" spans="1:6" x14ac:dyDescent="0.2">
      <c r="A29" s="1068">
        <v>9</v>
      </c>
      <c r="B29" s="1941">
        <v>2900</v>
      </c>
      <c r="C29" s="1941">
        <v>40</v>
      </c>
      <c r="D29" s="1941">
        <v>100</v>
      </c>
      <c r="E29" s="329" t="s">
        <v>2164</v>
      </c>
      <c r="F29" s="1943">
        <v>6771</v>
      </c>
    </row>
    <row r="30" spans="1:6" x14ac:dyDescent="0.2">
      <c r="A30" s="1068"/>
      <c r="B30" s="1941">
        <v>2900</v>
      </c>
      <c r="C30" s="1941">
        <v>40</v>
      </c>
      <c r="D30" s="1941">
        <v>200</v>
      </c>
      <c r="E30" s="329" t="s">
        <v>2165</v>
      </c>
      <c r="F30" s="1945">
        <v>1472</v>
      </c>
    </row>
    <row r="31" spans="1:6" ht="15" x14ac:dyDescent="0.35">
      <c r="A31" s="1068"/>
      <c r="E31" s="329" t="s">
        <v>2159</v>
      </c>
      <c r="F31" s="1948">
        <f>SUM(F29:F30)</f>
        <v>8243</v>
      </c>
    </row>
    <row r="32" spans="1:6" x14ac:dyDescent="0.2">
      <c r="A32" s="1068"/>
      <c r="F32" s="1944"/>
    </row>
    <row r="33" spans="1:6" ht="15" x14ac:dyDescent="0.35">
      <c r="A33" s="1068">
        <v>10</v>
      </c>
      <c r="B33" s="1941">
        <v>2900</v>
      </c>
      <c r="C33" s="1941">
        <v>50</v>
      </c>
      <c r="D33" s="1941">
        <v>200</v>
      </c>
      <c r="E33" s="329" t="s">
        <v>2167</v>
      </c>
      <c r="F33" s="1948">
        <v>434</v>
      </c>
    </row>
    <row r="34" spans="1:6" x14ac:dyDescent="0.2">
      <c r="A34" s="1069"/>
    </row>
    <row r="35" spans="1:6" x14ac:dyDescent="0.2">
      <c r="A35" s="1069"/>
    </row>
    <row r="36" spans="1:6" x14ac:dyDescent="0.2">
      <c r="A36" s="1069"/>
    </row>
    <row r="37" spans="1:6" x14ac:dyDescent="0.2">
      <c r="A37" s="1069"/>
    </row>
    <row r="38" spans="1:6" x14ac:dyDescent="0.2">
      <c r="A38" s="1069"/>
    </row>
    <row r="39" spans="1:6" x14ac:dyDescent="0.2">
      <c r="A39" s="1069"/>
    </row>
    <row r="40" spans="1:6" x14ac:dyDescent="0.2">
      <c r="A40" s="1069"/>
    </row>
    <row r="41" spans="1:6" x14ac:dyDescent="0.2">
      <c r="A41" s="1069"/>
    </row>
    <row r="42" spans="1:6" x14ac:dyDescent="0.2">
      <c r="A42" s="1069"/>
    </row>
    <row r="43" spans="1:6" x14ac:dyDescent="0.2">
      <c r="A43" s="1069"/>
    </row>
    <row r="44" spans="1:6" x14ac:dyDescent="0.2">
      <c r="A44" s="1069"/>
    </row>
    <row r="45" spans="1:6" x14ac:dyDescent="0.2">
      <c r="A45" s="1069"/>
    </row>
    <row r="46" spans="1:6" x14ac:dyDescent="0.2">
      <c r="A46" s="1069"/>
    </row>
    <row r="47" spans="1:6" x14ac:dyDescent="0.2">
      <c r="A47" s="1069"/>
    </row>
    <row r="48" spans="1:6"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Cairo USD 1</v>
      </c>
    </row>
    <row r="65" spans="2:2" x14ac:dyDescent="0.2">
      <c r="B65" s="1070">
        <f>COVER!A13</f>
        <v>30002001022</v>
      </c>
    </row>
  </sheetData>
  <phoneticPr fontId="14" type="noConversion"/>
  <printOptions horizontalCentered="1"/>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16" sqref="F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4" t="s">
        <v>1685</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5</xdr:row>
                <xdr:rowOff>0</xdr:rowOff>
              </from>
              <to>
                <xdr:col>1</xdr:col>
                <xdr:colOff>876300</xdr:colOff>
                <xdr:row>8</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1984</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1985</v>
      </c>
      <c r="B4" s="2365"/>
      <c r="C4" s="2365"/>
      <c r="D4" s="2365"/>
      <c r="E4" s="2365"/>
      <c r="F4" s="2366"/>
      <c r="G4" s="1074"/>
      <c r="H4" s="1074"/>
    </row>
    <row r="5" spans="1:8" ht="14.25" customHeight="1" x14ac:dyDescent="0.2">
      <c r="A5" s="2367" t="s">
        <v>1981</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5588490</v>
      </c>
      <c r="C8" s="1815">
        <f>'Acct Summary 7-8'!D8</f>
        <v>361884</v>
      </c>
      <c r="D8" s="1815">
        <f>'Acct Summary 7-8'!F8</f>
        <v>423149</v>
      </c>
      <c r="E8" s="1815">
        <f>'Acct Summary 7-8'!I8</f>
        <v>8553</v>
      </c>
      <c r="F8" s="1815">
        <f>SUM(B8:E8)</f>
        <v>6382076</v>
      </c>
    </row>
    <row r="9" spans="1:8" s="1079" customFormat="1" ht="14.25" customHeight="1" thickBot="1" x14ac:dyDescent="0.25">
      <c r="A9" s="1078" t="s">
        <v>1369</v>
      </c>
      <c r="B9" s="1816">
        <f>'Acct Summary 7-8'!C17</f>
        <v>4741067</v>
      </c>
      <c r="C9" s="1816">
        <f>'Acct Summary 7-8'!D17</f>
        <v>346191</v>
      </c>
      <c r="D9" s="1816">
        <f>'Acct Summary 7-8'!F17</f>
        <v>407925</v>
      </c>
      <c r="E9" s="1815"/>
      <c r="F9" s="1815">
        <f>SUM(B9:E9)</f>
        <v>5495183</v>
      </c>
    </row>
    <row r="10" spans="1:8" s="1079" customFormat="1" ht="14.25" thickTop="1" thickBot="1" x14ac:dyDescent="0.25">
      <c r="A10" s="1080" t="s">
        <v>1370</v>
      </c>
      <c r="B10" s="1817">
        <f>(B8-B9)</f>
        <v>847423</v>
      </c>
      <c r="C10" s="1817">
        <f>(C8-C9)</f>
        <v>15693</v>
      </c>
      <c r="D10" s="1817">
        <f>(D8-D9)</f>
        <v>15224</v>
      </c>
      <c r="E10" s="1816">
        <f>(E8-E9)</f>
        <v>8553</v>
      </c>
      <c r="F10" s="1818">
        <f>SUM(F8-F9)</f>
        <v>886893</v>
      </c>
    </row>
    <row r="11" spans="1:8" s="1079" customFormat="1" ht="14.25" thickTop="1" thickBot="1" x14ac:dyDescent="0.25">
      <c r="A11" s="1081" t="s">
        <v>1982</v>
      </c>
      <c r="B11" s="1819">
        <f>'Acct Summary 7-8'!C81</f>
        <v>5252336</v>
      </c>
      <c r="C11" s="1819">
        <f>'Acct Summary 7-8'!D81</f>
        <v>405733</v>
      </c>
      <c r="D11" s="1819">
        <f>'Acct Summary 7-8'!F81</f>
        <v>145816</v>
      </c>
      <c r="E11" s="1819">
        <f>'Acct Summary 7-8'!I81</f>
        <v>17041</v>
      </c>
      <c r="F11" s="1820">
        <f>SUM(B11:E11)</f>
        <v>5820926</v>
      </c>
    </row>
    <row r="12" spans="1:8" ht="16.5" customHeight="1" thickTop="1" x14ac:dyDescent="0.2">
      <c r="A12" s="1082"/>
      <c r="B12" s="1083"/>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D1" sqref="D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30002001022</v>
      </c>
    </row>
    <row r="3" spans="1:2" x14ac:dyDescent="0.2">
      <c r="A3" t="s">
        <v>956</v>
      </c>
      <c r="B3" s="138" t="str">
        <f>COVER!A15</f>
        <v>Alexander County</v>
      </c>
    </row>
    <row r="4" spans="1:2" x14ac:dyDescent="0.2">
      <c r="A4" t="s">
        <v>1007</v>
      </c>
      <c r="B4" s="138" t="str">
        <f>COVER!A17</f>
        <v>Cairo USD 1</v>
      </c>
    </row>
    <row r="5" spans="1:2" x14ac:dyDescent="0.2">
      <c r="A5" t="s">
        <v>704</v>
      </c>
      <c r="B5" s="138" t="str">
        <f>COVER!A38</f>
        <v>Andrea Evers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066-003889</v>
      </c>
    </row>
    <row r="16" spans="1:2" x14ac:dyDescent="0.2">
      <c r="A16" t="s">
        <v>422</v>
      </c>
      <c r="B16" s="138" t="str">
        <f>COVER!T13</f>
        <v>Beussink, Hey, Roe &amp; Stroder, LLC</v>
      </c>
    </row>
    <row r="17" spans="1:2" x14ac:dyDescent="0.2">
      <c r="A17" t="s">
        <v>884</v>
      </c>
      <c r="B17" s="138" t="str">
        <f>COVER!T15</f>
        <v>Jeffery C. Stroder, CPA</v>
      </c>
    </row>
    <row r="18" spans="1:2" x14ac:dyDescent="0.2">
      <c r="A18" t="s">
        <v>1150</v>
      </c>
      <c r="B18" s="138" t="str">
        <f>COVER!T17</f>
        <v>16 South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794271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5258439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6103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6103</v>
      </c>
      <c r="C91" s="2" t="s">
        <v>573</v>
      </c>
      <c r="D91" s="2" t="str">
        <f t="shared" si="0"/>
        <v>Error?</v>
      </c>
    </row>
    <row r="92" spans="1:4" x14ac:dyDescent="0.2">
      <c r="A92" s="5">
        <v>31</v>
      </c>
      <c r="B92" s="138">
        <f>'Assets-Liab 5-6'!C39</f>
        <v>5252336</v>
      </c>
      <c r="D92" s="2" t="str">
        <f t="shared" si="0"/>
        <v>Error?</v>
      </c>
    </row>
    <row r="93" spans="1:4" x14ac:dyDescent="0.2">
      <c r="A93" s="5">
        <v>32</v>
      </c>
      <c r="B93" s="138">
        <f>'Assets-Liab 5-6'!C41</f>
        <v>5258439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3140</v>
      </c>
      <c r="D108" s="2" t="str">
        <f t="shared" si="0"/>
        <v>Error?</v>
      </c>
    </row>
    <row r="109" spans="1:4" x14ac:dyDescent="0.2">
      <c r="A109" s="5">
        <v>48</v>
      </c>
      <c r="B109" s="138">
        <f>'Assets-Liab 5-6'!D13</f>
        <v>405733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405733</v>
      </c>
      <c r="D123" s="2" t="str">
        <f t="shared" si="0"/>
        <v>Error?</v>
      </c>
    </row>
    <row r="124" spans="1:4" x14ac:dyDescent="0.2">
      <c r="A124" s="5">
        <v>63</v>
      </c>
      <c r="B124" s="138">
        <f>'Assets-Liab 5-6'!D41</f>
        <v>405733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27686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27686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145816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145816</v>
      </c>
      <c r="D170" s="2" t="str">
        <f t="shared" si="1"/>
        <v>Error?</v>
      </c>
    </row>
    <row r="171" spans="1:4" x14ac:dyDescent="0.2">
      <c r="A171" s="5">
        <v>110</v>
      </c>
      <c r="B171" s="138">
        <f>'Assets-Liab 5-6'!F41</f>
        <v>145816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320456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320456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46919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46919</v>
      </c>
      <c r="D212" s="2" t="str">
        <f t="shared" si="2"/>
        <v>Error?</v>
      </c>
    </row>
    <row r="213" spans="1:4" x14ac:dyDescent="0.2">
      <c r="A213" s="12">
        <v>152</v>
      </c>
      <c r="B213" s="138">
        <f>'Assets-Liab 5-6'!H41</f>
        <v>46919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204945</v>
      </c>
      <c r="D273" s="2" t="str">
        <f t="shared" si="3"/>
        <v>Error?</v>
      </c>
    </row>
    <row r="274" spans="1:4" x14ac:dyDescent="0.2">
      <c r="A274" s="5">
        <v>213</v>
      </c>
      <c r="B274" s="138">
        <f>'Assets-Liab 5-6'!M17</f>
        <v>8244872</v>
      </c>
      <c r="D274" s="2" t="str">
        <f t="shared" si="3"/>
        <v>Error?</v>
      </c>
    </row>
    <row r="275" spans="1:4" x14ac:dyDescent="0.2">
      <c r="A275" s="5">
        <v>214</v>
      </c>
      <c r="B275" s="138">
        <f>'Assets-Liab 5-6'!M18</f>
        <v>289779</v>
      </c>
      <c r="D275" s="2" t="str">
        <f t="shared" si="3"/>
        <v>Error?</v>
      </c>
    </row>
    <row r="276" spans="1:4" x14ac:dyDescent="0.2">
      <c r="A276" s="5">
        <v>215</v>
      </c>
      <c r="B276" s="138">
        <f>'Assets-Liab 5-6'!M19</f>
        <v>1522182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10296458</v>
      </c>
      <c r="C279" s="2" t="s">
        <v>573</v>
      </c>
      <c r="D279" s="2" t="str">
        <f t="shared" si="3"/>
        <v>Error?</v>
      </c>
    </row>
    <row r="280" spans="1:4" x14ac:dyDescent="0.2">
      <c r="A280" s="5">
        <v>219</v>
      </c>
      <c r="B280" s="138">
        <f>'Assets-Liab 5-6'!M40</f>
        <v>10296458</v>
      </c>
      <c r="D280" s="2" t="str">
        <f t="shared" si="3"/>
        <v>Error?</v>
      </c>
    </row>
    <row r="281" spans="1:4" x14ac:dyDescent="0.2">
      <c r="A281" s="5">
        <v>220</v>
      </c>
      <c r="B281" s="138">
        <f>'Assets-Liab 5-6'!M41</f>
        <v>10296458</v>
      </c>
      <c r="C281" s="2" t="s">
        <v>573</v>
      </c>
      <c r="D281" s="2" t="str">
        <f t="shared" si="3"/>
        <v>Error?</v>
      </c>
    </row>
    <row r="282" spans="1:4" x14ac:dyDescent="0.2">
      <c r="A282" s="5">
        <v>221</v>
      </c>
      <c r="B282" s="138">
        <f>'Assets-Liab 5-6'!N21</f>
        <v>27686</v>
      </c>
      <c r="D282" s="2" t="str">
        <f t="shared" si="3"/>
        <v>Error?</v>
      </c>
    </row>
    <row r="283" spans="1:4" x14ac:dyDescent="0.2">
      <c r="A283" s="5">
        <v>222</v>
      </c>
      <c r="B283" s="138">
        <f>'Assets-Liab 5-6'!N22</f>
        <v>255214</v>
      </c>
      <c r="D283" s="2" t="str">
        <f t="shared" si="3"/>
        <v>Error?</v>
      </c>
    </row>
    <row r="284" spans="1:4" x14ac:dyDescent="0.2">
      <c r="A284" s="5">
        <v>223</v>
      </c>
      <c r="B284" s="138">
        <f>'Assets-Liab 5-6'!N23</f>
        <v>282900</v>
      </c>
      <c r="C284" s="2" t="s">
        <v>573</v>
      </c>
      <c r="D284" s="2" t="str">
        <f t="shared" si="3"/>
        <v>Error?</v>
      </c>
    </row>
    <row r="285" spans="1:4" x14ac:dyDescent="0.2">
      <c r="A285" s="5">
        <v>224</v>
      </c>
      <c r="B285" s="138">
        <f>'Assets-Liab 5-6'!N36</f>
        <v>282900</v>
      </c>
      <c r="D285" s="2" t="str">
        <f t="shared" si="3"/>
        <v>Error?</v>
      </c>
    </row>
    <row r="286" spans="1:4" x14ac:dyDescent="0.2">
      <c r="A286" s="10">
        <v>225</v>
      </c>
      <c r="D286" s="2" t="str">
        <f t="shared" si="3"/>
        <v>OK</v>
      </c>
    </row>
    <row r="287" spans="1:4" x14ac:dyDescent="0.2">
      <c r="A287" s="5">
        <v>226</v>
      </c>
      <c r="B287" s="138">
        <f>'Assets-Liab 5-6'!N37</f>
        <v>282900</v>
      </c>
      <c r="C287" s="2" t="s">
        <v>573</v>
      </c>
      <c r="D287" s="2" t="str">
        <f t="shared" si="3"/>
        <v>Error?</v>
      </c>
    </row>
    <row r="288" spans="1:4" x14ac:dyDescent="0.2">
      <c r="A288" s="5">
        <v>227</v>
      </c>
      <c r="B288" s="138">
        <f>'Assets-Liab 5-6'!N41</f>
        <v>282900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549131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44998</v>
      </c>
      <c r="D717" s="2" t="str">
        <f t="shared" si="10"/>
        <v>Error?</v>
      </c>
    </row>
    <row r="718" spans="1:4" x14ac:dyDescent="0.2">
      <c r="A718" s="5">
        <v>657</v>
      </c>
      <c r="B718" s="138">
        <f>'Expenditures 15-22'!C14</f>
        <v>70792</v>
      </c>
      <c r="D718" s="2" t="str">
        <f t="shared" si="10"/>
        <v>Error?</v>
      </c>
    </row>
    <row r="719" spans="1:4" x14ac:dyDescent="0.2">
      <c r="A719" s="5">
        <v>658</v>
      </c>
      <c r="B719" s="138">
        <f>'Expenditures 15-22'!C15</f>
        <v>24686</v>
      </c>
      <c r="D719" s="2" t="str">
        <f t="shared" si="10"/>
        <v>Error?</v>
      </c>
    </row>
    <row r="720" spans="1:4" x14ac:dyDescent="0.2">
      <c r="A720" s="5">
        <v>659</v>
      </c>
      <c r="B720" s="138">
        <f>'Expenditures 15-22'!C33</f>
        <v>1675254</v>
      </c>
      <c r="C720" s="2" t="s">
        <v>573</v>
      </c>
      <c r="D720" s="2" t="str">
        <f t="shared" si="10"/>
        <v>Error?</v>
      </c>
    </row>
    <row r="721" spans="1:4" x14ac:dyDescent="0.2">
      <c r="A721" s="5">
        <v>660</v>
      </c>
      <c r="B721" s="138">
        <f>'Expenditures 15-22'!C36</f>
        <v>29165</v>
      </c>
      <c r="D721" s="2" t="str">
        <f t="shared" si="10"/>
        <v>Error?</v>
      </c>
    </row>
    <row r="722" spans="1:4" x14ac:dyDescent="0.2">
      <c r="A722" s="5">
        <v>661</v>
      </c>
      <c r="B722" s="138">
        <f>'Expenditures 15-22'!C37</f>
        <v>88882</v>
      </c>
      <c r="D722" s="2" t="str">
        <f t="shared" si="10"/>
        <v>Error?</v>
      </c>
    </row>
    <row r="723" spans="1:4" x14ac:dyDescent="0.2">
      <c r="A723" s="5">
        <v>662</v>
      </c>
      <c r="B723" s="138">
        <f>'Expenditures 15-22'!C38</f>
        <v>39221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33902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191170</v>
      </c>
      <c r="C727" s="2" t="s">
        <v>573</v>
      </c>
      <c r="D727" s="2" t="str">
        <f t="shared" si="10"/>
        <v>Error?</v>
      </c>
    </row>
    <row r="728" spans="1:4" x14ac:dyDescent="0.2">
      <c r="A728" s="5">
        <v>667</v>
      </c>
      <c r="B728" s="138">
        <f>'Expenditures 15-22'!C44</f>
        <v>9479</v>
      </c>
      <c r="D728" s="2" t="str">
        <f t="shared" si="10"/>
        <v>Error?</v>
      </c>
    </row>
    <row r="729" spans="1:4" x14ac:dyDescent="0.2">
      <c r="A729" s="5">
        <v>668</v>
      </c>
      <c r="B729" s="138">
        <f>'Expenditures 15-22'!C45</f>
        <v>79487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88966</v>
      </c>
      <c r="C731" s="2" t="s">
        <v>573</v>
      </c>
      <c r="D731" s="2" t="str">
        <f t="shared" si="10"/>
        <v>Error?</v>
      </c>
    </row>
    <row r="732" spans="1:4" x14ac:dyDescent="0.2">
      <c r="A732" s="5">
        <v>671</v>
      </c>
      <c r="B732" s="138">
        <f>'Expenditures 15-22'!C49</f>
        <v>725</v>
      </c>
      <c r="D732" s="2" t="str">
        <f t="shared" si="10"/>
        <v>Error?</v>
      </c>
    </row>
    <row r="733" spans="1:4" x14ac:dyDescent="0.2">
      <c r="A733" s="5">
        <v>672</v>
      </c>
      <c r="B733" s="138">
        <f>'Expenditures 15-22'!C50</f>
        <v>102163</v>
      </c>
      <c r="D733" s="2" t="str">
        <f t="shared" si="10"/>
        <v>Error?</v>
      </c>
    </row>
    <row r="734" spans="1:4" x14ac:dyDescent="0.2">
      <c r="A734" s="5">
        <v>673</v>
      </c>
      <c r="B734" s="138">
        <f>'Expenditures 15-22'!C53</f>
        <v>102888</v>
      </c>
      <c r="C734" s="2" t="s">
        <v>573</v>
      </c>
      <c r="D734" s="2" t="str">
        <f t="shared" si="10"/>
        <v>Error?</v>
      </c>
    </row>
    <row r="735" spans="1:4" x14ac:dyDescent="0.2">
      <c r="A735" s="5">
        <v>674</v>
      </c>
      <c r="B735" s="138">
        <f>'Expenditures 15-22'!C55</f>
        <v>234486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234486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142909</v>
      </c>
      <c r="D739" s="2" t="str">
        <f t="shared" si="10"/>
        <v>Error?</v>
      </c>
    </row>
    <row r="740" spans="1:4" x14ac:dyDescent="0.2">
      <c r="A740" s="5">
        <v>679</v>
      </c>
      <c r="B740" s="138">
        <f>'Expenditures 15-22'!C61</f>
        <v>18211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161120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3803</v>
      </c>
      <c r="D754" s="2" t="str">
        <f t="shared" si="10"/>
        <v>Error?</v>
      </c>
    </row>
    <row r="755" spans="1:4" x14ac:dyDescent="0.2">
      <c r="A755" s="5">
        <v>694</v>
      </c>
      <c r="B755" s="138">
        <f>'Expenditures 15-22'!C74</f>
        <v>782433</v>
      </c>
      <c r="C755" s="2" t="s">
        <v>573</v>
      </c>
      <c r="D755" s="2" t="str">
        <f t="shared" si="10"/>
        <v>Error?</v>
      </c>
    </row>
    <row r="756" spans="1:4" x14ac:dyDescent="0.2">
      <c r="A756" s="5">
        <v>695</v>
      </c>
      <c r="B756" s="138">
        <f>'Expenditures 15-22'!C75</f>
        <v>135089</v>
      </c>
      <c r="D756" s="2" t="str">
        <f t="shared" si="10"/>
        <v>Error?</v>
      </c>
    </row>
    <row r="757" spans="1:4" x14ac:dyDescent="0.2">
      <c r="A757" s="5">
        <v>696</v>
      </c>
      <c r="B757" s="138">
        <f>'Expenditures 15-22'!C114</f>
        <v>2592776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126581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12681</v>
      </c>
      <c r="D775" s="2" t="str">
        <f t="shared" si="11"/>
        <v>Error?</v>
      </c>
    </row>
    <row r="776" spans="1:4" x14ac:dyDescent="0.2">
      <c r="A776" s="5">
        <v>715</v>
      </c>
      <c r="B776" s="138">
        <f>'Expenditures 15-22'!D14</f>
        <v>2030</v>
      </c>
      <c r="D776" s="2" t="str">
        <f t="shared" si="11"/>
        <v>Error?</v>
      </c>
    </row>
    <row r="777" spans="1:4" x14ac:dyDescent="0.2">
      <c r="A777" s="5">
        <v>716</v>
      </c>
      <c r="B777" s="138">
        <f>'Expenditures 15-22'!D15</f>
        <v>1971</v>
      </c>
      <c r="D777" s="2" t="str">
        <f t="shared" si="11"/>
        <v>Error?</v>
      </c>
    </row>
    <row r="778" spans="1:4" x14ac:dyDescent="0.2">
      <c r="A778" s="5">
        <v>717</v>
      </c>
      <c r="B778" s="138">
        <f>'Expenditures 15-22'!D33</f>
        <v>419365</v>
      </c>
      <c r="C778" s="2" t="s">
        <v>573</v>
      </c>
      <c r="D778" s="2" t="str">
        <f t="shared" si="11"/>
        <v>Error?</v>
      </c>
    </row>
    <row r="779" spans="1:4" x14ac:dyDescent="0.2">
      <c r="A779" s="5">
        <v>718</v>
      </c>
      <c r="B779" s="138">
        <f>'Expenditures 15-22'!D36</f>
        <v>3408</v>
      </c>
      <c r="D779" s="2" t="str">
        <f t="shared" si="11"/>
        <v>Error?</v>
      </c>
    </row>
    <row r="780" spans="1:4" x14ac:dyDescent="0.2">
      <c r="A780" s="5">
        <v>719</v>
      </c>
      <c r="B780" s="138">
        <f>'Expenditures 15-22'!D37</f>
        <v>9179</v>
      </c>
      <c r="D780" s="2" t="str">
        <f t="shared" si="11"/>
        <v>Error?</v>
      </c>
    </row>
    <row r="781" spans="1:4" x14ac:dyDescent="0.2">
      <c r="A781" s="5">
        <v>720</v>
      </c>
      <c r="B781" s="138">
        <f>'Expenditures 15-22'!D38</f>
        <v>6798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10704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30089</v>
      </c>
      <c r="C785" s="2" t="s">
        <v>573</v>
      </c>
      <c r="D785" s="2" t="str">
        <f t="shared" si="11"/>
        <v>Error?</v>
      </c>
    </row>
    <row r="786" spans="1:4" x14ac:dyDescent="0.2">
      <c r="A786" s="5">
        <v>725</v>
      </c>
      <c r="B786" s="138">
        <f>'Expenditures 15-22'!D44</f>
        <v>779</v>
      </c>
      <c r="D786" s="2" t="str">
        <f t="shared" si="11"/>
        <v>Error?</v>
      </c>
    </row>
    <row r="787" spans="1:4" x14ac:dyDescent="0.2">
      <c r="A787" s="5">
        <v>726</v>
      </c>
      <c r="B787" s="138">
        <f>'Expenditures 15-22'!D45</f>
        <v>13596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14375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21938</v>
      </c>
      <c r="D791" s="2" t="str">
        <f t="shared" si="11"/>
        <v>Error?</v>
      </c>
    </row>
    <row r="792" spans="1:4" x14ac:dyDescent="0.2">
      <c r="A792" s="5">
        <v>731</v>
      </c>
      <c r="B792" s="138">
        <f>'Expenditures 15-22'!D53</f>
        <v>21938</v>
      </c>
      <c r="C792" s="2" t="s">
        <v>573</v>
      </c>
      <c r="D792" s="2" t="str">
        <f t="shared" si="11"/>
        <v>Error?</v>
      </c>
    </row>
    <row r="793" spans="1:4" x14ac:dyDescent="0.2">
      <c r="A793" s="5">
        <v>732</v>
      </c>
      <c r="B793" s="138">
        <f>'Expenditures 15-22'!D55</f>
        <v>48684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48684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25901</v>
      </c>
      <c r="D797" s="2" t="str">
        <f t="shared" si="11"/>
        <v>Error?</v>
      </c>
    </row>
    <row r="798" spans="1:4" x14ac:dyDescent="0.2">
      <c r="A798" s="5">
        <v>737</v>
      </c>
      <c r="B798" s="138">
        <f>'Expenditures 15-22'!D61</f>
        <v>30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25931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223</v>
      </c>
      <c r="D812" s="2" t="str">
        <f t="shared" si="11"/>
        <v>Error?</v>
      </c>
    </row>
    <row r="813" spans="1:4" x14ac:dyDescent="0.2">
      <c r="A813" s="5">
        <v>752</v>
      </c>
      <c r="B813" s="138">
        <f>'Expenditures 15-22'!D74</f>
        <v>141240</v>
      </c>
      <c r="C813" s="2" t="s">
        <v>573</v>
      </c>
      <c r="D813" s="2" t="str">
        <f t="shared" si="11"/>
        <v>Error?</v>
      </c>
    </row>
    <row r="814" spans="1:4" x14ac:dyDescent="0.2">
      <c r="A814" s="5">
        <v>753</v>
      </c>
      <c r="B814" s="138">
        <f>'Expenditures 15-22'!D75</f>
        <v>15909</v>
      </c>
      <c r="D814" s="2" t="str">
        <f t="shared" si="11"/>
        <v>Error?</v>
      </c>
    </row>
    <row r="815" spans="1:4" x14ac:dyDescent="0.2">
      <c r="A815" s="5">
        <v>754</v>
      </c>
      <c r="B815" s="138">
        <f>'Expenditures 15-22'!D114</f>
        <v>576514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28092</v>
      </c>
      <c r="D834" s="2" t="str">
        <f t="shared" si="12"/>
        <v>Error?</v>
      </c>
    </row>
    <row r="835" spans="1:4" x14ac:dyDescent="0.2">
      <c r="A835" s="5">
        <v>774</v>
      </c>
      <c r="B835" s="138">
        <f>'Expenditures 15-22'!E15</f>
        <v>2192</v>
      </c>
      <c r="D835" s="2" t="str">
        <f t="shared" si="12"/>
        <v>Error?</v>
      </c>
    </row>
    <row r="836" spans="1:4" x14ac:dyDescent="0.2">
      <c r="A836" s="5">
        <v>775</v>
      </c>
      <c r="B836" s="138">
        <f>'Expenditures 15-22'!E33</f>
        <v>95268</v>
      </c>
      <c r="C836" s="2" t="s">
        <v>573</v>
      </c>
      <c r="D836" s="2" t="str">
        <f t="shared" si="12"/>
        <v>Error?</v>
      </c>
    </row>
    <row r="837" spans="1:4" x14ac:dyDescent="0.2">
      <c r="A837" s="5">
        <v>776</v>
      </c>
      <c r="B837" s="138">
        <f>'Expenditures 15-22'!E36</f>
        <v>15215</v>
      </c>
      <c r="D837" s="2" t="str">
        <f t="shared" si="12"/>
        <v>Error?</v>
      </c>
    </row>
    <row r="838" spans="1:4" x14ac:dyDescent="0.2">
      <c r="A838" s="5">
        <v>777</v>
      </c>
      <c r="B838" s="138">
        <f>'Expenditures 15-22'!E37</f>
        <v>90</v>
      </c>
      <c r="D838" s="2" t="str">
        <f t="shared" si="12"/>
        <v>Error?</v>
      </c>
    </row>
    <row r="839" spans="1:4" x14ac:dyDescent="0.2">
      <c r="A839" s="5">
        <v>778</v>
      </c>
      <c r="B839" s="138">
        <f>'Expenditures 15-22'!E38</f>
        <v>2363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17668</v>
      </c>
      <c r="C843" s="2" t="s">
        <v>573</v>
      </c>
      <c r="D843" s="2" t="str">
        <f t="shared" si="12"/>
        <v>Error?</v>
      </c>
    </row>
    <row r="844" spans="1:4" x14ac:dyDescent="0.2">
      <c r="A844" s="5">
        <v>783</v>
      </c>
      <c r="B844" s="138">
        <f>'Expenditures 15-22'!E44</f>
        <v>178061</v>
      </c>
      <c r="D844" s="2" t="str">
        <f t="shared" si="12"/>
        <v>Error?</v>
      </c>
    </row>
    <row r="845" spans="1:4" x14ac:dyDescent="0.2">
      <c r="A845" s="5">
        <v>784</v>
      </c>
      <c r="B845" s="138">
        <f>'Expenditures 15-22'!E45</f>
        <v>34387</v>
      </c>
      <c r="D845" s="2" t="str">
        <f t="shared" si="12"/>
        <v>Error?</v>
      </c>
    </row>
    <row r="846" spans="1:4" x14ac:dyDescent="0.2">
      <c r="A846" s="5">
        <v>785</v>
      </c>
      <c r="B846" s="138">
        <f>'Expenditures 15-22'!E46</f>
        <v>3706</v>
      </c>
      <c r="D846" s="2" t="str">
        <f t="shared" si="12"/>
        <v>Error?</v>
      </c>
    </row>
    <row r="847" spans="1:4" x14ac:dyDescent="0.2">
      <c r="A847" s="5">
        <v>786</v>
      </c>
      <c r="B847" s="138">
        <f>'Expenditures 15-22'!E47</f>
        <v>216154</v>
      </c>
      <c r="C847" s="2" t="s">
        <v>573</v>
      </c>
      <c r="D847" s="2" t="str">
        <f t="shared" si="12"/>
        <v>Error?</v>
      </c>
    </row>
    <row r="848" spans="1:4" x14ac:dyDescent="0.2">
      <c r="A848" s="5">
        <v>787</v>
      </c>
      <c r="B848" s="138">
        <f>'Expenditures 15-22'!E49</f>
        <v>147303</v>
      </c>
      <c r="D848" s="2" t="str">
        <f t="shared" si="12"/>
        <v>Error?</v>
      </c>
    </row>
    <row r="849" spans="1:4" x14ac:dyDescent="0.2">
      <c r="A849" s="5">
        <v>788</v>
      </c>
      <c r="B849" s="138">
        <f>'Expenditures 15-22'!E50</f>
        <v>11624</v>
      </c>
      <c r="D849" s="2" t="str">
        <f t="shared" si="12"/>
        <v>Error?</v>
      </c>
    </row>
    <row r="850" spans="1:4" x14ac:dyDescent="0.2">
      <c r="A850" s="5">
        <v>789</v>
      </c>
      <c r="B850" s="138">
        <f>'Expenditures 15-22'!E53</f>
        <v>160577</v>
      </c>
      <c r="C850" s="2" t="s">
        <v>573</v>
      </c>
      <c r="D850" s="2" t="str">
        <f t="shared" si="12"/>
        <v>Error?</v>
      </c>
    </row>
    <row r="851" spans="1:4" x14ac:dyDescent="0.2">
      <c r="A851" s="5">
        <v>790</v>
      </c>
      <c r="B851" s="138">
        <f>'Expenditures 15-22'!E55</f>
        <v>1723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1723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10691</v>
      </c>
      <c r="D855" s="2" t="str">
        <f t="shared" si="12"/>
        <v>Error?</v>
      </c>
    </row>
    <row r="856" spans="1:4" x14ac:dyDescent="0.2">
      <c r="A856" s="5">
        <v>795</v>
      </c>
      <c r="B856" s="138">
        <f>'Expenditures 15-22'!E61</f>
        <v>101899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285154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397744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3864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3864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797730</v>
      </c>
      <c r="C871" s="2" t="s">
        <v>573</v>
      </c>
      <c r="D871" s="2" t="str">
        <f t="shared" si="12"/>
        <v>Error?</v>
      </c>
    </row>
    <row r="872" spans="1:4" x14ac:dyDescent="0.2">
      <c r="A872" s="5">
        <v>811</v>
      </c>
      <c r="B872" s="138">
        <f>'Expenditures 15-22'!E75</f>
        <v>21561</v>
      </c>
      <c r="D872" s="2" t="str">
        <f t="shared" si="12"/>
        <v>Error?</v>
      </c>
    </row>
    <row r="873" spans="1:4" x14ac:dyDescent="0.2">
      <c r="A873" s="5">
        <v>812</v>
      </c>
      <c r="B873" s="138">
        <f>'Expenditures 15-22'!E114</f>
        <v>914559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12731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4950</v>
      </c>
      <c r="D892" s="2" t="str">
        <f t="shared" si="12"/>
        <v>Error?</v>
      </c>
    </row>
    <row r="893" spans="1:4" x14ac:dyDescent="0.2">
      <c r="A893" s="5">
        <v>832</v>
      </c>
      <c r="B893" s="138">
        <f>'Expenditures 15-22'!F15</f>
        <v>178</v>
      </c>
      <c r="D893" s="2" t="str">
        <f t="shared" si="12"/>
        <v>Error?</v>
      </c>
    </row>
    <row r="894" spans="1:4" x14ac:dyDescent="0.2">
      <c r="A894" s="5">
        <v>833</v>
      </c>
      <c r="B894" s="138">
        <f>'Expenditures 15-22'!F33</f>
        <v>59482</v>
      </c>
      <c r="C894" s="2" t="s">
        <v>573</v>
      </c>
      <c r="D894" s="2" t="str">
        <f t="shared" si="12"/>
        <v>Error?</v>
      </c>
    </row>
    <row r="895" spans="1:4" x14ac:dyDescent="0.2">
      <c r="A895" s="5">
        <v>834</v>
      </c>
      <c r="B895" s="138">
        <f>'Expenditures 15-22'!F36</f>
        <v>1180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55</v>
      </c>
      <c r="D900" s="2" t="str">
        <f t="shared" si="13"/>
        <v>Error?</v>
      </c>
    </row>
    <row r="901" spans="1:4" x14ac:dyDescent="0.2">
      <c r="A901" s="5">
        <v>840</v>
      </c>
      <c r="B901" s="138">
        <f>'Expenditures 15-22'!F42</f>
        <v>3137</v>
      </c>
      <c r="C901" s="2" t="s">
        <v>573</v>
      </c>
      <c r="D901" s="2" t="str">
        <f t="shared" si="13"/>
        <v>Error?</v>
      </c>
    </row>
    <row r="902" spans="1:4" x14ac:dyDescent="0.2">
      <c r="A902" s="5">
        <v>841</v>
      </c>
      <c r="B902" s="138">
        <f>'Expenditures 15-22'!F44</f>
        <v>5679</v>
      </c>
      <c r="D902" s="2" t="str">
        <f t="shared" si="13"/>
        <v>Error?</v>
      </c>
    </row>
    <row r="903" spans="1:4" x14ac:dyDescent="0.2">
      <c r="A903" s="5">
        <v>842</v>
      </c>
      <c r="B903" s="138">
        <f>'Expenditures 15-22'!F45</f>
        <v>1762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7441</v>
      </c>
      <c r="C905" s="2" t="s">
        <v>573</v>
      </c>
      <c r="D905" s="2" t="str">
        <f t="shared" si="13"/>
        <v>Error?</v>
      </c>
    </row>
    <row r="906" spans="1:4" x14ac:dyDescent="0.2">
      <c r="A906" s="5">
        <v>845</v>
      </c>
      <c r="B906" s="138">
        <f>'Expenditures 15-22'!F49</f>
        <v>5216</v>
      </c>
      <c r="D906" s="2" t="str">
        <f t="shared" si="13"/>
        <v>Error?</v>
      </c>
    </row>
    <row r="907" spans="1:4" x14ac:dyDescent="0.2">
      <c r="A907" s="5">
        <v>846</v>
      </c>
      <c r="B907" s="138">
        <f>'Expenditures 15-22'!F50</f>
        <v>156</v>
      </c>
      <c r="D907" s="2" t="str">
        <f t="shared" si="13"/>
        <v>Error?</v>
      </c>
    </row>
    <row r="908" spans="1:4" x14ac:dyDescent="0.2">
      <c r="A908" s="5">
        <v>847</v>
      </c>
      <c r="B908" s="138">
        <f>'Expenditures 15-22'!F53</f>
        <v>5372</v>
      </c>
      <c r="C908" s="2" t="s">
        <v>573</v>
      </c>
      <c r="D908" s="2" t="str">
        <f t="shared" si="13"/>
        <v>Error?</v>
      </c>
    </row>
    <row r="909" spans="1:4" x14ac:dyDescent="0.2">
      <c r="A909" s="5">
        <v>848</v>
      </c>
      <c r="B909" s="138">
        <f>'Expenditures 15-22'!F55</f>
        <v>6347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6347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4796</v>
      </c>
      <c r="D913" s="2" t="str">
        <f t="shared" si="13"/>
        <v>Error?</v>
      </c>
    </row>
    <row r="914" spans="1:4" x14ac:dyDescent="0.2">
      <c r="A914" s="5">
        <v>853</v>
      </c>
      <c r="B914" s="138">
        <f>'Expenditures 15-22'!F61</f>
        <v>170979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6787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182562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35</v>
      </c>
      <c r="D928" s="2" t="str">
        <f t="shared" si="13"/>
        <v>Error?</v>
      </c>
    </row>
    <row r="929" spans="1:4" x14ac:dyDescent="0.2">
      <c r="A929" s="5">
        <v>868</v>
      </c>
      <c r="B929" s="138">
        <f>'Expenditures 15-22'!F74</f>
        <v>204894</v>
      </c>
      <c r="C929" s="2" t="s">
        <v>573</v>
      </c>
      <c r="D929" s="2" t="str">
        <f t="shared" si="13"/>
        <v>Error?</v>
      </c>
    </row>
    <row r="930" spans="1:4" x14ac:dyDescent="0.2">
      <c r="A930" s="5">
        <v>869</v>
      </c>
      <c r="B930" s="138">
        <f>'Expenditures 15-22'!F75</f>
        <v>16944</v>
      </c>
      <c r="D930" s="2" t="str">
        <f t="shared" si="13"/>
        <v>Error?</v>
      </c>
    </row>
    <row r="931" spans="1:4" x14ac:dyDescent="0.2">
      <c r="A931" s="5">
        <v>870</v>
      </c>
      <c r="B931" s="138">
        <f>'Expenditures 15-22'!F114</f>
        <v>281320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92341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1100</v>
      </c>
      <c r="C963" s="2" t="s">
        <v>573</v>
      </c>
      <c r="D963" s="2" t="str">
        <f t="shared" si="14"/>
        <v>Error?</v>
      </c>
    </row>
    <row r="964" spans="1:4" x14ac:dyDescent="0.2">
      <c r="A964" s="5">
        <v>903</v>
      </c>
      <c r="B964" s="138">
        <f>'Expenditures 15-22'!G49</f>
        <v>34680</v>
      </c>
      <c r="D964" s="2" t="str">
        <f t="shared" si="14"/>
        <v>Error?</v>
      </c>
    </row>
    <row r="965" spans="1:4" x14ac:dyDescent="0.2">
      <c r="A965" s="5">
        <v>904</v>
      </c>
      <c r="B965" s="138">
        <f>'Expenditures 15-22'!G50</f>
        <v>800</v>
      </c>
      <c r="D965" s="2" t="str">
        <f t="shared" si="14"/>
        <v>Error?</v>
      </c>
    </row>
    <row r="966" spans="1:4" x14ac:dyDescent="0.2">
      <c r="A966" s="5">
        <v>905</v>
      </c>
      <c r="B966" s="138">
        <f>'Expenditures 15-22'!G53</f>
        <v>35480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24420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24420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61000</v>
      </c>
      <c r="C987" s="2" t="s">
        <v>573</v>
      </c>
      <c r="D987" s="2" t="str">
        <f t="shared" si="14"/>
        <v>Error?</v>
      </c>
    </row>
    <row r="988" spans="1:4" x14ac:dyDescent="0.2">
      <c r="A988" s="5">
        <v>927</v>
      </c>
      <c r="B988" s="138">
        <f>'Expenditures 15-22'!G75</f>
        <v>8110</v>
      </c>
      <c r="D988" s="2" t="str">
        <f t="shared" si="14"/>
        <v>Error?</v>
      </c>
    </row>
    <row r="989" spans="1:4" x14ac:dyDescent="0.2">
      <c r="A989" s="5">
        <v>928</v>
      </c>
      <c r="B989" s="138">
        <f>'Expenditures 15-22'!G114</f>
        <v>161451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6658</v>
      </c>
      <c r="D1022" s="2" t="str">
        <f t="shared" si="14"/>
        <v>Error?</v>
      </c>
    </row>
    <row r="1023" spans="1:4" x14ac:dyDescent="0.2">
      <c r="A1023" s="5">
        <v>962</v>
      </c>
      <c r="B1023" s="138">
        <f>'Expenditures 15-22'!H50</f>
        <v>1005</v>
      </c>
      <c r="D1023" s="2" t="str">
        <f t="shared" ref="D1023:D1086" si="15">IF(ISBLANK(B1023),"OK",IF(A1023-B1023=0,"OK","Error?"))</f>
        <v>Error?</v>
      </c>
    </row>
    <row r="1024" spans="1:4" x14ac:dyDescent="0.2">
      <c r="A1024" s="5">
        <v>963</v>
      </c>
      <c r="B1024" s="138">
        <f>'Expenditures 15-22'!H53</f>
        <v>7663</v>
      </c>
      <c r="C1024" s="2" t="s">
        <v>573</v>
      </c>
      <c r="D1024" s="2" t="str">
        <f t="shared" si="15"/>
        <v>Error?</v>
      </c>
    </row>
    <row r="1025" spans="1:4" x14ac:dyDescent="0.2">
      <c r="A1025" s="5">
        <v>964</v>
      </c>
      <c r="B1025" s="138">
        <f>'Expenditures 15-22'!H55</f>
        <v>780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780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10273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203574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214447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689897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57679</v>
      </c>
      <c r="C1105" s="2" t="s">
        <v>573</v>
      </c>
      <c r="D1105" s="2" t="str">
        <f t="shared" si="16"/>
        <v>Error?</v>
      </c>
    </row>
    <row r="1106" spans="1:4" x14ac:dyDescent="0.2">
      <c r="A1106" s="5">
        <v>1045</v>
      </c>
      <c r="B1106" s="138">
        <f>'Expenditures 15-22'!K14</f>
        <v>105864</v>
      </c>
      <c r="C1106" s="2" t="s">
        <v>573</v>
      </c>
      <c r="D1106" s="2" t="str">
        <f t="shared" si="16"/>
        <v>Error?</v>
      </c>
    </row>
    <row r="1107" spans="1:4" x14ac:dyDescent="0.2">
      <c r="A1107" s="5">
        <v>1046</v>
      </c>
      <c r="B1107" s="138">
        <f>'Expenditures 15-22'!K15</f>
        <v>29027</v>
      </c>
      <c r="C1107" s="2" t="s">
        <v>573</v>
      </c>
      <c r="D1107" s="2" t="str">
        <f t="shared" si="16"/>
        <v>Error?</v>
      </c>
    </row>
    <row r="1108" spans="1:4" x14ac:dyDescent="0.2">
      <c r="A1108" s="5">
        <v>1047</v>
      </c>
      <c r="B1108" s="138">
        <f>'Expenditures 15-22'!K33</f>
        <v>2342310</v>
      </c>
      <c r="C1108" s="2" t="s">
        <v>573</v>
      </c>
      <c r="D1108" s="2" t="str">
        <f t="shared" si="16"/>
        <v>Error?</v>
      </c>
    </row>
    <row r="1109" spans="1:4" x14ac:dyDescent="0.2">
      <c r="A1109" s="5">
        <v>1048</v>
      </c>
      <c r="B1109" s="138">
        <f>'Expenditures 15-22'!K36</f>
        <v>48968</v>
      </c>
      <c r="C1109" s="2" t="s">
        <v>573</v>
      </c>
      <c r="D1109" s="2" t="str">
        <f t="shared" si="16"/>
        <v>Error?</v>
      </c>
    </row>
    <row r="1110" spans="1:4" x14ac:dyDescent="0.2">
      <c r="A1110" s="5">
        <v>1049</v>
      </c>
      <c r="B1110" s="138">
        <f>'Expenditures 15-22'!K37</f>
        <v>98536</v>
      </c>
      <c r="C1110" s="2" t="s">
        <v>573</v>
      </c>
      <c r="D1110" s="2" t="str">
        <f t="shared" si="16"/>
        <v>Error?</v>
      </c>
    </row>
    <row r="1111" spans="1:4" x14ac:dyDescent="0.2">
      <c r="A1111" s="5">
        <v>1050</v>
      </c>
      <c r="B1111" s="138">
        <f>'Expenditures 15-22'!K38</f>
        <v>50284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44606</v>
      </c>
      <c r="C1113" s="2" t="s">
        <v>573</v>
      </c>
      <c r="D1113" s="2" t="str">
        <f t="shared" si="16"/>
        <v>Error?</v>
      </c>
    </row>
    <row r="1114" spans="1:4" x14ac:dyDescent="0.2">
      <c r="A1114" s="5">
        <v>1053</v>
      </c>
      <c r="B1114" s="138">
        <f>'Expenditures 15-22'!K41</f>
        <v>55</v>
      </c>
      <c r="C1114" s="2" t="s">
        <v>573</v>
      </c>
      <c r="D1114" s="2" t="str">
        <f t="shared" si="16"/>
        <v>Error?</v>
      </c>
    </row>
    <row r="1115" spans="1:4" x14ac:dyDescent="0.2">
      <c r="A1115" s="5">
        <v>1054</v>
      </c>
      <c r="B1115" s="138">
        <f>'Expenditures 15-22'!K42</f>
        <v>242449</v>
      </c>
      <c r="C1115" s="2" t="s">
        <v>573</v>
      </c>
      <c r="D1115" s="2" t="str">
        <f t="shared" si="16"/>
        <v>Error?</v>
      </c>
    </row>
    <row r="1116" spans="1:4" x14ac:dyDescent="0.2">
      <c r="A1116" s="5">
        <v>1055</v>
      </c>
      <c r="B1116" s="138">
        <f>'Expenditures 15-22'!K44</f>
        <v>193998</v>
      </c>
      <c r="C1116" s="2" t="s">
        <v>573</v>
      </c>
      <c r="D1116" s="2" t="str">
        <f t="shared" si="16"/>
        <v>Error?</v>
      </c>
    </row>
    <row r="1117" spans="1:4" x14ac:dyDescent="0.2">
      <c r="A1117" s="5">
        <v>1056</v>
      </c>
      <c r="B1117" s="138">
        <f>'Expenditures 15-22'!K45</f>
        <v>130332</v>
      </c>
      <c r="C1117" s="2" t="s">
        <v>573</v>
      </c>
      <c r="D1117" s="2" t="str">
        <f t="shared" si="16"/>
        <v>Error?</v>
      </c>
    </row>
    <row r="1118" spans="1:4" x14ac:dyDescent="0.2">
      <c r="A1118" s="5">
        <v>1057</v>
      </c>
      <c r="B1118" s="138">
        <f>'Expenditures 15-22'!K46</f>
        <v>3706</v>
      </c>
      <c r="C1118" s="2" t="s">
        <v>573</v>
      </c>
      <c r="D1118" s="2" t="str">
        <f t="shared" si="16"/>
        <v>Error?</v>
      </c>
    </row>
    <row r="1119" spans="1:4" x14ac:dyDescent="0.2">
      <c r="A1119" s="5">
        <v>1058</v>
      </c>
      <c r="B1119" s="138">
        <f>'Expenditures 15-22'!K47</f>
        <v>328036</v>
      </c>
      <c r="C1119" s="2" t="s">
        <v>573</v>
      </c>
      <c r="D1119" s="2" t="str">
        <f t="shared" si="16"/>
        <v>Error?</v>
      </c>
    </row>
    <row r="1120" spans="1:4" x14ac:dyDescent="0.2">
      <c r="A1120" s="5">
        <v>1059</v>
      </c>
      <c r="B1120" s="138">
        <f>'Expenditures 15-22'!K49</f>
        <v>194582</v>
      </c>
      <c r="C1120" s="2" t="s">
        <v>573</v>
      </c>
      <c r="D1120" s="2" t="str">
        <f t="shared" si="16"/>
        <v>Error?</v>
      </c>
    </row>
    <row r="1121" spans="1:4" x14ac:dyDescent="0.2">
      <c r="A1121" s="5">
        <v>1060</v>
      </c>
      <c r="B1121" s="138">
        <f>'Expenditures 15-22'!K50</f>
        <v>137686</v>
      </c>
      <c r="C1121" s="2" t="s">
        <v>573</v>
      </c>
      <c r="D1121" s="2" t="str">
        <f t="shared" si="16"/>
        <v>Error?</v>
      </c>
    </row>
    <row r="1122" spans="1:4" x14ac:dyDescent="0.2">
      <c r="A1122" s="5">
        <v>1061</v>
      </c>
      <c r="B1122" s="138">
        <f>'Expenditures 15-22'!K53</f>
        <v>333918</v>
      </c>
      <c r="C1122" s="2" t="s">
        <v>573</v>
      </c>
      <c r="D1122" s="2" t="str">
        <f t="shared" si="16"/>
        <v>Error?</v>
      </c>
    </row>
    <row r="1123" spans="1:4" x14ac:dyDescent="0.2">
      <c r="A1123" s="5">
        <v>1062</v>
      </c>
      <c r="B1123" s="138">
        <f>'Expenditures 15-22'!K55</f>
        <v>292020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292020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185742</v>
      </c>
      <c r="C1127" s="2" t="s">
        <v>573</v>
      </c>
      <c r="D1127" s="2" t="str">
        <f t="shared" si="16"/>
        <v>Error?</v>
      </c>
    </row>
    <row r="1128" spans="1:4" x14ac:dyDescent="0.2">
      <c r="A1128" s="5">
        <v>1067</v>
      </c>
      <c r="B1128" s="138">
        <f>'Expenditures 15-22'!K61</f>
        <v>315539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291941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793222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3864</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3864</v>
      </c>
      <c r="C1141" s="2" t="s">
        <v>573</v>
      </c>
      <c r="D1141" s="2" t="str">
        <f t="shared" si="16"/>
        <v>Error?</v>
      </c>
    </row>
    <row r="1142" spans="1:4" x14ac:dyDescent="0.2">
      <c r="A1142" s="5">
        <v>1081</v>
      </c>
      <c r="B1142" s="138">
        <f>'Expenditures 15-22'!K73</f>
        <v>4061</v>
      </c>
      <c r="C1142" s="2" t="s">
        <v>573</v>
      </c>
      <c r="D1142" s="2" t="str">
        <f t="shared" si="16"/>
        <v>Error?</v>
      </c>
    </row>
    <row r="1143" spans="1:4" x14ac:dyDescent="0.2">
      <c r="A1143" s="5">
        <v>1082</v>
      </c>
      <c r="B1143" s="138">
        <f>'Expenditures 15-22'!K74</f>
        <v>1997570</v>
      </c>
      <c r="C1143" s="2" t="s">
        <v>573</v>
      </c>
      <c r="D1143" s="2" t="str">
        <f t="shared" si="16"/>
        <v>Error?</v>
      </c>
    </row>
    <row r="1144" spans="1:4" x14ac:dyDescent="0.2">
      <c r="A1144" s="5">
        <v>1083</v>
      </c>
      <c r="B1144" s="138">
        <f>'Expenditures 15-22'!K75</f>
        <v>197613</v>
      </c>
      <c r="C1144" s="2" t="s">
        <v>573</v>
      </c>
      <c r="D1144" s="2" t="str">
        <f t="shared" si="16"/>
        <v>Error?</v>
      </c>
    </row>
    <row r="1145" spans="1:4" x14ac:dyDescent="0.2">
      <c r="A1145" s="5">
        <v>1084</v>
      </c>
      <c r="B1145" s="138">
        <f>'Expenditures 15-22'!K102</f>
        <v>203574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4741067</v>
      </c>
      <c r="C1152" s="2" t="s">
        <v>573</v>
      </c>
      <c r="D1152" s="2" t="str">
        <f t="shared" si="17"/>
        <v>Error?</v>
      </c>
    </row>
    <row r="1153" spans="1:4" x14ac:dyDescent="0.2">
      <c r="A1153" s="5">
        <v>1092</v>
      </c>
      <c r="B1153" s="138">
        <f>'Expenditures 15-22'!K115</f>
        <v>847423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184654</v>
      </c>
      <c r="D1221" s="2" t="str">
        <f t="shared" si="18"/>
        <v>Error?</v>
      </c>
    </row>
    <row r="1222" spans="1:4" x14ac:dyDescent="0.2">
      <c r="A1222" s="10">
        <v>1161</v>
      </c>
      <c r="D1222" s="2" t="str">
        <f t="shared" si="18"/>
        <v>OK</v>
      </c>
    </row>
    <row r="1223" spans="1:4" x14ac:dyDescent="0.2">
      <c r="A1223" s="5">
        <v>1162</v>
      </c>
      <c r="B1223" s="138">
        <f>'Expenditures 15-22'!C127</f>
        <v>184654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184654</v>
      </c>
      <c r="C1225" s="2" t="s">
        <v>573</v>
      </c>
      <c r="D1225" s="2" t="str">
        <f t="shared" si="18"/>
        <v>Error?</v>
      </c>
    </row>
    <row r="1226" spans="1:4" x14ac:dyDescent="0.2">
      <c r="A1226" s="5">
        <v>1165</v>
      </c>
      <c r="B1226" s="138">
        <f>'Expenditures 15-22'!C151</f>
        <v>184654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30712</v>
      </c>
      <c r="D1229" s="2" t="str">
        <f t="shared" si="18"/>
        <v>Error?</v>
      </c>
    </row>
    <row r="1230" spans="1:4" x14ac:dyDescent="0.2">
      <c r="A1230" s="10">
        <v>1169</v>
      </c>
      <c r="D1230" s="2" t="str">
        <f t="shared" si="18"/>
        <v>OK</v>
      </c>
    </row>
    <row r="1231" spans="1:4" x14ac:dyDescent="0.2">
      <c r="A1231" s="5">
        <v>1170</v>
      </c>
      <c r="B1231" s="138">
        <f>'Expenditures 15-22'!D127</f>
        <v>30712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30712</v>
      </c>
      <c r="C1233" s="2" t="s">
        <v>573</v>
      </c>
      <c r="D1233" s="2" t="str">
        <f t="shared" si="18"/>
        <v>Error?</v>
      </c>
    </row>
    <row r="1234" spans="1:4" x14ac:dyDescent="0.2">
      <c r="A1234" s="5">
        <v>1173</v>
      </c>
      <c r="B1234" s="138">
        <f>'Expenditures 15-22'!D151</f>
        <v>30712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51225</v>
      </c>
      <c r="D1237" s="2" t="str">
        <f t="shared" si="18"/>
        <v>Error?</v>
      </c>
    </row>
    <row r="1238" spans="1:4" x14ac:dyDescent="0.2">
      <c r="A1238" s="10">
        <v>1177</v>
      </c>
      <c r="D1238" s="2" t="str">
        <f t="shared" si="18"/>
        <v>OK</v>
      </c>
    </row>
    <row r="1239" spans="1:4" x14ac:dyDescent="0.2">
      <c r="A1239" s="5">
        <v>1178</v>
      </c>
      <c r="B1239" s="138">
        <f>'Expenditures 15-22'!E127</f>
        <v>51225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51225</v>
      </c>
      <c r="C1241" s="2" t="s">
        <v>573</v>
      </c>
      <c r="D1241" s="2" t="str">
        <f t="shared" si="18"/>
        <v>Error?</v>
      </c>
    </row>
    <row r="1242" spans="1:4" x14ac:dyDescent="0.2">
      <c r="A1242" s="5">
        <v>1181</v>
      </c>
      <c r="B1242" s="138">
        <f>'Expenditures 15-22'!E151</f>
        <v>51225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50207</v>
      </c>
      <c r="D1245" s="2" t="str">
        <f t="shared" si="18"/>
        <v>Error?</v>
      </c>
    </row>
    <row r="1246" spans="1:4" x14ac:dyDescent="0.2">
      <c r="A1246" s="10">
        <v>1185</v>
      </c>
      <c r="D1246" s="2" t="str">
        <f t="shared" si="18"/>
        <v>OK</v>
      </c>
    </row>
    <row r="1247" spans="1:4" x14ac:dyDescent="0.2">
      <c r="A1247" s="5">
        <v>1186</v>
      </c>
      <c r="B1247" s="138">
        <f>'Expenditures 15-22'!F127</f>
        <v>50207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50207</v>
      </c>
      <c r="C1249" s="2" t="s">
        <v>573</v>
      </c>
      <c r="D1249" s="2" t="str">
        <f t="shared" si="18"/>
        <v>Error?</v>
      </c>
    </row>
    <row r="1250" spans="1:4" x14ac:dyDescent="0.2">
      <c r="A1250" s="5">
        <v>1189</v>
      </c>
      <c r="B1250" s="138">
        <f>'Expenditures 15-22'!F151</f>
        <v>50207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29393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29393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29393</v>
      </c>
      <c r="C1258" s="2" t="s">
        <v>573</v>
      </c>
      <c r="D1258" s="2" t="str">
        <f t="shared" si="18"/>
        <v>Error?</v>
      </c>
    </row>
    <row r="1259" spans="1:4" x14ac:dyDescent="0.2">
      <c r="A1259" s="5">
        <v>1198</v>
      </c>
      <c r="B1259" s="138">
        <f>'Expenditures 15-22'!G151</f>
        <v>29393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346191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346191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346191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346191</v>
      </c>
      <c r="C1288" s="2" t="s">
        <v>573</v>
      </c>
      <c r="D1288" s="2" t="str">
        <f t="shared" si="19"/>
        <v>Error?</v>
      </c>
    </row>
    <row r="1289" spans="1:4" x14ac:dyDescent="0.2">
      <c r="A1289" s="5">
        <v>1228</v>
      </c>
      <c r="B1289" s="138">
        <f>'Expenditures 15-22'!K152</f>
        <v>15693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7571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137700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145271</v>
      </c>
      <c r="C1317" s="2" t="s">
        <v>573</v>
      </c>
      <c r="D1317" s="2" t="str">
        <f t="shared" si="19"/>
        <v>Error?</v>
      </c>
    </row>
    <row r="1318" spans="1:4" x14ac:dyDescent="0.2">
      <c r="A1318" s="5">
        <v>1257</v>
      </c>
      <c r="B1318" s="138">
        <f>'Expenditures 15-22'!H174</f>
        <v>145271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7571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137700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145271</v>
      </c>
      <c r="C1331" s="2" t="s">
        <v>573</v>
      </c>
      <c r="D1331" s="2" t="str">
        <f t="shared" si="19"/>
        <v>Error?</v>
      </c>
    </row>
    <row r="1332" spans="1:4" x14ac:dyDescent="0.2">
      <c r="A1332" s="5">
        <v>1271</v>
      </c>
      <c r="B1332" s="138">
        <f>'Expenditures 15-22'!K174</f>
        <v>145271</v>
      </c>
      <c r="C1332" s="2" t="s">
        <v>573</v>
      </c>
      <c r="D1332" s="2" t="str">
        <f t="shared" si="19"/>
        <v>Error?</v>
      </c>
    </row>
    <row r="1333" spans="1:4" x14ac:dyDescent="0.2">
      <c r="A1333" s="5">
        <v>1272</v>
      </c>
      <c r="B1333" s="138">
        <f>'Expenditures 15-22'!K175</f>
        <v>-385</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6771</v>
      </c>
      <c r="D1338" s="2" t="str">
        <f t="shared" si="19"/>
        <v>Error?</v>
      </c>
    </row>
    <row r="1339" spans="1:4" x14ac:dyDescent="0.2">
      <c r="A1339" s="5">
        <v>1278</v>
      </c>
      <c r="B1339" s="138">
        <f>'Expenditures 15-22'!C184</f>
        <v>6771</v>
      </c>
      <c r="C1339" s="2" t="s">
        <v>573</v>
      </c>
      <c r="D1339" s="2" t="str">
        <f t="shared" si="19"/>
        <v>Error?</v>
      </c>
    </row>
    <row r="1340" spans="1:4" x14ac:dyDescent="0.2">
      <c r="A1340" s="5">
        <v>1279</v>
      </c>
      <c r="B1340" s="138">
        <f>'Expenditures 15-22'!C210</f>
        <v>6771</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1472</v>
      </c>
      <c r="D1344" s="2" t="str">
        <f t="shared" si="20"/>
        <v>Error?</v>
      </c>
    </row>
    <row r="1345" spans="1:4" x14ac:dyDescent="0.2">
      <c r="A1345" s="5">
        <v>1284</v>
      </c>
      <c r="B1345" s="138">
        <f>'Expenditures 15-22'!D184</f>
        <v>1472</v>
      </c>
      <c r="C1345" s="2" t="s">
        <v>573</v>
      </c>
      <c r="D1345" s="2" t="str">
        <f t="shared" si="20"/>
        <v>Error?</v>
      </c>
    </row>
    <row r="1346" spans="1:4" x14ac:dyDescent="0.2">
      <c r="A1346" s="5">
        <v>1285</v>
      </c>
      <c r="B1346" s="138">
        <f>'Expenditures 15-22'!D210</f>
        <v>1472</v>
      </c>
      <c r="C1346" s="2" t="s">
        <v>573</v>
      </c>
      <c r="D1346" s="2" t="str">
        <f t="shared" si="20"/>
        <v>Error?</v>
      </c>
    </row>
    <row r="1347" spans="1:4" x14ac:dyDescent="0.2">
      <c r="A1347" s="5">
        <v>1286</v>
      </c>
      <c r="B1347" s="138">
        <f>'Expenditures 15-22'!E182</f>
        <v>399682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399682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399682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399682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8243</v>
      </c>
      <c r="C1380" s="2" t="s">
        <v>573</v>
      </c>
      <c r="D1380" s="2" t="str">
        <f t="shared" si="20"/>
        <v>Error?</v>
      </c>
    </row>
    <row r="1381" spans="1:4" x14ac:dyDescent="0.2">
      <c r="A1381" s="5">
        <v>1320</v>
      </c>
      <c r="B1381" s="138">
        <f>'Expenditures 15-22'!K184</f>
        <v>407925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407925</v>
      </c>
      <c r="C1388" s="2" t="s">
        <v>573</v>
      </c>
      <c r="D1388" s="2" t="str">
        <f t="shared" si="20"/>
        <v>Error?</v>
      </c>
    </row>
    <row r="1389" spans="1:4" x14ac:dyDescent="0.2">
      <c r="A1389" s="5">
        <v>1328</v>
      </c>
      <c r="B1389" s="138">
        <f>'Expenditures 15-22'!K211</f>
        <v>15224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652</v>
      </c>
      <c r="D1407" s="2" t="str">
        <f t="shared" ref="D1407:D1470" si="21">IF(ISBLANK(B1407),"OK",IF(A1407-B1407=0,"OK","Error?"))</f>
        <v>Error?</v>
      </c>
    </row>
    <row r="1408" spans="1:4" x14ac:dyDescent="0.2">
      <c r="A1408" s="5">
        <v>1347</v>
      </c>
      <c r="B1408" s="138">
        <f>'Expenditures 15-22'!D223</f>
        <v>6667</v>
      </c>
      <c r="D1408" s="2" t="str">
        <f t="shared" si="21"/>
        <v>Error?</v>
      </c>
    </row>
    <row r="1409" spans="1:4" x14ac:dyDescent="0.2">
      <c r="A1409" s="5">
        <v>1348</v>
      </c>
      <c r="B1409" s="138">
        <f>'Expenditures 15-22'!D224</f>
        <v>1585</v>
      </c>
      <c r="D1409" s="2" t="str">
        <f t="shared" si="21"/>
        <v>Error?</v>
      </c>
    </row>
    <row r="1410" spans="1:4" x14ac:dyDescent="0.2">
      <c r="A1410" s="5">
        <v>1349</v>
      </c>
      <c r="B1410" s="138">
        <f>'Expenditures 15-22'!D229</f>
        <v>84844</v>
      </c>
      <c r="C1410" s="2" t="s">
        <v>573</v>
      </c>
      <c r="D1410" s="2" t="str">
        <f t="shared" si="21"/>
        <v>Error?</v>
      </c>
    </row>
    <row r="1411" spans="1:4" x14ac:dyDescent="0.2">
      <c r="A1411" s="5">
        <v>1350</v>
      </c>
      <c r="B1411" s="138">
        <f>'Expenditures 15-22'!D232</f>
        <v>4902</v>
      </c>
      <c r="D1411" s="2" t="str">
        <f t="shared" si="21"/>
        <v>Error?</v>
      </c>
    </row>
    <row r="1412" spans="1:4" x14ac:dyDescent="0.2">
      <c r="A1412" s="5">
        <v>1351</v>
      </c>
      <c r="B1412" s="138">
        <f>'Expenditures 15-22'!D233</f>
        <v>1289</v>
      </c>
      <c r="D1412" s="2" t="str">
        <f t="shared" si="21"/>
        <v>Error?</v>
      </c>
    </row>
    <row r="1413" spans="1:4" x14ac:dyDescent="0.2">
      <c r="A1413" s="5">
        <v>1352</v>
      </c>
      <c r="B1413" s="138">
        <f>'Expenditures 15-22'!D234</f>
        <v>6527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492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13210</v>
      </c>
      <c r="C1417" s="2" t="s">
        <v>573</v>
      </c>
      <c r="D1417" s="2" t="str">
        <f t="shared" si="21"/>
        <v>Error?</v>
      </c>
    </row>
    <row r="1418" spans="1:4" x14ac:dyDescent="0.2">
      <c r="A1418" s="5">
        <v>1357</v>
      </c>
      <c r="B1418" s="138">
        <f>'Expenditures 15-22'!D240</f>
        <v>133</v>
      </c>
      <c r="D1418" s="2" t="str">
        <f t="shared" si="21"/>
        <v>Error?</v>
      </c>
    </row>
    <row r="1419" spans="1:4" x14ac:dyDescent="0.2">
      <c r="A1419" s="5">
        <v>1358</v>
      </c>
      <c r="B1419" s="138">
        <f>'Expenditures 15-22'!D241</f>
        <v>12202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12335</v>
      </c>
      <c r="C1421" s="2" t="s">
        <v>573</v>
      </c>
      <c r="D1421" s="2" t="str">
        <f t="shared" si="21"/>
        <v>Error?</v>
      </c>
    </row>
    <row r="1422" spans="1:4" x14ac:dyDescent="0.2">
      <c r="A1422" s="5">
        <v>1361</v>
      </c>
      <c r="B1422" s="138">
        <f>'Expenditures 15-22'!D245</f>
        <v>132</v>
      </c>
      <c r="D1422" s="2" t="str">
        <f t="shared" si="21"/>
        <v>Error?</v>
      </c>
    </row>
    <row r="1423" spans="1:4" x14ac:dyDescent="0.2">
      <c r="A1423" s="5">
        <v>1362</v>
      </c>
      <c r="B1423" s="138">
        <f>'Expenditures 15-22'!D246</f>
        <v>2947</v>
      </c>
      <c r="D1423" s="2" t="str">
        <f t="shared" si="21"/>
        <v>Error?</v>
      </c>
    </row>
    <row r="1424" spans="1:4" x14ac:dyDescent="0.2">
      <c r="A1424" s="5">
        <v>1363</v>
      </c>
      <c r="B1424" s="138">
        <f>'Expenditures 15-22'!D257</f>
        <v>12901</v>
      </c>
      <c r="C1424" s="2" t="s">
        <v>573</v>
      </c>
      <c r="D1424" s="2" t="str">
        <f t="shared" si="21"/>
        <v>Error?</v>
      </c>
    </row>
    <row r="1425" spans="1:4" x14ac:dyDescent="0.2">
      <c r="A1425" s="5">
        <v>1364</v>
      </c>
      <c r="B1425" s="138">
        <f>'Expenditures 15-22'!D259</f>
        <v>18270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18270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13054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33318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46372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434</v>
      </c>
      <c r="D1445" s="2" t="str">
        <f t="shared" si="21"/>
        <v>Error?</v>
      </c>
    </row>
    <row r="1446" spans="1:4" x14ac:dyDescent="0.2">
      <c r="A1446" s="5">
        <v>1385</v>
      </c>
      <c r="B1446" s="138">
        <f>'Expenditures 15-22'!D279</f>
        <v>103522</v>
      </c>
      <c r="C1446" s="2" t="s">
        <v>573</v>
      </c>
      <c r="D1446" s="2" t="str">
        <f t="shared" si="21"/>
        <v>Error?</v>
      </c>
    </row>
    <row r="1447" spans="1:4" x14ac:dyDescent="0.2">
      <c r="A1447" s="5">
        <v>1386</v>
      </c>
      <c r="B1447" s="138">
        <f>'Expenditures 15-22'!D280</f>
        <v>22633</v>
      </c>
      <c r="D1447" s="2" t="str">
        <f t="shared" si="21"/>
        <v>Error?</v>
      </c>
    </row>
    <row r="1448" spans="1:4" x14ac:dyDescent="0.2">
      <c r="A1448" s="5">
        <v>1387</v>
      </c>
      <c r="B1448" s="138">
        <f>'Expenditures 15-22'!D295</f>
        <v>210999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652</v>
      </c>
      <c r="C1471" s="2" t="s">
        <v>573</v>
      </c>
      <c r="D1471" s="2" t="str">
        <f t="shared" ref="D1471:D1534" si="22">IF(ISBLANK(B1471),"OK",IF(A1471-B1471=0,"OK","Error?"))</f>
        <v>Error?</v>
      </c>
    </row>
    <row r="1472" spans="1:4" x14ac:dyDescent="0.2">
      <c r="A1472" s="5">
        <v>1411</v>
      </c>
      <c r="B1472" s="138">
        <f>'Expenditures 15-22'!K223</f>
        <v>6667</v>
      </c>
      <c r="C1472" s="2" t="s">
        <v>573</v>
      </c>
      <c r="D1472" s="2" t="str">
        <f t="shared" si="22"/>
        <v>Error?</v>
      </c>
    </row>
    <row r="1473" spans="1:4" x14ac:dyDescent="0.2">
      <c r="A1473" s="5">
        <v>1412</v>
      </c>
      <c r="B1473" s="138">
        <f>'Expenditures 15-22'!K224</f>
        <v>1585</v>
      </c>
      <c r="C1473" s="2" t="s">
        <v>573</v>
      </c>
      <c r="D1473" s="2" t="str">
        <f t="shared" si="22"/>
        <v>Error?</v>
      </c>
    </row>
    <row r="1474" spans="1:4" x14ac:dyDescent="0.2">
      <c r="A1474" s="5">
        <v>1413</v>
      </c>
      <c r="B1474" s="138">
        <f>'Expenditures 15-22'!K229</f>
        <v>84844</v>
      </c>
      <c r="C1474" s="2" t="s">
        <v>573</v>
      </c>
      <c r="D1474" s="2" t="str">
        <f t="shared" si="22"/>
        <v>Error?</v>
      </c>
    </row>
    <row r="1475" spans="1:4" x14ac:dyDescent="0.2">
      <c r="A1475" s="5">
        <v>1414</v>
      </c>
      <c r="B1475" s="138">
        <f>'Expenditures 15-22'!K232</f>
        <v>4902</v>
      </c>
      <c r="C1475" s="2" t="s">
        <v>573</v>
      </c>
      <c r="D1475" s="2" t="str">
        <f t="shared" si="22"/>
        <v>Error?</v>
      </c>
    </row>
    <row r="1476" spans="1:4" x14ac:dyDescent="0.2">
      <c r="A1476" s="5">
        <v>1415</v>
      </c>
      <c r="B1476" s="138">
        <f>'Expenditures 15-22'!K233</f>
        <v>1289</v>
      </c>
      <c r="C1476" s="2" t="s">
        <v>573</v>
      </c>
      <c r="D1476" s="2" t="str">
        <f t="shared" si="22"/>
        <v>Error?</v>
      </c>
    </row>
    <row r="1477" spans="1:4" x14ac:dyDescent="0.2">
      <c r="A1477" s="5">
        <v>1416</v>
      </c>
      <c r="B1477" s="138">
        <f>'Expenditures 15-22'!K234</f>
        <v>6527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492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13210</v>
      </c>
      <c r="C1481" s="2" t="s">
        <v>573</v>
      </c>
      <c r="D1481" s="2" t="str">
        <f t="shared" si="22"/>
        <v>Error?</v>
      </c>
    </row>
    <row r="1482" spans="1:4" x14ac:dyDescent="0.2">
      <c r="A1482" s="5">
        <v>1421</v>
      </c>
      <c r="B1482" s="138">
        <f>'Expenditures 15-22'!K240</f>
        <v>133</v>
      </c>
      <c r="C1482" s="2" t="s">
        <v>573</v>
      </c>
      <c r="D1482" s="2" t="str">
        <f t="shared" si="22"/>
        <v>Error?</v>
      </c>
    </row>
    <row r="1483" spans="1:4" x14ac:dyDescent="0.2">
      <c r="A1483" s="5">
        <v>1422</v>
      </c>
      <c r="B1483" s="138">
        <f>'Expenditures 15-22'!K241</f>
        <v>12202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12335</v>
      </c>
      <c r="C1485" s="2" t="s">
        <v>573</v>
      </c>
      <c r="D1485" s="2" t="str">
        <f t="shared" si="22"/>
        <v>Error?</v>
      </c>
    </row>
    <row r="1486" spans="1:4" x14ac:dyDescent="0.2">
      <c r="A1486" s="5">
        <v>1425</v>
      </c>
      <c r="B1486" s="138">
        <f>'Expenditures 15-22'!K245</f>
        <v>132</v>
      </c>
      <c r="C1486" s="2" t="s">
        <v>573</v>
      </c>
      <c r="D1486" s="2" t="str">
        <f t="shared" si="22"/>
        <v>Error?</v>
      </c>
    </row>
    <row r="1487" spans="1:4" x14ac:dyDescent="0.2">
      <c r="A1487" s="5">
        <v>1426</v>
      </c>
      <c r="B1487" s="138">
        <f>'Expenditures 15-22'!K246</f>
        <v>2947</v>
      </c>
      <c r="C1487" s="2" t="s">
        <v>573</v>
      </c>
      <c r="D1487" s="2" t="str">
        <f t="shared" si="22"/>
        <v>Error?</v>
      </c>
    </row>
    <row r="1488" spans="1:4" x14ac:dyDescent="0.2">
      <c r="A1488" s="5">
        <v>1427</v>
      </c>
      <c r="B1488" s="138">
        <f>'Expenditures 15-22'!K257</f>
        <v>12901</v>
      </c>
      <c r="C1488" s="2" t="s">
        <v>573</v>
      </c>
      <c r="D1488" s="2" t="str">
        <f t="shared" si="22"/>
        <v>Error?</v>
      </c>
    </row>
    <row r="1489" spans="1:4" x14ac:dyDescent="0.2">
      <c r="A1489" s="5">
        <v>1428</v>
      </c>
      <c r="B1489" s="138">
        <f>'Expenditures 15-22'!K259</f>
        <v>18270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18270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13054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33318</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46372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434</v>
      </c>
      <c r="C1509" s="2" t="s">
        <v>573</v>
      </c>
      <c r="D1509" s="2" t="str">
        <f t="shared" si="22"/>
        <v>Error?</v>
      </c>
    </row>
    <row r="1510" spans="1:4" x14ac:dyDescent="0.2">
      <c r="A1510" s="5">
        <v>1449</v>
      </c>
      <c r="B1510" s="138">
        <f>'Expenditures 15-22'!K279</f>
        <v>103522</v>
      </c>
      <c r="C1510" s="2" t="s">
        <v>573</v>
      </c>
      <c r="D1510" s="2" t="str">
        <f t="shared" si="22"/>
        <v>Error?</v>
      </c>
    </row>
    <row r="1511" spans="1:4" x14ac:dyDescent="0.2">
      <c r="A1511" s="5">
        <v>1450</v>
      </c>
      <c r="B1511" s="138">
        <f>'Expenditures 15-22'!K280</f>
        <v>22633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210999</v>
      </c>
      <c r="C1517" s="2" t="s">
        <v>573</v>
      </c>
      <c r="D1517" s="2" t="str">
        <f t="shared" si="22"/>
        <v>Error?</v>
      </c>
    </row>
    <row r="1518" spans="1:4" x14ac:dyDescent="0.2">
      <c r="A1518" s="5">
        <v>1457</v>
      </c>
      <c r="B1518" s="138">
        <f>'Expenditures 15-22'!K296</f>
        <v>-54312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1197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1197</v>
      </c>
      <c r="C1535" s="2" t="s">
        <v>573</v>
      </c>
      <c r="D1535" s="2" t="str">
        <f t="shared" ref="D1535:D1598" si="23">IF(ISBLANK(B1535),"OK",IF(A1535-B1535=0,"OK","Error?"))</f>
        <v>Error?</v>
      </c>
    </row>
    <row r="1536" spans="1:4" x14ac:dyDescent="0.2">
      <c r="A1536" s="5">
        <v>1475</v>
      </c>
      <c r="B1536" s="138">
        <f>'Expenditures 15-22'!E312</f>
        <v>1197</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156026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156026</v>
      </c>
      <c r="C1547" s="2" t="s">
        <v>573</v>
      </c>
      <c r="D1547" s="2" t="str">
        <f t="shared" si="23"/>
        <v>Error?</v>
      </c>
    </row>
    <row r="1548" spans="1:4" x14ac:dyDescent="0.2">
      <c r="A1548" s="5">
        <v>1487</v>
      </c>
      <c r="B1548" s="138">
        <f>'Expenditures 15-22'!G312</f>
        <v>156026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157223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157223</v>
      </c>
      <c r="C1559" s="2" t="s">
        <v>573</v>
      </c>
      <c r="D1559" s="2" t="str">
        <f t="shared" si="23"/>
        <v>Error?</v>
      </c>
    </row>
    <row r="1560" spans="1:4" x14ac:dyDescent="0.2">
      <c r="A1560" s="5">
        <v>1499</v>
      </c>
      <c r="B1560" s="138">
        <f>'Expenditures 15-22'!K312</f>
        <v>157223</v>
      </c>
      <c r="C1560" s="2" t="s">
        <v>573</v>
      </c>
      <c r="D1560" s="2" t="str">
        <f t="shared" si="23"/>
        <v>Error?</v>
      </c>
    </row>
    <row r="1561" spans="1:4" x14ac:dyDescent="0.2">
      <c r="A1561" s="5">
        <v>1500</v>
      </c>
      <c r="B1561" s="138">
        <f>'Expenditures 15-22'!K313</f>
        <v>-157087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4404913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5252336</v>
      </c>
      <c r="C1630" s="2" t="s">
        <v>573</v>
      </c>
      <c r="D1630" s="2" t="str">
        <f t="shared" si="24"/>
        <v>Error?</v>
      </c>
    </row>
    <row r="1631" spans="1:4" x14ac:dyDescent="0.2">
      <c r="A1631" s="5">
        <v>1570</v>
      </c>
      <c r="B1631" s="138">
        <f>'Acct Summary 7-8'!D79</f>
        <v>390040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405733</v>
      </c>
      <c r="C1644" s="2" t="s">
        <v>573</v>
      </c>
      <c r="D1644" s="2" t="str">
        <f t="shared" si="24"/>
        <v>Error?</v>
      </c>
    </row>
    <row r="1645" spans="1:4" x14ac:dyDescent="0.2">
      <c r="A1645" s="5">
        <v>1584</v>
      </c>
      <c r="B1645" s="138">
        <f>'Acct Summary 7-8'!E79</f>
        <v>28071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27686</v>
      </c>
      <c r="C1658" s="2" t="s">
        <v>573</v>
      </c>
      <c r="D1658" s="2" t="str">
        <f t="shared" si="24"/>
        <v>Error?</v>
      </c>
    </row>
    <row r="1659" spans="1:4" x14ac:dyDescent="0.2">
      <c r="A1659" s="5">
        <v>1598</v>
      </c>
      <c r="B1659" s="138">
        <f>'Acct Summary 7-8'!F79</f>
        <v>130592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145816</v>
      </c>
      <c r="C1672" s="2" t="s">
        <v>573</v>
      </c>
      <c r="D1672" s="2" t="str">
        <f t="shared" si="25"/>
        <v>Error?</v>
      </c>
    </row>
    <row r="1673" spans="1:4" x14ac:dyDescent="0.2">
      <c r="A1673" s="5">
        <v>1612</v>
      </c>
      <c r="B1673" s="138">
        <f>'Acct Summary 7-8'!G79</f>
        <v>374768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320456</v>
      </c>
      <c r="C1686" s="2" t="s">
        <v>573</v>
      </c>
      <c r="D1686" s="2" t="str">
        <f t="shared" si="25"/>
        <v>Error?</v>
      </c>
    </row>
    <row r="1687" spans="1:4" x14ac:dyDescent="0.2">
      <c r="A1687" s="5">
        <v>1626</v>
      </c>
      <c r="B1687" s="138">
        <f>'Acct Summary 7-8'!H79</f>
        <v>204006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46919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315053</v>
      </c>
      <c r="C1744" s="2" t="s">
        <v>573</v>
      </c>
      <c r="D1744" s="2" t="str">
        <f t="shared" si="26"/>
        <v>Error?</v>
      </c>
    </row>
    <row r="1745" spans="1:5" x14ac:dyDescent="0.2">
      <c r="A1745" s="5">
        <v>1684</v>
      </c>
      <c r="B1745" s="138">
        <f>'Tax Sched 23'!B5</f>
        <v>85186</v>
      </c>
      <c r="C1745" s="2" t="s">
        <v>573</v>
      </c>
      <c r="D1745" s="2" t="str">
        <f t="shared" si="26"/>
        <v>Error?</v>
      </c>
    </row>
    <row r="1746" spans="1:5" x14ac:dyDescent="0.2">
      <c r="A1746" s="5">
        <v>1685</v>
      </c>
      <c r="B1746" s="138">
        <f>'Tax Sched 23'!B6</f>
        <v>144549</v>
      </c>
      <c r="C1746" s="2" t="s">
        <v>573</v>
      </c>
      <c r="D1746" s="2" t="str">
        <f t="shared" si="26"/>
        <v>Error?</v>
      </c>
    </row>
    <row r="1747" spans="1:5" x14ac:dyDescent="0.2">
      <c r="A1747" s="5">
        <v>1686</v>
      </c>
      <c r="B1747" s="138">
        <f>'Tax Sched 23'!B7</f>
        <v>34075</v>
      </c>
      <c r="C1747" s="2" t="s">
        <v>573</v>
      </c>
      <c r="D1747" s="2" t="str">
        <f t="shared" si="26"/>
        <v>Error?</v>
      </c>
    </row>
    <row r="1748" spans="1:5" x14ac:dyDescent="0.2">
      <c r="A1748" s="5">
        <v>1687</v>
      </c>
      <c r="B1748" s="138">
        <f>'Tax Sched 23'!B8</f>
        <v>72063</v>
      </c>
      <c r="C1748" s="2" t="s">
        <v>573</v>
      </c>
      <c r="D1748" s="2" t="str">
        <f t="shared" si="26"/>
        <v>Error?</v>
      </c>
    </row>
    <row r="1749" spans="1:5" x14ac:dyDescent="0.2">
      <c r="A1749" s="5">
        <v>1688</v>
      </c>
      <c r="B1749" s="138">
        <f>'Tax Sched 23'!B10</f>
        <v>8519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174132</v>
      </c>
      <c r="C1752" s="2" t="s">
        <v>573</v>
      </c>
      <c r="D1752" s="2" t="str">
        <f t="shared" si="26"/>
        <v>Error?</v>
      </c>
    </row>
    <row r="1753" spans="1:5" x14ac:dyDescent="0.2">
      <c r="A1753" s="5">
        <v>1692</v>
      </c>
      <c r="B1753" s="138">
        <f>'Tax Sched 23'!B12</f>
        <v>8519</v>
      </c>
      <c r="C1753" s="2" t="s">
        <v>573</v>
      </c>
      <c r="D1753" s="2" t="str">
        <f t="shared" si="26"/>
        <v>Error?</v>
      </c>
    </row>
    <row r="1754" spans="1:5" x14ac:dyDescent="0.2">
      <c r="A1754" s="5">
        <v>1693</v>
      </c>
      <c r="B1754" s="138">
        <f>'Tax Sched 23'!B14</f>
        <v>6815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909770</v>
      </c>
      <c r="C1759" s="2" t="s">
        <v>573</v>
      </c>
      <c r="D1759" s="2" t="str">
        <f t="shared" si="26"/>
        <v>Error?</v>
      </c>
    </row>
    <row r="1760" spans="1:5" x14ac:dyDescent="0.2">
      <c r="A1760" s="5">
        <v>1699</v>
      </c>
      <c r="B1760" s="138">
        <f>'Tax Sched 23'!D4</f>
        <v>315053</v>
      </c>
      <c r="C1760" s="2" t="s">
        <v>573</v>
      </c>
      <c r="D1760" s="2" t="str">
        <f t="shared" si="26"/>
        <v>Error?</v>
      </c>
    </row>
    <row r="1761" spans="1:5" x14ac:dyDescent="0.2">
      <c r="A1761" s="5">
        <v>1700</v>
      </c>
      <c r="B1761" s="138">
        <f>'Tax Sched 23'!D5</f>
        <v>85186</v>
      </c>
      <c r="C1761" s="2" t="s">
        <v>573</v>
      </c>
      <c r="D1761" s="2" t="str">
        <f t="shared" si="26"/>
        <v>Error?</v>
      </c>
    </row>
    <row r="1762" spans="1:5" s="8" customFormat="1" x14ac:dyDescent="0.2">
      <c r="A1762" s="5">
        <v>1701</v>
      </c>
      <c r="B1762" s="138">
        <f>'Tax Sched 23'!D6</f>
        <v>144549</v>
      </c>
      <c r="C1762" s="2" t="s">
        <v>573</v>
      </c>
      <c r="D1762" s="2" t="str">
        <f t="shared" si="26"/>
        <v>Error?</v>
      </c>
      <c r="E1762" s="9"/>
    </row>
    <row r="1763" spans="1:5" x14ac:dyDescent="0.2">
      <c r="A1763" s="5">
        <v>1702</v>
      </c>
      <c r="B1763" s="138">
        <f>'Tax Sched 23'!D7</f>
        <v>34075</v>
      </c>
      <c r="C1763" s="2" t="s">
        <v>573</v>
      </c>
      <c r="D1763" s="2" t="str">
        <f t="shared" si="26"/>
        <v>Error?</v>
      </c>
    </row>
    <row r="1764" spans="1:5" x14ac:dyDescent="0.2">
      <c r="A1764" s="5">
        <v>1703</v>
      </c>
      <c r="B1764" s="138">
        <f>'Tax Sched 23'!D8</f>
        <v>72063</v>
      </c>
      <c r="C1764" s="2" t="s">
        <v>573</v>
      </c>
      <c r="D1764" s="2" t="str">
        <f t="shared" si="26"/>
        <v>Error?</v>
      </c>
    </row>
    <row r="1765" spans="1:5" x14ac:dyDescent="0.2">
      <c r="A1765" s="5">
        <v>1704</v>
      </c>
      <c r="B1765" s="138">
        <f>'Tax Sched 23'!D10</f>
        <v>8519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174132</v>
      </c>
      <c r="C1768" s="2" t="s">
        <v>573</v>
      </c>
      <c r="D1768" s="2" t="str">
        <f t="shared" si="26"/>
        <v>Error?</v>
      </c>
    </row>
    <row r="1769" spans="1:5" x14ac:dyDescent="0.2">
      <c r="A1769" s="5">
        <v>1708</v>
      </c>
      <c r="B1769" s="138">
        <f>'Tax Sched 23'!D12</f>
        <v>8519</v>
      </c>
      <c r="C1769" s="2" t="s">
        <v>573</v>
      </c>
      <c r="D1769" s="2" t="str">
        <f t="shared" si="26"/>
        <v>Error?</v>
      </c>
    </row>
    <row r="1770" spans="1:5" x14ac:dyDescent="0.2">
      <c r="A1770" s="5">
        <v>1709</v>
      </c>
      <c r="B1770" s="138">
        <f>'Tax Sched 23'!D14</f>
        <v>6815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909770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326142</v>
      </c>
      <c r="C1792" s="2" t="s">
        <v>573</v>
      </c>
      <c r="D1792" s="2" t="str">
        <f t="shared" si="27"/>
        <v>Error?</v>
      </c>
    </row>
    <row r="1793" spans="1:4" x14ac:dyDescent="0.2">
      <c r="A1793" s="5">
        <v>1732</v>
      </c>
      <c r="B1793" s="138">
        <f>'Tax Sched 23'!F5</f>
        <v>88185</v>
      </c>
      <c r="C1793" s="2" t="s">
        <v>573</v>
      </c>
      <c r="D1793" s="2" t="str">
        <f t="shared" si="27"/>
        <v>Error?</v>
      </c>
    </row>
    <row r="1794" spans="1:4" x14ac:dyDescent="0.2">
      <c r="A1794" s="5">
        <v>1733</v>
      </c>
      <c r="B1794" s="138">
        <f>'Tax Sched 23'!F6</f>
        <v>145295</v>
      </c>
      <c r="C1794" s="2" t="s">
        <v>573</v>
      </c>
      <c r="D1794" s="2" t="str">
        <f t="shared" si="27"/>
        <v>Error?</v>
      </c>
    </row>
    <row r="1795" spans="1:4" x14ac:dyDescent="0.2">
      <c r="A1795" s="5">
        <v>1734</v>
      </c>
      <c r="B1795" s="138">
        <f>'Tax Sched 23'!F7</f>
        <v>35274</v>
      </c>
      <c r="C1795" s="2" t="s">
        <v>573</v>
      </c>
      <c r="D1795" s="2" t="str">
        <f t="shared" si="27"/>
        <v>Error?</v>
      </c>
    </row>
    <row r="1796" spans="1:4" x14ac:dyDescent="0.2">
      <c r="A1796" s="5">
        <v>1735</v>
      </c>
      <c r="B1796" s="138">
        <f>'Tax Sched 23'!F8</f>
        <v>50000</v>
      </c>
      <c r="C1796" s="2" t="s">
        <v>573</v>
      </c>
      <c r="D1796" s="2" t="str">
        <f t="shared" si="27"/>
        <v>Error?</v>
      </c>
    </row>
    <row r="1797" spans="1:4" x14ac:dyDescent="0.2">
      <c r="A1797" s="5">
        <v>1736</v>
      </c>
      <c r="B1797" s="138">
        <f>'Tax Sched 23'!F10</f>
        <v>8818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175000</v>
      </c>
      <c r="C1800" s="2" t="s">
        <v>573</v>
      </c>
      <c r="D1800" s="2" t="str">
        <f t="shared" si="27"/>
        <v>Error?</v>
      </c>
    </row>
    <row r="1801" spans="1:4" x14ac:dyDescent="0.2">
      <c r="A1801" s="5">
        <v>1740</v>
      </c>
      <c r="B1801" s="138">
        <f>'Tax Sched 23'!F12</f>
        <v>8818</v>
      </c>
      <c r="C1801" s="2" t="s">
        <v>573</v>
      </c>
      <c r="D1801" s="2" t="str">
        <f t="shared" si="27"/>
        <v>Error?</v>
      </c>
    </row>
    <row r="1802" spans="1:4" x14ac:dyDescent="0.2">
      <c r="A1802" s="5">
        <v>1741</v>
      </c>
      <c r="B1802" s="138">
        <f>'Tax Sched 23'!F14</f>
        <v>7055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884587</v>
      </c>
      <c r="C1807" s="2" t="s">
        <v>573</v>
      </c>
      <c r="D1807" s="2" t="str">
        <f t="shared" si="27"/>
        <v>Error?</v>
      </c>
    </row>
    <row r="1808" spans="1:4" x14ac:dyDescent="0.2">
      <c r="A1808" s="5">
        <v>1747</v>
      </c>
      <c r="B1808" s="138">
        <f>'Tax Sched 23'!E4</f>
        <v>326142</v>
      </c>
      <c r="D1808" s="2" t="str">
        <f t="shared" si="27"/>
        <v>Error?</v>
      </c>
    </row>
    <row r="1809" spans="1:4" x14ac:dyDescent="0.2">
      <c r="A1809" s="5">
        <v>1748</v>
      </c>
      <c r="B1809" s="138">
        <f>'Tax Sched 23'!E5</f>
        <v>88185</v>
      </c>
      <c r="D1809" s="2" t="str">
        <f t="shared" si="27"/>
        <v>Error?</v>
      </c>
    </row>
    <row r="1810" spans="1:4" x14ac:dyDescent="0.2">
      <c r="A1810" s="5">
        <v>1749</v>
      </c>
      <c r="B1810" s="138">
        <f>'Tax Sched 23'!E6</f>
        <v>145295</v>
      </c>
      <c r="D1810" s="2" t="str">
        <f t="shared" si="27"/>
        <v>Error?</v>
      </c>
    </row>
    <row r="1811" spans="1:4" x14ac:dyDescent="0.2">
      <c r="A1811" s="5">
        <v>1750</v>
      </c>
      <c r="B1811" s="138">
        <f>'Tax Sched 23'!E7</f>
        <v>35274</v>
      </c>
      <c r="D1811" s="2" t="str">
        <f t="shared" si="27"/>
        <v>Error?</v>
      </c>
    </row>
    <row r="1812" spans="1:4" x14ac:dyDescent="0.2">
      <c r="A1812" s="5">
        <v>1751</v>
      </c>
      <c r="B1812" s="138">
        <f>'Tax Sched 23'!E8</f>
        <v>50000</v>
      </c>
      <c r="D1812" s="2" t="str">
        <f t="shared" si="27"/>
        <v>Error?</v>
      </c>
    </row>
    <row r="1813" spans="1:4" x14ac:dyDescent="0.2">
      <c r="A1813" s="5">
        <v>1752</v>
      </c>
      <c r="B1813" s="138">
        <f>'Tax Sched 23'!E10</f>
        <v>8818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175000</v>
      </c>
      <c r="D1816" s="2" t="str">
        <f t="shared" si="27"/>
        <v>Error?</v>
      </c>
    </row>
    <row r="1817" spans="1:4" x14ac:dyDescent="0.2">
      <c r="A1817" s="5">
        <v>1756</v>
      </c>
      <c r="B1817" s="138">
        <f>'Tax Sched 23'!E12</f>
        <v>8818</v>
      </c>
      <c r="D1817" s="2" t="str">
        <f t="shared" si="27"/>
        <v>Error?</v>
      </c>
    </row>
    <row r="1818" spans="1:4" x14ac:dyDescent="0.2">
      <c r="A1818" s="5">
        <v>1757</v>
      </c>
      <c r="B1818" s="138">
        <f>'Tax Sched 23'!E14</f>
        <v>7055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884587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420600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6815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6815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6815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204945</v>
      </c>
      <c r="D2008" s="2" t="str">
        <f t="shared" si="30"/>
        <v>Error?</v>
      </c>
    </row>
    <row r="2009" spans="1:4" x14ac:dyDescent="0.2">
      <c r="A2009" s="5">
        <v>1948</v>
      </c>
      <c r="B2009" s="138">
        <f>'Cap Outlay Deprec 26'!C8</f>
        <v>8040810</v>
      </c>
      <c r="D2009" s="2" t="str">
        <f t="shared" si="30"/>
        <v>Error?</v>
      </c>
    </row>
    <row r="2010" spans="1:4" x14ac:dyDescent="0.2">
      <c r="A2010" s="5">
        <v>1949</v>
      </c>
      <c r="B2010" s="138">
        <f>'Cap Outlay Deprec 26'!C10</f>
        <v>278579</v>
      </c>
      <c r="D2010" s="2" t="str">
        <f t="shared" si="30"/>
        <v>Error?</v>
      </c>
    </row>
    <row r="2011" spans="1:4" x14ac:dyDescent="0.2">
      <c r="A2011" s="5">
        <v>1950</v>
      </c>
      <c r="B2011" s="138">
        <f>'Cap Outlay Deprec 26'!C12</f>
        <v>1169152</v>
      </c>
      <c r="D2011" s="2" t="str">
        <f t="shared" si="30"/>
        <v>Error?</v>
      </c>
    </row>
    <row r="2012" spans="1:4" x14ac:dyDescent="0.2">
      <c r="A2012" s="5">
        <v>1951</v>
      </c>
      <c r="B2012" s="138">
        <f>'Cap Outlay Deprec 26'!C13</f>
        <v>171150</v>
      </c>
      <c r="D2012" s="2" t="str">
        <f t="shared" si="30"/>
        <v>Error?</v>
      </c>
    </row>
    <row r="2013" spans="1:4" x14ac:dyDescent="0.2">
      <c r="A2013" s="5">
        <v>1952</v>
      </c>
      <c r="B2013" s="138">
        <f>'Cap Outlay Deprec 26'!C16</f>
        <v>9909589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201977</v>
      </c>
      <c r="D2015" s="2" t="str">
        <f t="shared" si="30"/>
        <v>Error?</v>
      </c>
    </row>
    <row r="2016" spans="1:4" x14ac:dyDescent="0.2">
      <c r="A2016" s="5">
        <v>1955</v>
      </c>
      <c r="B2016" s="138">
        <f>'Cap Outlay Deprec 26'!D10</f>
        <v>11200</v>
      </c>
      <c r="D2016" s="2" t="str">
        <f t="shared" si="30"/>
        <v>Error?</v>
      </c>
    </row>
    <row r="2017" spans="1:4" x14ac:dyDescent="0.2">
      <c r="A2017" s="5">
        <v>1956</v>
      </c>
      <c r="B2017" s="138">
        <f>'Cap Outlay Deprec 26'!D12</f>
        <v>59083</v>
      </c>
      <c r="D2017" s="2" t="str">
        <f t="shared" si="30"/>
        <v>Error?</v>
      </c>
    </row>
    <row r="2018" spans="1:4" x14ac:dyDescent="0.2">
      <c r="A2018" s="5">
        <v>1957</v>
      </c>
      <c r="B2018" s="138">
        <f>'Cap Outlay Deprec 26'!D13</f>
        <v>92849</v>
      </c>
      <c r="D2018" s="2" t="str">
        <f t="shared" si="30"/>
        <v>Error?</v>
      </c>
    </row>
    <row r="2019" spans="1:4" x14ac:dyDescent="0.2">
      <c r="A2019" s="5">
        <v>1958</v>
      </c>
      <c r="B2019" s="138">
        <f>'Cap Outlay Deprec 26'!D16</f>
        <v>555815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168946</v>
      </c>
      <c r="C2025" s="2" t="s">
        <v>573</v>
      </c>
      <c r="D2025" s="2" t="str">
        <f t="shared" si="30"/>
        <v>Error?</v>
      </c>
    </row>
    <row r="2026" spans="1:4" x14ac:dyDescent="0.2">
      <c r="A2026" s="5">
        <v>1965</v>
      </c>
      <c r="B2026" s="138">
        <f>'Cap Outlay Deprec 26'!F5</f>
        <v>204945</v>
      </c>
      <c r="C2026" s="2" t="s">
        <v>573</v>
      </c>
      <c r="D2026" s="2" t="str">
        <f t="shared" si="30"/>
        <v>Error?</v>
      </c>
    </row>
    <row r="2027" spans="1:4" x14ac:dyDescent="0.2">
      <c r="A2027" s="5">
        <v>1966</v>
      </c>
      <c r="B2027" s="138">
        <f>'Cap Outlay Deprec 26'!F8</f>
        <v>8242787</v>
      </c>
      <c r="C2027" s="2" t="s">
        <v>573</v>
      </c>
      <c r="D2027" s="2" t="str">
        <f t="shared" si="30"/>
        <v>Error?</v>
      </c>
    </row>
    <row r="2028" spans="1:4" x14ac:dyDescent="0.2">
      <c r="A2028" s="5">
        <v>1967</v>
      </c>
      <c r="B2028" s="138">
        <f>'Cap Outlay Deprec 26'!F10</f>
        <v>289779</v>
      </c>
      <c r="C2028" s="2" t="s">
        <v>573</v>
      </c>
      <c r="D2028" s="2" t="str">
        <f t="shared" si="30"/>
        <v>Error?</v>
      </c>
    </row>
    <row r="2029" spans="1:4" x14ac:dyDescent="0.2">
      <c r="A2029" s="5">
        <v>1968</v>
      </c>
      <c r="B2029" s="138">
        <f>'Cap Outlay Deprec 26'!F12</f>
        <v>1228235</v>
      </c>
      <c r="C2029" s="2" t="s">
        <v>573</v>
      </c>
      <c r="D2029" s="2" t="str">
        <f t="shared" si="30"/>
        <v>Error?</v>
      </c>
    </row>
    <row r="2030" spans="1:4" x14ac:dyDescent="0.2">
      <c r="A2030" s="5">
        <v>1969</v>
      </c>
      <c r="B2030" s="138">
        <f>'Cap Outlay Deprec 26'!F13</f>
        <v>263999</v>
      </c>
      <c r="C2030" s="2" t="s">
        <v>573</v>
      </c>
      <c r="D2030" s="2" t="str">
        <f t="shared" si="30"/>
        <v>Error?</v>
      </c>
    </row>
    <row r="2031" spans="1:4" x14ac:dyDescent="0.2">
      <c r="A2031" s="5">
        <v>1970</v>
      </c>
      <c r="B2031" s="138">
        <f>'Cap Outlay Deprec 26'!F16</f>
        <v>10296458</v>
      </c>
      <c r="C2031" s="2" t="s">
        <v>573</v>
      </c>
      <c r="D2031" s="2" t="str">
        <f t="shared" si="30"/>
        <v>Error?</v>
      </c>
    </row>
    <row r="2032" spans="1:4" x14ac:dyDescent="0.2">
      <c r="A2032" s="10">
        <v>1971</v>
      </c>
      <c r="D2032" s="2" t="str">
        <f t="shared" si="30"/>
        <v>OK</v>
      </c>
    </row>
    <row r="2033" spans="1:4" x14ac:dyDescent="0.2">
      <c r="A2033" s="5">
        <v>1972</v>
      </c>
      <c r="B2033" s="138">
        <f>'Cap Outlay Deprec 26'!H8</f>
        <v>5348561</v>
      </c>
      <c r="D2033" s="2" t="str">
        <f t="shared" si="30"/>
        <v>Error?</v>
      </c>
    </row>
    <row r="2034" spans="1:4" x14ac:dyDescent="0.2">
      <c r="A2034" s="5">
        <v>1973</v>
      </c>
      <c r="B2034" s="138">
        <f>'Cap Outlay Deprec 26'!H10</f>
        <v>82108</v>
      </c>
      <c r="D2034" s="2" t="str">
        <f t="shared" si="30"/>
        <v>Error?</v>
      </c>
    </row>
    <row r="2035" spans="1:4" x14ac:dyDescent="0.2">
      <c r="A2035" s="5">
        <v>1974</v>
      </c>
      <c r="B2035" s="138">
        <f>'Cap Outlay Deprec 26'!H12</f>
        <v>974170</v>
      </c>
      <c r="D2035" s="2" t="str">
        <f t="shared" si="30"/>
        <v>Error?</v>
      </c>
    </row>
    <row r="2036" spans="1:4" x14ac:dyDescent="0.2">
      <c r="A2036" s="5">
        <v>1975</v>
      </c>
      <c r="B2036" s="138">
        <f>'Cap Outlay Deprec 26'!H13</f>
        <v>157665</v>
      </c>
      <c r="D2036" s="2" t="str">
        <f t="shared" si="30"/>
        <v>Error?</v>
      </c>
    </row>
    <row r="2037" spans="1:4" x14ac:dyDescent="0.2">
      <c r="A2037" s="5">
        <v>1976</v>
      </c>
      <c r="B2037" s="138">
        <f>'Cap Outlay Deprec 26'!H16</f>
        <v>6592945</v>
      </c>
      <c r="C2037" s="2" t="s">
        <v>573</v>
      </c>
      <c r="D2037" s="2" t="str">
        <f t="shared" si="30"/>
        <v>Error?</v>
      </c>
    </row>
    <row r="2038" spans="1:4" x14ac:dyDescent="0.2">
      <c r="A2038" s="10">
        <v>1977</v>
      </c>
      <c r="D2038" s="2" t="str">
        <f t="shared" si="30"/>
        <v>OK</v>
      </c>
    </row>
    <row r="2039" spans="1:4" x14ac:dyDescent="0.2">
      <c r="A2039" s="5">
        <v>1978</v>
      </c>
      <c r="B2039" s="138">
        <f>'Cap Outlay Deprec 26'!I8</f>
        <v>136690</v>
      </c>
      <c r="D2039" s="2" t="str">
        <f t="shared" si="30"/>
        <v>Error?</v>
      </c>
    </row>
    <row r="2040" spans="1:4" x14ac:dyDescent="0.2">
      <c r="A2040" s="5">
        <v>1979</v>
      </c>
      <c r="B2040" s="138">
        <f>'Cap Outlay Deprec 26'!I10</f>
        <v>14349</v>
      </c>
      <c r="D2040" s="2" t="str">
        <f t="shared" si="30"/>
        <v>Error?</v>
      </c>
    </row>
    <row r="2041" spans="1:4" x14ac:dyDescent="0.2">
      <c r="A2041" s="5">
        <v>1980</v>
      </c>
      <c r="B2041" s="138">
        <f>'Cap Outlay Deprec 26'!I12</f>
        <v>36611</v>
      </c>
      <c r="D2041" s="2" t="str">
        <f t="shared" si="30"/>
        <v>Error?</v>
      </c>
    </row>
    <row r="2042" spans="1:4" x14ac:dyDescent="0.2">
      <c r="A2042" s="5">
        <v>1981</v>
      </c>
      <c r="B2042" s="138">
        <f>'Cap Outlay Deprec 26'!I13</f>
        <v>10310</v>
      </c>
      <c r="D2042" s="2" t="str">
        <f t="shared" si="30"/>
        <v>Error?</v>
      </c>
    </row>
    <row r="2043" spans="1:4" x14ac:dyDescent="0.2">
      <c r="A2043" s="5">
        <v>1982</v>
      </c>
      <c r="B2043" s="138">
        <f>'Cap Outlay Deprec 26'!I16</f>
        <v>198044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5485251</v>
      </c>
      <c r="C2051" s="2" t="s">
        <v>573</v>
      </c>
      <c r="D2051" s="2" t="str">
        <f t="shared" si="31"/>
        <v>Error?</v>
      </c>
    </row>
    <row r="2052" spans="1:4" x14ac:dyDescent="0.2">
      <c r="A2052" s="5">
        <v>1991</v>
      </c>
      <c r="B2052" s="138">
        <f>'Cap Outlay Deprec 26'!K10</f>
        <v>96457</v>
      </c>
      <c r="C2052" s="2" t="s">
        <v>573</v>
      </c>
      <c r="D2052" s="2" t="str">
        <f t="shared" si="31"/>
        <v>Error?</v>
      </c>
    </row>
    <row r="2053" spans="1:4" x14ac:dyDescent="0.2">
      <c r="A2053" s="5">
        <v>1992</v>
      </c>
      <c r="B2053" s="138">
        <f>'Cap Outlay Deprec 26'!K12</f>
        <v>1010781</v>
      </c>
      <c r="C2053" s="2" t="s">
        <v>573</v>
      </c>
      <c r="D2053" s="2" t="str">
        <f t="shared" si="31"/>
        <v>Error?</v>
      </c>
    </row>
    <row r="2054" spans="1:4" x14ac:dyDescent="0.2">
      <c r="A2054" s="5">
        <v>1993</v>
      </c>
      <c r="B2054" s="138">
        <f>'Cap Outlay Deprec 26'!K13</f>
        <v>167975</v>
      </c>
      <c r="C2054" s="2" t="s">
        <v>573</v>
      </c>
      <c r="D2054" s="2" t="str">
        <f t="shared" si="31"/>
        <v>Error?</v>
      </c>
    </row>
    <row r="2055" spans="1:4" x14ac:dyDescent="0.2">
      <c r="A2055" s="5">
        <v>1994</v>
      </c>
      <c r="B2055" s="138">
        <f>'Cap Outlay Deprec 26'!K16</f>
        <v>6790989</v>
      </c>
      <c r="C2055" s="2" t="s">
        <v>573</v>
      </c>
      <c r="D2055" s="2" t="str">
        <f t="shared" si="31"/>
        <v>Error?</v>
      </c>
    </row>
    <row r="2056" spans="1:4" x14ac:dyDescent="0.2">
      <c r="A2056" s="5">
        <v>1995</v>
      </c>
      <c r="B2056" s="138">
        <f>'Cap Outlay Deprec 26'!L5</f>
        <v>204945</v>
      </c>
      <c r="C2056" s="2" t="s">
        <v>573</v>
      </c>
      <c r="D2056" s="2" t="str">
        <f t="shared" si="31"/>
        <v>Error?</v>
      </c>
    </row>
    <row r="2057" spans="1:4" x14ac:dyDescent="0.2">
      <c r="A2057" s="5">
        <v>1996</v>
      </c>
      <c r="B2057" s="138">
        <f>'Cap Outlay Deprec 26'!L8</f>
        <v>2757536</v>
      </c>
      <c r="C2057" s="2" t="s">
        <v>573</v>
      </c>
      <c r="D2057" s="2" t="str">
        <f t="shared" si="31"/>
        <v>Error?</v>
      </c>
    </row>
    <row r="2058" spans="1:4" x14ac:dyDescent="0.2">
      <c r="A2058" s="5">
        <v>1997</v>
      </c>
      <c r="B2058" s="138">
        <f>'Cap Outlay Deprec 26'!L10</f>
        <v>193322</v>
      </c>
      <c r="C2058" s="2" t="s">
        <v>573</v>
      </c>
      <c r="D2058" s="2" t="str">
        <f t="shared" si="31"/>
        <v>Error?</v>
      </c>
    </row>
    <row r="2059" spans="1:4" x14ac:dyDescent="0.2">
      <c r="A2059" s="5">
        <v>1998</v>
      </c>
      <c r="B2059" s="138">
        <f>'Cap Outlay Deprec 26'!L12</f>
        <v>217454</v>
      </c>
      <c r="C2059" s="2" t="s">
        <v>573</v>
      </c>
      <c r="D2059" s="2" t="str">
        <f t="shared" si="31"/>
        <v>Error?</v>
      </c>
    </row>
    <row r="2060" spans="1:4" x14ac:dyDescent="0.2">
      <c r="A2060" s="5">
        <v>1999</v>
      </c>
      <c r="B2060" s="138">
        <f>'Cap Outlay Deprec 26'!L13</f>
        <v>96024</v>
      </c>
      <c r="C2060" s="2" t="s">
        <v>573</v>
      </c>
      <c r="D2060" s="2" t="str">
        <f t="shared" si="31"/>
        <v>Error?</v>
      </c>
    </row>
    <row r="2061" spans="1:4" x14ac:dyDescent="0.2">
      <c r="A2061" s="5">
        <v>2000</v>
      </c>
      <c r="B2061" s="138">
        <f>'Cap Outlay Deprec 26'!L16</f>
        <v>3505469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36752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36752</v>
      </c>
      <c r="C2088" s="2" t="s">
        <v>573</v>
      </c>
      <c r="D2088" s="2" t="str">
        <f t="shared" si="31"/>
        <v>Error?</v>
      </c>
    </row>
    <row r="2089" spans="1:4" x14ac:dyDescent="0.2">
      <c r="A2089" s="5">
        <v>2028</v>
      </c>
      <c r="B2089" s="138">
        <f>'Expenditures 15-22'!K92</f>
        <v>108707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320456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27686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619492</v>
      </c>
      <c r="C2551" s="2" t="s">
        <v>573</v>
      </c>
      <c r="D2551" s="2" t="str">
        <f t="shared" si="38"/>
        <v>Error?</v>
      </c>
    </row>
    <row r="2552" spans="1:4" x14ac:dyDescent="0.2">
      <c r="A2552" s="10">
        <v>2491</v>
      </c>
      <c r="D2552" s="2" t="str">
        <f t="shared" si="38"/>
        <v>OK</v>
      </c>
    </row>
    <row r="2553" spans="1:4" x14ac:dyDescent="0.2">
      <c r="A2553" s="5">
        <v>2492</v>
      </c>
      <c r="B2553" s="138">
        <f>'Acct Summary 7-8'!C6</f>
        <v>3746429</v>
      </c>
      <c r="C2553" s="2" t="s">
        <v>573</v>
      </c>
      <c r="D2553" s="2" t="str">
        <f t="shared" si="38"/>
        <v>Error?</v>
      </c>
    </row>
    <row r="2554" spans="1:4" x14ac:dyDescent="0.2">
      <c r="A2554" s="5">
        <v>2493</v>
      </c>
      <c r="B2554" s="138">
        <f>'Acct Summary 7-8'!C7</f>
        <v>1216663</v>
      </c>
      <c r="C2554" s="2" t="s">
        <v>573</v>
      </c>
      <c r="D2554" s="2" t="str">
        <f t="shared" si="38"/>
        <v>Error?</v>
      </c>
    </row>
    <row r="2555" spans="1:4" x14ac:dyDescent="0.2">
      <c r="A2555" s="5">
        <v>2494</v>
      </c>
      <c r="B2555" s="138">
        <f>'Acct Summary 7-8'!C8</f>
        <v>5588490</v>
      </c>
      <c r="C2555" s="2" t="s">
        <v>573</v>
      </c>
      <c r="D2555" s="2" t="str">
        <f t="shared" si="38"/>
        <v>Error?</v>
      </c>
    </row>
    <row r="2556" spans="1:4" x14ac:dyDescent="0.2">
      <c r="A2556" s="5">
        <v>2495</v>
      </c>
      <c r="B2556" s="138">
        <f>'Acct Summary 7-8'!C12</f>
        <v>2342310</v>
      </c>
      <c r="C2556" s="2" t="s">
        <v>573</v>
      </c>
      <c r="D2556" s="2" t="str">
        <f t="shared" si="38"/>
        <v>Error?</v>
      </c>
    </row>
    <row r="2557" spans="1:4" x14ac:dyDescent="0.2">
      <c r="A2557" s="5">
        <v>2496</v>
      </c>
      <c r="B2557" s="138">
        <f>'Acct Summary 7-8'!C13</f>
        <v>1997570</v>
      </c>
      <c r="C2557" s="2" t="s">
        <v>573</v>
      </c>
      <c r="D2557" s="2" t="str">
        <f t="shared" si="38"/>
        <v>Error?</v>
      </c>
    </row>
    <row r="2558" spans="1:4" x14ac:dyDescent="0.2">
      <c r="A2558" s="5">
        <v>2497</v>
      </c>
      <c r="B2558" s="138">
        <f>'Acct Summary 7-8'!C14</f>
        <v>197613</v>
      </c>
      <c r="C2558" s="2" t="s">
        <v>573</v>
      </c>
      <c r="D2558" s="2" t="str">
        <f t="shared" si="38"/>
        <v>Error?</v>
      </c>
    </row>
    <row r="2559" spans="1:4" x14ac:dyDescent="0.2">
      <c r="A2559" s="5">
        <v>2498</v>
      </c>
      <c r="B2559" s="138">
        <f>'Acct Summary 7-8'!C15</f>
        <v>203574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4741067</v>
      </c>
      <c r="C2561" s="2" t="s">
        <v>573</v>
      </c>
      <c r="D2561" s="2" t="str">
        <f t="shared" si="39"/>
        <v>Error?</v>
      </c>
    </row>
    <row r="2562" spans="1:4" x14ac:dyDescent="0.2">
      <c r="A2562" s="5">
        <v>2501</v>
      </c>
      <c r="B2562" s="138">
        <f>'Acct Summary 7-8'!C20</f>
        <v>847423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86884</v>
      </c>
      <c r="C2564" s="2" t="s">
        <v>573</v>
      </c>
      <c r="D2564" s="2" t="str">
        <f t="shared" si="39"/>
        <v>Error?</v>
      </c>
    </row>
    <row r="2565" spans="1:4" x14ac:dyDescent="0.2">
      <c r="A2565" s="10">
        <v>2504</v>
      </c>
      <c r="D2565" s="2" t="str">
        <f t="shared" si="39"/>
        <v>OK</v>
      </c>
    </row>
    <row r="2566" spans="1:4" x14ac:dyDescent="0.2">
      <c r="A2566" s="5">
        <v>2505</v>
      </c>
      <c r="B2566" s="138">
        <f>'Acct Summary 7-8'!D6</f>
        <v>275000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361884</v>
      </c>
      <c r="C2568" s="2" t="s">
        <v>573</v>
      </c>
      <c r="D2568" s="2" t="str">
        <f t="shared" si="39"/>
        <v>Error?</v>
      </c>
    </row>
    <row r="2569" spans="1:4" x14ac:dyDescent="0.2">
      <c r="A2569" s="5">
        <v>2508</v>
      </c>
      <c r="B2569" s="138">
        <f>'Acct Summary 7-8'!D13</f>
        <v>346191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346191</v>
      </c>
      <c r="C2573" s="2" t="s">
        <v>573</v>
      </c>
      <c r="D2573" s="2" t="str">
        <f t="shared" si="39"/>
        <v>Error?</v>
      </c>
    </row>
    <row r="2574" spans="1:4" x14ac:dyDescent="0.2">
      <c r="A2574" s="5">
        <v>2513</v>
      </c>
      <c r="B2574" s="138">
        <f>'Acct Summary 7-8'!D20</f>
        <v>15693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34711</v>
      </c>
      <c r="C2591" s="2" t="s">
        <v>573</v>
      </c>
      <c r="D2591" s="2" t="str">
        <f t="shared" si="39"/>
        <v>Error?</v>
      </c>
    </row>
    <row r="2592" spans="1:4" x14ac:dyDescent="0.2">
      <c r="A2592" s="10">
        <v>2531</v>
      </c>
      <c r="D2592" s="2" t="str">
        <f t="shared" si="39"/>
        <v>OK</v>
      </c>
    </row>
    <row r="2593" spans="1:4" x14ac:dyDescent="0.2">
      <c r="A2593" s="5">
        <v>2532</v>
      </c>
      <c r="B2593" s="138">
        <f>'Acct Summary 7-8'!F6</f>
        <v>388438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423149</v>
      </c>
      <c r="C2595" s="2" t="s">
        <v>573</v>
      </c>
      <c r="D2595" s="2" t="str">
        <f t="shared" si="39"/>
        <v>Error?</v>
      </c>
    </row>
    <row r="2596" spans="1:4" x14ac:dyDescent="0.2">
      <c r="A2596" s="5">
        <v>2535</v>
      </c>
      <c r="B2596" s="138">
        <f>'Acct Summary 7-8'!F13</f>
        <v>407925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407925</v>
      </c>
      <c r="C2600" s="2" t="s">
        <v>573</v>
      </c>
      <c r="D2600" s="2" t="str">
        <f t="shared" si="39"/>
        <v>Error?</v>
      </c>
    </row>
    <row r="2601" spans="1:4" x14ac:dyDescent="0.2">
      <c r="A2601" s="5">
        <v>2540</v>
      </c>
      <c r="B2601" s="138">
        <f>'Acct Summary 7-8'!F20</f>
        <v>15224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156687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156687</v>
      </c>
      <c r="C2606" s="2" t="s">
        <v>573</v>
      </c>
      <c r="D2606" s="2" t="str">
        <f t="shared" si="39"/>
        <v>Error?</v>
      </c>
    </row>
    <row r="2607" spans="1:4" x14ac:dyDescent="0.2">
      <c r="A2607" s="5">
        <v>2546</v>
      </c>
      <c r="B2607" s="138">
        <f>'Acct Summary 7-8'!G12</f>
        <v>84844</v>
      </c>
      <c r="C2607" s="2" t="s">
        <v>573</v>
      </c>
      <c r="D2607" s="2" t="str">
        <f t="shared" si="39"/>
        <v>Error?</v>
      </c>
    </row>
    <row r="2608" spans="1:4" x14ac:dyDescent="0.2">
      <c r="A2608" s="5">
        <v>2547</v>
      </c>
      <c r="B2608" s="138">
        <f>'Acct Summary 7-8'!G13</f>
        <v>103522</v>
      </c>
      <c r="C2608" s="2" t="s">
        <v>573</v>
      </c>
      <c r="D2608" s="2" t="str">
        <f t="shared" si="39"/>
        <v>Error?</v>
      </c>
    </row>
    <row r="2609" spans="1:4" x14ac:dyDescent="0.2">
      <c r="A2609" s="5">
        <v>2548</v>
      </c>
      <c r="B2609" s="138">
        <f>'Acct Summary 7-8'!G14</f>
        <v>22633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210999</v>
      </c>
      <c r="C2612" s="2" t="s">
        <v>573</v>
      </c>
      <c r="D2612" s="2" t="str">
        <f t="shared" si="39"/>
        <v>Error?</v>
      </c>
    </row>
    <row r="2613" spans="1:4" x14ac:dyDescent="0.2">
      <c r="A2613" s="5">
        <v>2552</v>
      </c>
      <c r="B2613" s="138">
        <f>'Acct Summary 7-8'!G20</f>
        <v>-54312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144886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144886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145271</v>
      </c>
      <c r="C2634" s="2" t="s">
        <v>573</v>
      </c>
      <c r="D2634" s="2" t="str">
        <f t="shared" si="40"/>
        <v>Error?</v>
      </c>
    </row>
    <row r="2635" spans="1:4" x14ac:dyDescent="0.2">
      <c r="A2635" s="5">
        <v>2574</v>
      </c>
      <c r="B2635" s="138">
        <f>'Acct Summary 7-8'!E17</f>
        <v>145271</v>
      </c>
      <c r="C2635" s="2" t="s">
        <v>573</v>
      </c>
      <c r="D2635" s="2" t="str">
        <f t="shared" si="40"/>
        <v>Error?</v>
      </c>
    </row>
    <row r="2636" spans="1:4" x14ac:dyDescent="0.2">
      <c r="A2636" s="5">
        <v>2575</v>
      </c>
      <c r="B2636" s="138">
        <f>'Acct Summary 7-8'!E20</f>
        <v>-385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136</v>
      </c>
      <c r="C2658" s="2" t="s">
        <v>573</v>
      </c>
      <c r="D2658" s="2" t="str">
        <f t="shared" si="40"/>
        <v>Error?</v>
      </c>
    </row>
    <row r="2659" spans="1:4" x14ac:dyDescent="0.2">
      <c r="A2659" s="5">
        <v>2598</v>
      </c>
      <c r="B2659" s="138">
        <f>'Acct Summary 7-8'!H13</f>
        <v>157223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157223</v>
      </c>
      <c r="C2661" s="2" t="s">
        <v>573</v>
      </c>
      <c r="D2661" s="2" t="str">
        <f t="shared" si="40"/>
        <v>Error?</v>
      </c>
    </row>
    <row r="2662" spans="1:4" x14ac:dyDescent="0.2">
      <c r="A2662" s="5">
        <v>2601</v>
      </c>
      <c r="B2662" s="138">
        <f>'Acct Summary 7-8'!H20</f>
        <v>-157087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1650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1650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34680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17041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14360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17041</v>
      </c>
      <c r="D2912" s="2" t="str">
        <f t="shared" si="44"/>
        <v>Error?</v>
      </c>
    </row>
    <row r="2913" spans="1:4" x14ac:dyDescent="0.2">
      <c r="A2913" s="5">
        <v>2852</v>
      </c>
      <c r="B2913" s="138">
        <f>'Assets-Liab 5-6'!I41</f>
        <v>17041</v>
      </c>
      <c r="C2913" s="2" t="s">
        <v>573</v>
      </c>
      <c r="D2913" s="2" t="str">
        <f t="shared" si="44"/>
        <v>Error?</v>
      </c>
    </row>
    <row r="2914" spans="1:4" x14ac:dyDescent="0.2">
      <c r="A2914" s="5">
        <v>2853</v>
      </c>
      <c r="B2914" s="138">
        <f>'Assets-Liab 5-6'!L33</f>
        <v>14360</v>
      </c>
      <c r="D2914" s="2" t="str">
        <f t="shared" si="44"/>
        <v>Error?</v>
      </c>
    </row>
    <row r="2915" spans="1:4" x14ac:dyDescent="0.2">
      <c r="A2915" s="10">
        <v>2854</v>
      </c>
      <c r="D2915" s="2" t="str">
        <f t="shared" si="44"/>
        <v>OK</v>
      </c>
    </row>
    <row r="2916" spans="1:4" x14ac:dyDescent="0.2">
      <c r="A2916" s="5">
        <v>2855</v>
      </c>
      <c r="B2916" s="138">
        <f>'Assets-Liab 5-6'!L34</f>
        <v>14360</v>
      </c>
      <c r="C2916" s="2" t="s">
        <v>573</v>
      </c>
      <c r="D2916" s="2" t="str">
        <f t="shared" si="44"/>
        <v>Error?</v>
      </c>
    </row>
    <row r="2917" spans="1:4" x14ac:dyDescent="0.2">
      <c r="A2917" s="5">
        <v>2856</v>
      </c>
      <c r="B2917" s="138">
        <f>'Assets-Liab 5-6'!L41</f>
        <v>14360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32719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4033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32719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4033</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296155</v>
      </c>
      <c r="D3055" s="2" t="str">
        <f t="shared" si="46"/>
        <v>Error?</v>
      </c>
    </row>
    <row r="3056" spans="1:4" x14ac:dyDescent="0.2">
      <c r="A3056" s="5">
        <v>2995</v>
      </c>
      <c r="B3056" s="138">
        <f>'Expenditures 15-22'!D10</f>
        <v>118638</v>
      </c>
      <c r="D3056" s="2" t="str">
        <f t="shared" si="46"/>
        <v>Error?</v>
      </c>
    </row>
    <row r="3057" spans="1:4" x14ac:dyDescent="0.2">
      <c r="A3057" s="5">
        <v>2996</v>
      </c>
      <c r="B3057" s="138">
        <f>'Expenditures 15-22'!E10</f>
        <v>59779</v>
      </c>
      <c r="D3057" s="2" t="str">
        <f t="shared" si="46"/>
        <v>Error?</v>
      </c>
    </row>
    <row r="3058" spans="1:4" x14ac:dyDescent="0.2">
      <c r="A3058" s="5">
        <v>2997</v>
      </c>
      <c r="B3058" s="138">
        <f>'Expenditures 15-22'!F10</f>
        <v>29783</v>
      </c>
      <c r="D3058" s="2" t="str">
        <f t="shared" si="46"/>
        <v>Error?</v>
      </c>
    </row>
    <row r="3059" spans="1:4" x14ac:dyDescent="0.2">
      <c r="A3059" s="5">
        <v>2998</v>
      </c>
      <c r="B3059" s="138">
        <f>'Expenditures 15-22'!G10</f>
        <v>67500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571855</v>
      </c>
      <c r="C3062" s="2" t="s">
        <v>573</v>
      </c>
      <c r="D3062" s="2" t="str">
        <f t="shared" si="46"/>
        <v>Error?</v>
      </c>
    </row>
    <row r="3063" spans="1:4" x14ac:dyDescent="0.2">
      <c r="A3063" s="10">
        <v>3002</v>
      </c>
      <c r="D3063" s="2" t="str">
        <f t="shared" si="46"/>
        <v>OK</v>
      </c>
    </row>
    <row r="3064" spans="1:4" x14ac:dyDescent="0.2">
      <c r="A3064" s="5">
        <v>3003</v>
      </c>
      <c r="B3064" s="138">
        <f>'Expenditures 15-22'!D219</f>
        <v>3675</v>
      </c>
      <c r="D3064" s="2" t="str">
        <f t="shared" si="46"/>
        <v>Error?</v>
      </c>
    </row>
    <row r="3065" spans="1:4" x14ac:dyDescent="0.2">
      <c r="A3065" s="5">
        <v>3004</v>
      </c>
      <c r="B3065" s="138">
        <f>'Expenditures 15-22'!K219</f>
        <v>3675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8553</v>
      </c>
      <c r="C3225" s="2" t="s">
        <v>573</v>
      </c>
      <c r="D3225" s="2" t="str">
        <f t="shared" si="49"/>
        <v>Error?</v>
      </c>
    </row>
    <row r="3226" spans="1:4" x14ac:dyDescent="0.2">
      <c r="A3226" s="5">
        <v>3165</v>
      </c>
      <c r="B3226" s="138">
        <f>'Acct Summary 7-8'!I8</f>
        <v>8553</v>
      </c>
      <c r="C3226" s="2" t="s">
        <v>573</v>
      </c>
      <c r="D3226" s="2" t="str">
        <f t="shared" si="49"/>
        <v>Error?</v>
      </c>
    </row>
    <row r="3227" spans="1:4" x14ac:dyDescent="0.2">
      <c r="A3227" s="5">
        <v>3166</v>
      </c>
      <c r="B3227" s="138">
        <f>'Acct Summary 7-8'!I20</f>
        <v>8553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847423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15693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15224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-54312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-157087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8553</v>
      </c>
      <c r="C3320" s="2" t="s">
        <v>573</v>
      </c>
      <c r="D3320" s="2" t="str">
        <f t="shared" si="50"/>
        <v>Error?</v>
      </c>
    </row>
    <row r="3321" spans="1:4" x14ac:dyDescent="0.2">
      <c r="A3321" s="5">
        <v>3260</v>
      </c>
      <c r="B3321" s="138">
        <f>'Acct Summary 7-8'!I79</f>
        <v>8488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17041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503024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111592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617365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7587</v>
      </c>
      <c r="D3387" s="2" t="str">
        <f t="shared" si="51"/>
        <v>Error?</v>
      </c>
    </row>
    <row r="3388" spans="1:4" x14ac:dyDescent="0.2">
      <c r="A3388" s="5">
        <v>3327</v>
      </c>
      <c r="B3388" s="138">
        <f>'Expenditures 15-22'!D217</f>
        <v>52132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7587</v>
      </c>
      <c r="C3390" s="2" t="s">
        <v>573</v>
      </c>
      <c r="D3390" s="2" t="str">
        <f t="shared" si="51"/>
        <v>Error?</v>
      </c>
    </row>
    <row r="3391" spans="1:4" x14ac:dyDescent="0.2">
      <c r="A3391" s="5">
        <v>3330</v>
      </c>
      <c r="B3391" s="138">
        <f>'Expenditures 15-22'!K217</f>
        <v>52132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5906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4464168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402593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27686</v>
      </c>
      <c r="D3417" s="2" t="str">
        <f t="shared" si="52"/>
        <v>Error?</v>
      </c>
    </row>
    <row r="3418" spans="1:4" x14ac:dyDescent="0.2">
      <c r="A3418" s="10">
        <v>3357</v>
      </c>
      <c r="D3418" s="2" t="str">
        <f t="shared" si="52"/>
        <v>OK</v>
      </c>
    </row>
    <row r="3419" spans="1:4" x14ac:dyDescent="0.2">
      <c r="A3419" s="5">
        <v>3358</v>
      </c>
      <c r="B3419" s="138">
        <f>'Assets-Liab 5-6'!F4</f>
        <v>145816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320456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46919</v>
      </c>
      <c r="D3425" s="2" t="str">
        <f t="shared" si="52"/>
        <v>Error?</v>
      </c>
    </row>
    <row r="3426" spans="1:4" x14ac:dyDescent="0.2">
      <c r="A3426" s="10">
        <v>3365</v>
      </c>
      <c r="D3426" s="2" t="str">
        <f t="shared" si="52"/>
        <v>OK</v>
      </c>
    </row>
    <row r="3427" spans="1:4" x14ac:dyDescent="0.2">
      <c r="A3427" s="5">
        <v>3366</v>
      </c>
      <c r="B3427" s="138">
        <f>'Assets-Liab 5-6'!I4</f>
        <v>17041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14360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60859</v>
      </c>
      <c r="C3446" s="2" t="s">
        <v>573</v>
      </c>
      <c r="D3446" s="2" t="str">
        <f t="shared" si="52"/>
        <v>Error?</v>
      </c>
    </row>
    <row r="3447" spans="1:4" x14ac:dyDescent="0.2">
      <c r="A3447" s="5">
        <v>3386</v>
      </c>
      <c r="B3447" s="138">
        <f>'Tax Sched 23'!D16</f>
        <v>60859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40000</v>
      </c>
      <c r="C3449" s="2" t="s">
        <v>573</v>
      </c>
      <c r="D3449" s="2" t="str">
        <f t="shared" si="52"/>
        <v>Error?</v>
      </c>
    </row>
    <row r="3450" spans="1:4" x14ac:dyDescent="0.2">
      <c r="A3450" s="5">
        <v>3389</v>
      </c>
      <c r="B3450" s="138">
        <f>'Tax Sched 23'!E16</f>
        <v>40000</v>
      </c>
      <c r="D3450" s="2" t="str">
        <f t="shared" si="52"/>
        <v>Error?</v>
      </c>
    </row>
    <row r="3451" spans="1:4" x14ac:dyDescent="0.2">
      <c r="A3451" s="5">
        <v>3390</v>
      </c>
      <c r="B3451" s="138">
        <f>'Cap Outlay Deprec 26'!C15</f>
        <v>12920</v>
      </c>
      <c r="D3451" s="2" t="str">
        <f t="shared" si="52"/>
        <v>Error?</v>
      </c>
    </row>
    <row r="3452" spans="1:4" x14ac:dyDescent="0.2">
      <c r="A3452" s="5">
        <v>3391</v>
      </c>
      <c r="B3452" s="138">
        <f>'Cap Outlay Deprec 26'!D15</f>
        <v>190706</v>
      </c>
      <c r="D3452" s="2" t="str">
        <f t="shared" si="52"/>
        <v>Error?</v>
      </c>
    </row>
    <row r="3453" spans="1:4" x14ac:dyDescent="0.2">
      <c r="A3453" s="5">
        <v>3392</v>
      </c>
      <c r="B3453" s="138">
        <f>'Cap Outlay Deprec 26'!E15</f>
        <v>168946</v>
      </c>
      <c r="D3453" s="2" t="str">
        <f t="shared" si="52"/>
        <v>Error?</v>
      </c>
    </row>
    <row r="3454" spans="1:4" x14ac:dyDescent="0.2">
      <c r="A3454" s="5">
        <v>3393</v>
      </c>
      <c r="B3454" s="138">
        <f>'Cap Outlay Deprec 26'!F15</f>
        <v>34680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34680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34794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34794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34794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34794</v>
      </c>
      <c r="C3568" s="2" t="s">
        <v>573</v>
      </c>
      <c r="D3568" s="2" t="str">
        <f t="shared" si="54"/>
        <v>Error?</v>
      </c>
    </row>
    <row r="3569" spans="1:4" x14ac:dyDescent="0.2">
      <c r="A3569" s="5">
        <v>3508</v>
      </c>
      <c r="B3569" s="138">
        <f>'Acct Summary 7-8'!K4</f>
        <v>8622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8622</v>
      </c>
      <c r="C3571" s="2" t="s">
        <v>573</v>
      </c>
      <c r="D3571" s="2" t="str">
        <f t="shared" si="54"/>
        <v>Error?</v>
      </c>
    </row>
    <row r="3572" spans="1:4" x14ac:dyDescent="0.2">
      <c r="A3572" s="5">
        <v>3511</v>
      </c>
      <c r="B3572" s="138">
        <f>'Acct Summary 7-8'!K13</f>
        <v>40000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40000</v>
      </c>
      <c r="C3575" s="2" t="s">
        <v>573</v>
      </c>
      <c r="D3575" s="2" t="str">
        <f t="shared" si="54"/>
        <v>Error?</v>
      </c>
    </row>
    <row r="3576" spans="1:4" x14ac:dyDescent="0.2">
      <c r="A3576" s="5">
        <v>3515</v>
      </c>
      <c r="B3576" s="138">
        <f>'Acct Summary 7-8'!K20</f>
        <v>-31378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-31378</v>
      </c>
      <c r="C3588" s="2" t="s">
        <v>573</v>
      </c>
      <c r="D3588" s="2" t="str">
        <f t="shared" si="55"/>
        <v>Error?</v>
      </c>
    </row>
    <row r="3589" spans="1:4" x14ac:dyDescent="0.2">
      <c r="A3589" s="5">
        <v>3528</v>
      </c>
      <c r="B3589" s="138">
        <f>'Acct Summary 7-8'!K79</f>
        <v>66172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34794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40000</v>
      </c>
      <c r="D3646" s="2" t="str">
        <f t="shared" si="55"/>
        <v>Error?</v>
      </c>
    </row>
    <row r="3647" spans="1:4" x14ac:dyDescent="0.2">
      <c r="A3647" s="5">
        <v>3586</v>
      </c>
      <c r="B3647" s="138">
        <f>'Expenditures 15-22'!G350</f>
        <v>40000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40000</v>
      </c>
      <c r="C3649" s="2" t="s">
        <v>573</v>
      </c>
      <c r="D3649" s="2" t="str">
        <f t="shared" si="56"/>
        <v>Error?</v>
      </c>
    </row>
    <row r="3650" spans="1:4" x14ac:dyDescent="0.2">
      <c r="A3650" s="5">
        <v>3589</v>
      </c>
      <c r="B3650" s="138">
        <f>'Expenditures 15-22'!G367</f>
        <v>40000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40000</v>
      </c>
      <c r="C3669" s="2" t="s">
        <v>573</v>
      </c>
      <c r="D3669" s="2" t="str">
        <f t="shared" si="56"/>
        <v>Error?</v>
      </c>
    </row>
    <row r="3670" spans="1:4" x14ac:dyDescent="0.2">
      <c r="A3670" s="5">
        <v>3609</v>
      </c>
      <c r="B3670" s="138">
        <f>'Expenditures 15-22'!K350</f>
        <v>40000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40000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40000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-31378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291941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1290625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6879115</v>
      </c>
      <c r="C4122" s="2" t="s">
        <v>573</v>
      </c>
      <c r="D4122" s="2" t="str">
        <f t="shared" si="63"/>
        <v>Error?</v>
      </c>
    </row>
    <row r="4123" spans="1:4" x14ac:dyDescent="0.2">
      <c r="A4123" s="5">
        <v>4062</v>
      </c>
      <c r="B4123" s="138">
        <f>'Acct Summary 7-8'!D10</f>
        <v>361884</v>
      </c>
      <c r="C4123" s="2" t="s">
        <v>573</v>
      </c>
      <c r="D4123" s="2" t="str">
        <f t="shared" si="63"/>
        <v>Error?</v>
      </c>
    </row>
    <row r="4124" spans="1:4" x14ac:dyDescent="0.2">
      <c r="A4124" s="5">
        <v>4063</v>
      </c>
      <c r="B4124" s="138">
        <f>'Acct Summary 7-8'!E10</f>
        <v>144886</v>
      </c>
      <c r="C4124" s="2" t="s">
        <v>573</v>
      </c>
      <c r="D4124" s="2" t="str">
        <f t="shared" si="63"/>
        <v>Error?</v>
      </c>
    </row>
    <row r="4125" spans="1:4" x14ac:dyDescent="0.2">
      <c r="A4125" s="5">
        <v>4064</v>
      </c>
      <c r="B4125" s="138">
        <f>'Acct Summary 7-8'!F10</f>
        <v>423149</v>
      </c>
      <c r="C4125" s="2" t="s">
        <v>573</v>
      </c>
      <c r="D4125" s="2" t="str">
        <f t="shared" si="63"/>
        <v>Error?</v>
      </c>
    </row>
    <row r="4126" spans="1:4" x14ac:dyDescent="0.2">
      <c r="A4126" s="5">
        <v>4065</v>
      </c>
      <c r="B4126" s="138">
        <f>'Acct Summary 7-8'!G10</f>
        <v>156687</v>
      </c>
      <c r="C4126" s="2" t="s">
        <v>573</v>
      </c>
      <c r="D4126" s="2" t="str">
        <f t="shared" si="63"/>
        <v>Error?</v>
      </c>
    </row>
    <row r="4127" spans="1:4" x14ac:dyDescent="0.2">
      <c r="A4127" s="5">
        <v>4066</v>
      </c>
      <c r="B4127" s="138">
        <f>'Acct Summary 7-8'!H10</f>
        <v>136</v>
      </c>
      <c r="C4127" s="2" t="s">
        <v>573</v>
      </c>
      <c r="D4127" s="2" t="str">
        <f t="shared" si="63"/>
        <v>Error?</v>
      </c>
    </row>
    <row r="4128" spans="1:4" x14ac:dyDescent="0.2">
      <c r="A4128" s="5">
        <v>4067</v>
      </c>
      <c r="B4128" s="138">
        <f>'Acct Summary 7-8'!I10</f>
        <v>8553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8622</v>
      </c>
      <c r="C4130" s="2" t="s">
        <v>573</v>
      </c>
      <c r="D4130" s="2" t="str">
        <f t="shared" si="63"/>
        <v>Error?</v>
      </c>
    </row>
    <row r="4131" spans="1:4" x14ac:dyDescent="0.2">
      <c r="A4131" s="5">
        <v>4070</v>
      </c>
      <c r="B4131" s="138">
        <f>'Acct Summary 7-8'!C18</f>
        <v>1290625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6031692</v>
      </c>
      <c r="C4136" s="2" t="s">
        <v>573</v>
      </c>
      <c r="D4136" s="2" t="str">
        <f t="shared" si="63"/>
        <v>Error?</v>
      </c>
    </row>
    <row r="4137" spans="1:4" x14ac:dyDescent="0.2">
      <c r="A4137" s="5">
        <v>4076</v>
      </c>
      <c r="B4137" s="138">
        <f>'Acct Summary 7-8'!D19</f>
        <v>346191</v>
      </c>
      <c r="C4137" s="2" t="s">
        <v>573</v>
      </c>
      <c r="D4137" s="2" t="str">
        <f t="shared" si="63"/>
        <v>Error?</v>
      </c>
    </row>
    <row r="4138" spans="1:4" x14ac:dyDescent="0.2">
      <c r="A4138" s="5">
        <v>4077</v>
      </c>
      <c r="B4138" s="138">
        <f>'Acct Summary 7-8'!E19</f>
        <v>145271</v>
      </c>
      <c r="C4138" s="2" t="s">
        <v>573</v>
      </c>
      <c r="D4138" s="2" t="str">
        <f t="shared" si="63"/>
        <v>Error?</v>
      </c>
    </row>
    <row r="4139" spans="1:4" x14ac:dyDescent="0.2">
      <c r="A4139" s="5">
        <v>4078</v>
      </c>
      <c r="B4139" s="138">
        <f>'Acct Summary 7-8'!F19</f>
        <v>407925</v>
      </c>
      <c r="C4139" s="2" t="s">
        <v>573</v>
      </c>
      <c r="D4139" s="2" t="str">
        <f t="shared" si="63"/>
        <v>Error?</v>
      </c>
    </row>
    <row r="4140" spans="1:4" x14ac:dyDescent="0.2">
      <c r="A4140" s="5">
        <v>4079</v>
      </c>
      <c r="B4140" s="138">
        <f>'Acct Summary 7-8'!G19</f>
        <v>210999</v>
      </c>
      <c r="C4140" s="2" t="s">
        <v>573</v>
      </c>
      <c r="D4140" s="2" t="str">
        <f t="shared" si="63"/>
        <v>Error?</v>
      </c>
    </row>
    <row r="4141" spans="1:4" x14ac:dyDescent="0.2">
      <c r="A4141" s="5">
        <v>4080</v>
      </c>
      <c r="B4141" s="138">
        <f>'Acct Summary 7-8'!H19</f>
        <v>157223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40000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282900</v>
      </c>
      <c r="C4171" s="2" t="s">
        <v>573</v>
      </c>
      <c r="D4171" s="2" t="str">
        <f t="shared" si="64"/>
        <v>Error?</v>
      </c>
    </row>
    <row r="4172" spans="1:4" x14ac:dyDescent="0.2">
      <c r="A4172" s="5">
        <v>4111</v>
      </c>
      <c r="B4172" s="138">
        <f>'Short-Term Long-Term Debt 24'!J49</f>
        <v>255214</v>
      </c>
      <c r="C4172" s="2" t="s">
        <v>573</v>
      </c>
      <c r="D4172" s="2" t="str">
        <f t="shared" si="64"/>
        <v>Error?</v>
      </c>
    </row>
    <row r="4173" spans="1:4" x14ac:dyDescent="0.2">
      <c r="A4173" s="5">
        <v>4112</v>
      </c>
      <c r="B4173" s="138">
        <f>'Short-Term Long-Term Debt 24'!H49</f>
        <v>137700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1849.2</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2549</v>
      </c>
      <c r="C4268" s="2" t="s">
        <v>573</v>
      </c>
      <c r="D4268" s="2" t="str">
        <f t="shared" si="65"/>
        <v>Error?</v>
      </c>
    </row>
    <row r="4269" spans="1:5" x14ac:dyDescent="0.2">
      <c r="A4269" s="12">
        <v>4208</v>
      </c>
      <c r="B4269" s="138">
        <f>'FP Info 3'!J16</f>
        <v>5820926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68834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6549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18705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800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800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226.8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20616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t="str">
        <f>'Revenues 9-14'!C265</f>
        <v xml:space="preserve"> </v>
      </c>
      <c r="D4852" s="2" t="e">
        <f t="shared" si="74"/>
        <v>#VALUE!</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17636905</v>
      </c>
      <c r="D4995" s="2" t="str">
        <f t="shared" si="77"/>
        <v>Error?</v>
      </c>
    </row>
    <row r="4996" spans="1:4" x14ac:dyDescent="0.2">
      <c r="A4996" s="12">
        <v>4935</v>
      </c>
      <c r="B4996" s="138">
        <f>'FP Info 3'!H31</f>
        <v>2433892.89</v>
      </c>
      <c r="D4996" s="2" t="str">
        <f t="shared" si="77"/>
        <v>Error?</v>
      </c>
    </row>
    <row r="4997" spans="1:4" x14ac:dyDescent="0.2">
      <c r="A4997" s="12">
        <v>4936</v>
      </c>
      <c r="B4997" s="138">
        <f>'FP Info 3'!H37</f>
        <v>282900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315053</v>
      </c>
      <c r="D5061" s="2" t="str">
        <f t="shared" si="78"/>
        <v>Error?</v>
      </c>
    </row>
    <row r="5062" spans="1:4" x14ac:dyDescent="0.2">
      <c r="A5062" s="10">
        <v>5001</v>
      </c>
      <c r="D5062" s="2" t="str">
        <f t="shared" si="78"/>
        <v>OK</v>
      </c>
    </row>
    <row r="5063" spans="1:4" x14ac:dyDescent="0.2">
      <c r="A5063" s="5">
        <v>5002</v>
      </c>
      <c r="B5063" s="138">
        <f>'Revenues 9-14'!C7</f>
        <v>6815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321868</v>
      </c>
      <c r="C5066" s="2" t="s">
        <v>573</v>
      </c>
      <c r="D5066" s="2" t="str">
        <f t="shared" si="78"/>
        <v>Error?</v>
      </c>
    </row>
    <row r="5067" spans="1:4" x14ac:dyDescent="0.2">
      <c r="A5067" s="5">
        <v>5006</v>
      </c>
      <c r="B5067" s="138">
        <f>'Revenues 9-14'!C14</f>
        <v>516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236032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236548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22521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22521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8363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4090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12453</v>
      </c>
      <c r="C5096" s="2" t="s">
        <v>573</v>
      </c>
      <c r="D5096" s="2" t="str">
        <f t="shared" si="78"/>
        <v>Error?</v>
      </c>
    </row>
    <row r="5097" spans="1:4" x14ac:dyDescent="0.2">
      <c r="A5097" s="5">
        <v>5036</v>
      </c>
      <c r="B5097" s="138">
        <f>'Revenues 9-14'!C77</f>
        <v>1654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1654</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23717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231</v>
      </c>
      <c r="D5119" s="2" t="str">
        <f t="shared" ref="D5119:D5182" si="79">IF(ISBLANK(B5119),"OK",IF(A5119-B5119=0,"OK","Error?"))</f>
        <v>Error?</v>
      </c>
    </row>
    <row r="5120" spans="1:4" x14ac:dyDescent="0.2">
      <c r="A5120" s="5">
        <v>5059</v>
      </c>
      <c r="B5120" s="138">
        <f>'Revenues 9-14'!C108</f>
        <v>24448</v>
      </c>
      <c r="C5120" s="2" t="s">
        <v>573</v>
      </c>
      <c r="D5120" s="2" t="str">
        <f t="shared" si="79"/>
        <v>Error?</v>
      </c>
    </row>
    <row r="5121" spans="1:4" x14ac:dyDescent="0.2">
      <c r="A5121" s="5">
        <v>5060</v>
      </c>
      <c r="B5121" s="138">
        <f>'Revenues 9-14'!C109</f>
        <v>619492</v>
      </c>
      <c r="C5121" s="2" t="s">
        <v>573</v>
      </c>
      <c r="D5121" s="2" t="str">
        <f t="shared" si="79"/>
        <v>Error?</v>
      </c>
    </row>
    <row r="5122" spans="1:4" x14ac:dyDescent="0.2">
      <c r="A5122" s="5">
        <v>5061</v>
      </c>
      <c r="B5122" s="138">
        <f>'Revenues 9-14'!C111</f>
        <v>5906</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5906</v>
      </c>
      <c r="C5125" s="2" t="s">
        <v>573</v>
      </c>
      <c r="D5125" s="2" t="str">
        <f t="shared" si="79"/>
        <v>Error?</v>
      </c>
    </row>
    <row r="5126" spans="1:4" x14ac:dyDescent="0.2">
      <c r="A5126" s="5">
        <v>5065</v>
      </c>
      <c r="B5126" s="138">
        <f>'Revenues 9-14'!C117</f>
        <v>3117582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3117582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9147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9147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5550</v>
      </c>
      <c r="D5167" s="2" t="str">
        <f t="shared" si="79"/>
        <v>Error?</v>
      </c>
    </row>
    <row r="5168" spans="1:4" x14ac:dyDescent="0.2">
      <c r="A5168" s="5">
        <v>5107</v>
      </c>
      <c r="B5168" s="138">
        <f>'Revenues 9-14'!C148</f>
        <v>3890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6184</v>
      </c>
      <c r="D5194" s="2" t="str">
        <f t="shared" si="80"/>
        <v>Error?</v>
      </c>
    </row>
    <row r="5195" spans="1:5" x14ac:dyDescent="0.2">
      <c r="A5195" s="10">
        <v>5134</v>
      </c>
      <c r="D5195" s="2" t="str">
        <f t="shared" si="80"/>
        <v>OK</v>
      </c>
    </row>
    <row r="5196" spans="1:5" x14ac:dyDescent="0.2">
      <c r="A5196" s="5">
        <v>5135</v>
      </c>
      <c r="B5196" s="138">
        <f>'Revenues 9-14'!C159</f>
        <v>583460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628847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3746429</v>
      </c>
      <c r="C5223" s="2" t="s">
        <v>573</v>
      </c>
      <c r="D5223" s="2" t="str">
        <f t="shared" si="80"/>
        <v>Error?</v>
      </c>
    </row>
    <row r="5224" spans="1:4" x14ac:dyDescent="0.2">
      <c r="A5224" s="5">
        <v>5163</v>
      </c>
      <c r="B5224" s="138">
        <f>'Revenues 9-14'!C173</f>
        <v>54153</v>
      </c>
      <c r="D5224" s="2" t="str">
        <f t="shared" si="80"/>
        <v>Error?</v>
      </c>
    </row>
    <row r="5225" spans="1:4" x14ac:dyDescent="0.2">
      <c r="A5225" s="5">
        <v>5164</v>
      </c>
      <c r="B5225" s="138">
        <f>'Revenues 9-14'!C175</f>
        <v>54153</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162455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77110</v>
      </c>
      <c r="D5241" s="2" t="str">
        <f t="shared" si="80"/>
        <v>Error?</v>
      </c>
    </row>
    <row r="5242" spans="1:4" x14ac:dyDescent="0.2">
      <c r="A5242" s="5">
        <v>5181</v>
      </c>
      <c r="B5242" s="138">
        <f>'Revenues 9-14'!C194</f>
        <v>10822</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256582</v>
      </c>
      <c r="C5246" s="2" t="s">
        <v>573</v>
      </c>
      <c r="D5246" s="2" t="str">
        <f t="shared" si="80"/>
        <v>Error?</v>
      </c>
    </row>
    <row r="5247" spans="1:4" x14ac:dyDescent="0.2">
      <c r="A5247" s="5">
        <v>5186</v>
      </c>
      <c r="B5247" s="138">
        <f>'Revenues 9-14'!C200</f>
        <v>811040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879874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1162510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1216663</v>
      </c>
      <c r="C5326" s="2" t="s">
        <v>573</v>
      </c>
      <c r="D5326" s="2" t="str">
        <f t="shared" si="82"/>
        <v>Error?</v>
      </c>
    </row>
    <row r="5327" spans="1:5" x14ac:dyDescent="0.2">
      <c r="A5327" s="5">
        <v>5266</v>
      </c>
      <c r="B5327" s="138">
        <f>'Revenues 9-14'!C268</f>
        <v>5588490</v>
      </c>
      <c r="C5327" s="2" t="s">
        <v>573</v>
      </c>
      <c r="D5327" s="2" t="str">
        <f t="shared" si="82"/>
        <v>Error?</v>
      </c>
    </row>
    <row r="5328" spans="1:5" x14ac:dyDescent="0.2">
      <c r="A5328" s="5">
        <v>5267</v>
      </c>
      <c r="B5328" s="138">
        <f>'Revenues 9-14'!D5</f>
        <v>85186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85186</v>
      </c>
      <c r="C5334" s="2" t="s">
        <v>573</v>
      </c>
      <c r="D5334" s="2" t="str">
        <f t="shared" si="82"/>
        <v>Error?</v>
      </c>
    </row>
    <row r="5335" spans="1:4" x14ac:dyDescent="0.2">
      <c r="A5335" s="5">
        <v>5274</v>
      </c>
      <c r="B5335" s="138">
        <f>'Revenues 9-14'!D14</f>
        <v>137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137</v>
      </c>
      <c r="C5339" s="2" t="s">
        <v>573</v>
      </c>
      <c r="D5339" s="2" t="str">
        <f t="shared" si="82"/>
        <v>Error?</v>
      </c>
    </row>
    <row r="5340" spans="1:4" x14ac:dyDescent="0.2">
      <c r="A5340" s="5">
        <v>5279</v>
      </c>
      <c r="B5340" s="138">
        <f>'Revenues 9-14'!D65</f>
        <v>601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601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960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960</v>
      </c>
      <c r="C5355" s="2" t="s">
        <v>573</v>
      </c>
      <c r="D5355" s="2" t="str">
        <f t="shared" si="82"/>
        <v>Error?</v>
      </c>
    </row>
    <row r="5356" spans="1:4" x14ac:dyDescent="0.2">
      <c r="A5356" s="5">
        <v>5295</v>
      </c>
      <c r="B5356" s="138">
        <f>'Revenues 9-14'!D109</f>
        <v>86884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275000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275000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275000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361884</v>
      </c>
      <c r="C5508" s="2" t="s">
        <v>573</v>
      </c>
      <c r="D5508" s="2" t="str">
        <f t="shared" si="85"/>
        <v>Error?</v>
      </c>
    </row>
    <row r="5509" spans="1:4" x14ac:dyDescent="0.2">
      <c r="A5509" s="5">
        <v>5448</v>
      </c>
      <c r="B5509" s="138">
        <f>'Revenues 9-14'!E5</f>
        <v>144549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144549</v>
      </c>
      <c r="C5513" s="2" t="s">
        <v>573</v>
      </c>
      <c r="D5513" s="2" t="str">
        <f t="shared" si="85"/>
        <v>Error?</v>
      </c>
    </row>
    <row r="5514" spans="1:4" x14ac:dyDescent="0.2">
      <c r="A5514" s="5">
        <v>5453</v>
      </c>
      <c r="B5514" s="138">
        <f>'Revenues 9-14'!E14</f>
        <v>232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232</v>
      </c>
      <c r="C5518" s="2" t="s">
        <v>573</v>
      </c>
      <c r="D5518" s="2" t="str">
        <f t="shared" si="85"/>
        <v>Error?</v>
      </c>
    </row>
    <row r="5519" spans="1:4" x14ac:dyDescent="0.2">
      <c r="A5519" s="5">
        <v>5458</v>
      </c>
      <c r="B5519" s="138">
        <f>'Revenues 9-14'!E65</f>
        <v>105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144886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144886</v>
      </c>
      <c r="C5552" s="2" t="s">
        <v>573</v>
      </c>
      <c r="D5552" s="2" t="str">
        <f t="shared" si="85"/>
        <v>Error?</v>
      </c>
    </row>
    <row r="5553" spans="1:4" x14ac:dyDescent="0.2">
      <c r="A5553" s="5">
        <v>5492</v>
      </c>
      <c r="B5553" s="138">
        <f>'Revenues 9-14'!F5</f>
        <v>34075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34075</v>
      </c>
      <c r="C5557" s="2" t="s">
        <v>573</v>
      </c>
      <c r="D5557" s="2" t="str">
        <f t="shared" si="85"/>
        <v>Error?</v>
      </c>
    </row>
    <row r="5558" spans="1:4" x14ac:dyDescent="0.2">
      <c r="A5558" s="5">
        <v>5497</v>
      </c>
      <c r="B5558" s="138">
        <f>'Revenues 9-14'!F14</f>
        <v>55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264</v>
      </c>
      <c r="D5586" s="2" t="str">
        <f t="shared" si="86"/>
        <v>Error?</v>
      </c>
    </row>
    <row r="5587" spans="1:4" x14ac:dyDescent="0.2">
      <c r="A5587" s="5">
        <v>5526</v>
      </c>
      <c r="B5587" s="138">
        <f>'Revenues 9-14'!F108</f>
        <v>264</v>
      </c>
      <c r="C5587" s="2" t="s">
        <v>573</v>
      </c>
      <c r="D5587" s="2" t="str">
        <f t="shared" si="86"/>
        <v>Error?</v>
      </c>
    </row>
    <row r="5588" spans="1:4" x14ac:dyDescent="0.2">
      <c r="A5588" s="5">
        <v>5527</v>
      </c>
      <c r="B5588" s="138">
        <f>'Revenues 9-14'!F109</f>
        <v>34711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165000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165000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104171</v>
      </c>
      <c r="D5615" s="2" t="str">
        <f t="shared" si="86"/>
        <v>Error?</v>
      </c>
    </row>
    <row r="5616" spans="1:4" x14ac:dyDescent="0.2">
      <c r="A5616" s="10">
        <v>5555</v>
      </c>
      <c r="D5616" s="2" t="str">
        <f t="shared" si="86"/>
        <v>OK</v>
      </c>
    </row>
    <row r="5617" spans="1:5" x14ac:dyDescent="0.2">
      <c r="A5617" s="5">
        <v>5556</v>
      </c>
      <c r="B5617" s="138">
        <f>'Revenues 9-14'!F153</f>
        <v>64515</v>
      </c>
      <c r="D5617" s="2" t="str">
        <f t="shared" si="86"/>
        <v>Error?</v>
      </c>
    </row>
    <row r="5618" spans="1:5" x14ac:dyDescent="0.2">
      <c r="A5618" s="5">
        <v>5557</v>
      </c>
      <c r="B5618" s="138">
        <f>'Revenues 9-14'!F155</f>
        <v>168686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54752</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223438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388438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423149</v>
      </c>
      <c r="C5720" s="2" t="s">
        <v>573</v>
      </c>
      <c r="D5720" s="2" t="str">
        <f t="shared" si="88"/>
        <v>Error?</v>
      </c>
    </row>
    <row r="5721" spans="1:4" x14ac:dyDescent="0.2">
      <c r="A5721" s="5">
        <v>5660</v>
      </c>
      <c r="B5721" s="138">
        <f>'Revenues 9-14'!G5</f>
        <v>72063</v>
      </c>
      <c r="D5721" s="2" t="str">
        <f t="shared" si="88"/>
        <v>Error?</v>
      </c>
    </row>
    <row r="5722" spans="1:4" x14ac:dyDescent="0.2">
      <c r="A5722" s="5">
        <v>5661</v>
      </c>
      <c r="B5722" s="138">
        <f>'Revenues 9-14'!G7</f>
        <v>0</v>
      </c>
      <c r="D5722" s="2" t="str">
        <f t="shared" si="88"/>
        <v>Error?</v>
      </c>
    </row>
    <row r="5723" spans="1:4" x14ac:dyDescent="0.2">
      <c r="A5723" s="5">
        <v>5662</v>
      </c>
      <c r="B5723" s="138">
        <f>'Revenues 9-14'!G8</f>
        <v>60859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132922</v>
      </c>
      <c r="C5725" s="2" t="s">
        <v>573</v>
      </c>
      <c r="D5725" s="2" t="str">
        <f t="shared" si="88"/>
        <v>Error?</v>
      </c>
    </row>
    <row r="5726" spans="1:4" x14ac:dyDescent="0.2">
      <c r="A5726" s="5">
        <v>5665</v>
      </c>
      <c r="B5726" s="138">
        <f>'Revenues 9-14'!G14</f>
        <v>207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22989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23196</v>
      </c>
      <c r="C5730" s="2" t="s">
        <v>573</v>
      </c>
      <c r="D5730" s="2" t="str">
        <f t="shared" si="88"/>
        <v>Error?</v>
      </c>
    </row>
    <row r="5731" spans="1:4" x14ac:dyDescent="0.2">
      <c r="A5731" s="5">
        <v>5670</v>
      </c>
      <c r="B5731" s="138">
        <f>'Revenues 9-14'!G65</f>
        <v>569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569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156687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136</v>
      </c>
      <c r="C5915" s="2" t="s">
        <v>573</v>
      </c>
      <c r="D5915" s="2" t="str">
        <f t="shared" si="91"/>
        <v>Error?</v>
      </c>
    </row>
    <row r="5916" spans="1:4" x14ac:dyDescent="0.2">
      <c r="A5916" s="5">
        <v>5855</v>
      </c>
      <c r="B5916" s="138">
        <f>'Revenues 9-14'!I5</f>
        <v>8519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8519</v>
      </c>
      <c r="C5918" s="2" t="s">
        <v>573</v>
      </c>
      <c r="D5918" s="2" t="str">
        <f t="shared" si="91"/>
        <v>Error?</v>
      </c>
    </row>
    <row r="5919" spans="1:4" x14ac:dyDescent="0.2">
      <c r="A5919" s="5">
        <v>5858</v>
      </c>
      <c r="B5919" s="138">
        <f>'Revenues 9-14'!I14</f>
        <v>14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v>
      </c>
      <c r="C5923" s="2" t="s">
        <v>573</v>
      </c>
      <c r="D5923" s="2" t="str">
        <f t="shared" si="91"/>
        <v>Error?</v>
      </c>
    </row>
    <row r="5924" spans="1:4" x14ac:dyDescent="0.2">
      <c r="A5924" s="5">
        <v>5863</v>
      </c>
      <c r="B5924" s="138">
        <f>'Revenues 9-14'!I65</f>
        <v>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8553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8519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8519</v>
      </c>
      <c r="C5987" s="2" t="s">
        <v>573</v>
      </c>
      <c r="D5987" s="2" t="str">
        <f t="shared" si="92"/>
        <v>Error?</v>
      </c>
    </row>
    <row r="5988" spans="1:4" x14ac:dyDescent="0.2">
      <c r="A5988" s="5">
        <v>5927</v>
      </c>
      <c r="B5988" s="138">
        <f>'Revenues 9-14'!K14</f>
        <v>14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14</v>
      </c>
      <c r="C5992" s="2" t="s">
        <v>573</v>
      </c>
      <c r="D5992" s="2" t="str">
        <f t="shared" si="92"/>
        <v>Error?</v>
      </c>
    </row>
    <row r="5993" spans="1:4" x14ac:dyDescent="0.2">
      <c r="A5993" s="5">
        <v>5932</v>
      </c>
      <c r="B5993" s="138">
        <f>'Revenues 9-14'!K65</f>
        <v>89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8622</v>
      </c>
      <c r="C6023" s="2" t="s">
        <v>573</v>
      </c>
      <c r="D6023" s="2" t="str">
        <f t="shared" si="93"/>
        <v>Error?</v>
      </c>
    </row>
    <row r="6024" spans="1:5" x14ac:dyDescent="0.2">
      <c r="A6024" s="5">
        <v>5963</v>
      </c>
      <c r="B6024" s="138">
        <f>'Revenues 9-14'!G109</f>
        <v>156687</v>
      </c>
      <c r="C6024" s="2" t="s">
        <v>573</v>
      </c>
      <c r="D6024" s="2" t="str">
        <f t="shared" si="93"/>
        <v>Error?</v>
      </c>
    </row>
    <row r="6025" spans="1:5" x14ac:dyDescent="0.2">
      <c r="A6025" s="5">
        <v>5964</v>
      </c>
      <c r="B6025" s="138">
        <f>'Revenues 9-14'!H109</f>
        <v>136</v>
      </c>
      <c r="C6025" s="2" t="s">
        <v>573</v>
      </c>
      <c r="D6025" s="2" t="str">
        <f t="shared" si="93"/>
        <v>Error?</v>
      </c>
    </row>
    <row r="6026" spans="1:5" x14ac:dyDescent="0.2">
      <c r="A6026" s="5">
        <v>5965</v>
      </c>
      <c r="B6026" s="138">
        <f>'Revenues 9-14'!I109</f>
        <v>8553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8622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16750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278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246054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699</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699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245355</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246054</v>
      </c>
      <c r="D6216" s="2" t="str">
        <f t="shared" si="96"/>
        <v>Error?</v>
      </c>
      <c r="E6216" s="2" t="s">
        <v>190</v>
      </c>
    </row>
    <row r="6217" spans="1:5" x14ac:dyDescent="0.2">
      <c r="A6217">
        <v>6156</v>
      </c>
      <c r="B6217" s="138">
        <f>'Assets-Liab 5-6'!J4</f>
        <v>246054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174820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174820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174820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207190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207190</v>
      </c>
      <c r="D6229" s="2" t="str">
        <f t="shared" si="96"/>
        <v>Error?</v>
      </c>
      <c r="E6229" s="2" t="s">
        <v>190</v>
      </c>
    </row>
    <row r="6230" spans="1:5" x14ac:dyDescent="0.2">
      <c r="A6230">
        <v>6169</v>
      </c>
      <c r="B6230" s="138">
        <f>'Acct Summary 7-8'!J20</f>
        <v>-32370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-32370</v>
      </c>
      <c r="D6263" s="2" t="str">
        <f t="shared" si="96"/>
        <v>Error?</v>
      </c>
      <c r="E6263" s="2" t="s">
        <v>190</v>
      </c>
    </row>
    <row r="6264" spans="1:5" x14ac:dyDescent="0.2">
      <c r="A6264">
        <v>6203</v>
      </c>
      <c r="B6264" s="138">
        <f>'Acct Summary 7-8'!J79</f>
        <v>277725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245355</v>
      </c>
      <c r="D6266" s="2" t="str">
        <f t="shared" si="96"/>
        <v>Error?</v>
      </c>
      <c r="E6266" s="2" t="s">
        <v>190</v>
      </c>
    </row>
    <row r="6267" spans="1:5" x14ac:dyDescent="0.2">
      <c r="A6267">
        <v>6206</v>
      </c>
      <c r="B6267" s="138">
        <f>'Acct Summary 7-8'!C82</f>
        <v>847423</v>
      </c>
      <c r="D6267" s="2" t="str">
        <f t="shared" si="96"/>
        <v>Error?</v>
      </c>
      <c r="E6267" s="2" t="s">
        <v>190</v>
      </c>
    </row>
    <row r="6268" spans="1:5" x14ac:dyDescent="0.2">
      <c r="A6268">
        <v>6207</v>
      </c>
      <c r="B6268" s="138">
        <f>'Acct Summary 7-8'!D82</f>
        <v>15693</v>
      </c>
      <c r="D6268" s="2" t="str">
        <f t="shared" si="96"/>
        <v>Error?</v>
      </c>
      <c r="E6268" s="2" t="s">
        <v>190</v>
      </c>
    </row>
    <row r="6269" spans="1:5" x14ac:dyDescent="0.2">
      <c r="A6269">
        <v>6208</v>
      </c>
      <c r="B6269" s="138">
        <f>'Acct Summary 7-8'!E82</f>
        <v>-385</v>
      </c>
      <c r="D6269" s="2" t="str">
        <f t="shared" si="96"/>
        <v>Error?</v>
      </c>
      <c r="E6269" s="2" t="s">
        <v>190</v>
      </c>
    </row>
    <row r="6270" spans="1:5" x14ac:dyDescent="0.2">
      <c r="A6270">
        <v>6209</v>
      </c>
      <c r="B6270" s="138">
        <f>'Acct Summary 7-8'!F82</f>
        <v>15224</v>
      </c>
      <c r="D6270" s="2" t="str">
        <f t="shared" si="96"/>
        <v>Error?</v>
      </c>
      <c r="E6270" s="2" t="s">
        <v>190</v>
      </c>
    </row>
    <row r="6271" spans="1:5" x14ac:dyDescent="0.2">
      <c r="A6271">
        <v>6210</v>
      </c>
      <c r="B6271" s="138">
        <f>'Acct Summary 7-8'!G82</f>
        <v>-54312</v>
      </c>
      <c r="D6271" s="2" t="str">
        <f t="shared" ref="D6271:D6334" si="97">IF(ISBLANK(B6271),"OK",IF(A6271-B6271=0,"OK","Error?"))</f>
        <v>Error?</v>
      </c>
      <c r="E6271" s="2" t="s">
        <v>190</v>
      </c>
    </row>
    <row r="6272" spans="1:5" x14ac:dyDescent="0.2">
      <c r="A6272">
        <v>6211</v>
      </c>
      <c r="B6272" s="138">
        <f>'Acct Summary 7-8'!H82</f>
        <v>-157087</v>
      </c>
      <c r="D6272" s="2" t="str">
        <f t="shared" si="97"/>
        <v>Error?</v>
      </c>
      <c r="E6272" s="2" t="s">
        <v>190</v>
      </c>
    </row>
    <row r="6273" spans="1:5" x14ac:dyDescent="0.2">
      <c r="A6273">
        <v>6212</v>
      </c>
      <c r="B6273" s="138">
        <f>'Acct Summary 7-8'!I82</f>
        <v>8553</v>
      </c>
      <c r="D6273" s="2" t="str">
        <f t="shared" si="97"/>
        <v>Error?</v>
      </c>
      <c r="E6273" s="2" t="s">
        <v>190</v>
      </c>
    </row>
    <row r="6274" spans="1:5" x14ac:dyDescent="0.2">
      <c r="A6274">
        <v>6213</v>
      </c>
      <c r="B6274" s="138">
        <f>'Acct Summary 7-8'!J82</f>
        <v>-32370</v>
      </c>
      <c r="D6274" s="2" t="str">
        <f t="shared" si="97"/>
        <v>Error?</v>
      </c>
      <c r="E6274" s="2" t="s">
        <v>190</v>
      </c>
    </row>
    <row r="6275" spans="1:5" x14ac:dyDescent="0.2">
      <c r="A6275">
        <v>6214</v>
      </c>
      <c r="B6275" s="138">
        <f>'Acct Summary 7-8'!K82</f>
        <v>-31378</v>
      </c>
      <c r="D6275" s="2" t="str">
        <f t="shared" si="97"/>
        <v>Error?</v>
      </c>
      <c r="E6275" s="2" t="s">
        <v>190</v>
      </c>
    </row>
    <row r="6276" spans="1:5" x14ac:dyDescent="0.2">
      <c r="A6276">
        <v>6215</v>
      </c>
      <c r="B6276" s="138">
        <f>'Acct Summary 7-8'!C83</f>
        <v>0.16134211520359704</v>
      </c>
      <c r="D6276" s="2" t="str">
        <f t="shared" si="97"/>
        <v>Error?</v>
      </c>
      <c r="E6276" s="2" t="s">
        <v>190</v>
      </c>
    </row>
    <row r="6277" spans="1:5" x14ac:dyDescent="0.2">
      <c r="A6277">
        <v>6216</v>
      </c>
      <c r="B6277" s="138">
        <f>'Acct Summary 7-8'!D83</f>
        <v>3.86781454799092E-2</v>
      </c>
      <c r="D6277" s="2" t="str">
        <f t="shared" si="97"/>
        <v>Error?</v>
      </c>
      <c r="E6277" s="2" t="s">
        <v>190</v>
      </c>
    </row>
    <row r="6278" spans="1:5" x14ac:dyDescent="0.2">
      <c r="A6278">
        <v>6217</v>
      </c>
      <c r="B6278" s="138">
        <f>'Acct Summary 7-8'!E83</f>
        <v>-1.3905945243083147E-2</v>
      </c>
      <c r="D6278" s="2" t="str">
        <f t="shared" si="97"/>
        <v>Error?</v>
      </c>
      <c r="E6278" s="2" t="s">
        <v>190</v>
      </c>
    </row>
    <row r="6279" spans="1:5" x14ac:dyDescent="0.2">
      <c r="A6279">
        <v>6218</v>
      </c>
      <c r="B6279" s="138">
        <f>'Acct Summary 7-8'!F83</f>
        <v>0.1044055522027761</v>
      </c>
      <c r="D6279" s="2" t="str">
        <f t="shared" si="97"/>
        <v>Error?</v>
      </c>
      <c r="E6279" s="2" t="s">
        <v>190</v>
      </c>
    </row>
    <row r="6280" spans="1:5" x14ac:dyDescent="0.2">
      <c r="A6280">
        <v>6219</v>
      </c>
      <c r="B6280" s="138">
        <f>'Acct Summary 7-8'!G83</f>
        <v>-0.16948348603240382</v>
      </c>
      <c r="D6280" s="2" t="str">
        <f t="shared" si="97"/>
        <v>Error?</v>
      </c>
      <c r="E6280" s="2" t="s">
        <v>190</v>
      </c>
    </row>
    <row r="6281" spans="1:5" x14ac:dyDescent="0.2">
      <c r="A6281">
        <v>6220</v>
      </c>
      <c r="B6281" s="138">
        <f>'Acct Summary 7-8'!H83</f>
        <v>-3.348046633559965</v>
      </c>
      <c r="D6281" s="2" t="str">
        <f t="shared" si="97"/>
        <v>Error?</v>
      </c>
      <c r="E6281" s="2" t="s">
        <v>190</v>
      </c>
    </row>
    <row r="6282" spans="1:5" x14ac:dyDescent="0.2">
      <c r="A6282">
        <v>6221</v>
      </c>
      <c r="B6282" s="138">
        <f>'Acct Summary 7-8'!I83</f>
        <v>0.50190716507247224</v>
      </c>
      <c r="D6282" s="2" t="str">
        <f t="shared" si="97"/>
        <v>Error?</v>
      </c>
      <c r="E6282" s="2" t="s">
        <v>190</v>
      </c>
    </row>
    <row r="6283" spans="1:5" x14ac:dyDescent="0.2">
      <c r="A6283">
        <v>6222</v>
      </c>
      <c r="B6283" s="138">
        <f>'Acct Summary 7-8'!J83</f>
        <v>-0.13193128324264841</v>
      </c>
      <c r="D6283" s="2" t="str">
        <f t="shared" si="97"/>
        <v>Error?</v>
      </c>
      <c r="E6283" s="2" t="s">
        <v>190</v>
      </c>
    </row>
    <row r="6284" spans="1:5" x14ac:dyDescent="0.2">
      <c r="A6284">
        <v>6223</v>
      </c>
      <c r="B6284" s="138">
        <f>'Acct Summary 7-8'!K83</f>
        <v>-0.9018221532448123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174132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174132</v>
      </c>
      <c r="D6301" s="2" t="str">
        <f t="shared" si="97"/>
        <v>Error?</v>
      </c>
      <c r="E6301" s="2" t="s">
        <v>190</v>
      </c>
    </row>
    <row r="6302" spans="1:5" x14ac:dyDescent="0.2">
      <c r="A6302">
        <v>6241</v>
      </c>
      <c r="B6302" s="138">
        <f>'Revenues 9-14'!J14</f>
        <v>279</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279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409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409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174820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166817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223117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47506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108707</v>
      </c>
      <c r="D6983" s="2" t="str">
        <f t="shared" si="108"/>
        <v>Error?</v>
      </c>
    </row>
    <row r="6984" spans="1:4" x14ac:dyDescent="0.2">
      <c r="A6984">
        <v>6923</v>
      </c>
      <c r="B6984" s="138">
        <f>'Expenditures 15-22'!K86</f>
        <v>108707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108707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58115</v>
      </c>
      <c r="D7006" s="2" t="str">
        <f t="shared" si="108"/>
        <v>Error?</v>
      </c>
    </row>
    <row r="7007" spans="1:4" x14ac:dyDescent="0.2">
      <c r="A7007">
        <v>6946</v>
      </c>
      <c r="B7007" s="138">
        <f>'Expenditures 15-22'!K98</f>
        <v>58115</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58115</v>
      </c>
      <c r="D7012" s="2" t="str">
        <f t="shared" si="108"/>
        <v>Error?</v>
      </c>
    </row>
    <row r="7013" spans="1:4" x14ac:dyDescent="0.2">
      <c r="A7013">
        <v>6952</v>
      </c>
      <c r="B7013" s="138">
        <f>'Expenditures 15-22'!K100</f>
        <v>58115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207190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174820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12261</v>
      </c>
      <c r="D7073" s="2" t="str">
        <f t="shared" si="109"/>
        <v>Error?</v>
      </c>
    </row>
    <row r="7074" spans="1:4" x14ac:dyDescent="0.2">
      <c r="A7074">
        <v>7013</v>
      </c>
      <c r="B7074" s="138">
        <f>'Expenditures 15-22'!K216</f>
        <v>12261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285</v>
      </c>
      <c r="D7079" s="2" t="str">
        <f t="shared" si="109"/>
        <v>Error?</v>
      </c>
    </row>
    <row r="7080" spans="1:4" x14ac:dyDescent="0.2">
      <c r="A7080">
        <v>7019</v>
      </c>
      <c r="B7080" s="138">
        <f>'Expenditures 15-22'!K226</f>
        <v>285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9822</v>
      </c>
      <c r="D7093" s="2" t="str">
        <f t="shared" si="109"/>
        <v>Error?</v>
      </c>
    </row>
    <row r="7094" spans="1:4" x14ac:dyDescent="0.2">
      <c r="A7094">
        <v>7033</v>
      </c>
      <c r="B7094" s="138">
        <f>'Expenditures 15-22'!K254</f>
        <v>9822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47620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47620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1234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1234</v>
      </c>
      <c r="D7153" s="2" t="str">
        <f t="shared" si="110"/>
        <v>Error?</v>
      </c>
    </row>
    <row r="7154" spans="1:4" x14ac:dyDescent="0.2">
      <c r="A7154">
        <v>7093</v>
      </c>
      <c r="B7154" s="138">
        <f>'Expenditures 15-22'!C323</f>
        <v>116809</v>
      </c>
      <c r="D7154" s="2" t="str">
        <f t="shared" si="110"/>
        <v>Error?</v>
      </c>
    </row>
    <row r="7155" spans="1:4" x14ac:dyDescent="0.2">
      <c r="A7155">
        <v>7094</v>
      </c>
      <c r="B7155" s="138">
        <f>'Expenditures 15-22'!D323</f>
        <v>23979</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140788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17548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17548</v>
      </c>
      <c r="D7198" s="2" t="str">
        <f t="shared" si="111"/>
        <v>Error?</v>
      </c>
    </row>
    <row r="7199" spans="1:4" x14ac:dyDescent="0.2">
      <c r="A7199">
        <v>7138</v>
      </c>
      <c r="B7199" s="138">
        <f>'Expenditures 15-22'!C330</f>
        <v>116809</v>
      </c>
      <c r="D7199" s="2" t="str">
        <f t="shared" si="111"/>
        <v>Error?</v>
      </c>
    </row>
    <row r="7200" spans="1:4" x14ac:dyDescent="0.2">
      <c r="A7200">
        <v>7139</v>
      </c>
      <c r="B7200" s="138">
        <f>'Expenditures 15-22'!D330</f>
        <v>23979</v>
      </c>
      <c r="D7200" s="2" t="str">
        <f t="shared" si="111"/>
        <v>Error?</v>
      </c>
    </row>
    <row r="7201" spans="1:4" x14ac:dyDescent="0.2">
      <c r="A7201">
        <v>7140</v>
      </c>
      <c r="B7201" s="138">
        <f>'Expenditures 15-22'!E330</f>
        <v>66402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207190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116809</v>
      </c>
      <c r="D7216" s="2" t="str">
        <f t="shared" si="111"/>
        <v>Error?</v>
      </c>
    </row>
    <row r="7217" spans="1:4" x14ac:dyDescent="0.2">
      <c r="A7217">
        <v>7156</v>
      </c>
      <c r="B7217" s="138">
        <f>'Expenditures 15-22'!D342</f>
        <v>23979</v>
      </c>
      <c r="D7217" s="2" t="str">
        <f t="shared" si="111"/>
        <v>Error?</v>
      </c>
    </row>
    <row r="7218" spans="1:4" x14ac:dyDescent="0.2">
      <c r="A7218">
        <v>7157</v>
      </c>
      <c r="B7218" s="138">
        <f>'Expenditures 15-22'!E342</f>
        <v>66402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207190</v>
      </c>
      <c r="D7224" s="2" t="str">
        <f t="shared" si="111"/>
        <v>Error?</v>
      </c>
    </row>
    <row r="7225" spans="1:4" x14ac:dyDescent="0.2">
      <c r="A7225">
        <v>7164</v>
      </c>
      <c r="B7225" s="138">
        <f>'Expenditures 15-22'!K343</f>
        <v>-32370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41288</v>
      </c>
      <c r="D7246" s="2" t="str">
        <f t="shared" si="112"/>
        <v>Error?</v>
      </c>
    </row>
    <row r="7247" spans="1:4" x14ac:dyDescent="0.2">
      <c r="A7247">
        <f t="shared" si="113"/>
        <v>7186</v>
      </c>
      <c r="B7247" s="138">
        <f>'Expenditures 15-22'!E7</f>
        <v>2054</v>
      </c>
      <c r="D7247" s="2" t="str">
        <f t="shared" si="112"/>
        <v>Error?</v>
      </c>
    </row>
    <row r="7248" spans="1:4" x14ac:dyDescent="0.2">
      <c r="A7248">
        <f t="shared" si="113"/>
        <v>7187</v>
      </c>
      <c r="B7248" s="138">
        <f>'Expenditures 15-22'!F7</f>
        <v>10117</v>
      </c>
      <c r="D7248" s="2" t="str">
        <f t="shared" si="112"/>
        <v>Error?</v>
      </c>
    </row>
    <row r="7249" spans="1:4" x14ac:dyDescent="0.2">
      <c r="A7249">
        <f t="shared" si="113"/>
        <v>7188</v>
      </c>
      <c r="B7249" s="138">
        <f>'Expenditures 15-22'!G7</f>
        <v>2841</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19651</v>
      </c>
      <c r="D7263" s="2" t="str">
        <f t="shared" si="112"/>
        <v>Error?</v>
      </c>
    </row>
    <row r="7264" spans="1:4" x14ac:dyDescent="0.2">
      <c r="A7264">
        <f t="shared" si="113"/>
        <v>7203</v>
      </c>
      <c r="B7264" s="138">
        <f>'Expenditures 15-22'!D17</f>
        <v>4584</v>
      </c>
      <c r="D7264" s="2" t="str">
        <f t="shared" si="112"/>
        <v>Error?</v>
      </c>
    </row>
    <row r="7265" spans="1:5" x14ac:dyDescent="0.2">
      <c r="A7265">
        <f t="shared" si="113"/>
        <v>7204</v>
      </c>
      <c r="B7265" s="138">
        <f>'Expenditures 15-22'!E17</f>
        <v>348</v>
      </c>
      <c r="D7265" s="2" t="str">
        <f t="shared" si="112"/>
        <v>Error?</v>
      </c>
    </row>
    <row r="7266" spans="1:5" x14ac:dyDescent="0.2">
      <c r="A7266">
        <f t="shared" si="113"/>
        <v>7205</v>
      </c>
      <c r="B7266" s="138">
        <f>'Expenditures 15-22'!F17</f>
        <v>923</v>
      </c>
      <c r="D7266" s="2" t="str">
        <f t="shared" si="112"/>
        <v>Error?</v>
      </c>
    </row>
    <row r="7267" spans="1:5" x14ac:dyDescent="0.2">
      <c r="A7267">
        <f t="shared" si="113"/>
        <v>7206</v>
      </c>
      <c r="B7267" s="138">
        <f>'Expenditures 15-22'!G17</f>
        <v>22000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2085</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2085</v>
      </c>
      <c r="D7609" s="2" t="str">
        <f t="shared" si="122"/>
        <v>Error?</v>
      </c>
      <c r="E7609" s="2" t="s">
        <v>19</v>
      </c>
    </row>
    <row r="7610" spans="1:5" x14ac:dyDescent="0.2">
      <c r="A7610">
        <f t="shared" si="123"/>
        <v>7549</v>
      </c>
      <c r="B7610" s="138">
        <f>'Cap Outlay Deprec 26'!H9</f>
        <v>493</v>
      </c>
      <c r="D7610" s="2" t="str">
        <f t="shared" si="122"/>
        <v>Error?</v>
      </c>
      <c r="E7610" s="2" t="s">
        <v>19</v>
      </c>
    </row>
    <row r="7611" spans="1:5" x14ac:dyDescent="0.2">
      <c r="A7611">
        <f t="shared" si="123"/>
        <v>7550</v>
      </c>
      <c r="B7611" s="138">
        <f>'Cap Outlay Deprec 26'!I9</f>
        <v>84</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577</v>
      </c>
      <c r="D7613" s="2" t="str">
        <f t="shared" si="122"/>
        <v>Error?</v>
      </c>
      <c r="E7613" s="2" t="s">
        <v>19</v>
      </c>
    </row>
    <row r="7614" spans="1:5" x14ac:dyDescent="0.2">
      <c r="A7614">
        <f t="shared" si="123"/>
        <v>7553</v>
      </c>
      <c r="B7614" s="138">
        <f>'Cap Outlay Deprec 26'!L9</f>
        <v>1508</v>
      </c>
      <c r="D7614" s="2" t="str">
        <f t="shared" si="122"/>
        <v>Error?</v>
      </c>
      <c r="E7614" s="2" t="s">
        <v>19</v>
      </c>
    </row>
    <row r="7615" spans="1:5" x14ac:dyDescent="0.2">
      <c r="A7615">
        <f t="shared" si="123"/>
        <v>7554</v>
      </c>
      <c r="B7615" s="138">
        <f>'Cap Outlay Deprec 26'!C14</f>
        <v>29948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29948</v>
      </c>
      <c r="D7618" s="2" t="str">
        <f t="shared" si="124"/>
        <v>Error?</v>
      </c>
      <c r="E7618" s="2" t="s">
        <v>19</v>
      </c>
    </row>
    <row r="7619" spans="1:5" x14ac:dyDescent="0.2">
      <c r="A7619">
        <f t="shared" si="123"/>
        <v>7558</v>
      </c>
      <c r="B7619" s="138">
        <f>'Cap Outlay Deprec 26'!H14</f>
        <v>29948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29948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198044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6195</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3890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3890</v>
      </c>
      <c r="D7719" s="2" t="str">
        <f t="shared" si="126"/>
        <v>Error?</v>
      </c>
      <c r="E7719" s="2" t="s">
        <v>827</v>
      </c>
    </row>
    <row r="7720" spans="1:6" x14ac:dyDescent="0.2">
      <c r="A7720">
        <v>7659</v>
      </c>
      <c r="B7720" s="138">
        <f>'Rest Tax Levies-Tort Im 25'!H14</f>
        <v>6815</v>
      </c>
      <c r="D7720" s="2" t="str">
        <f t="shared" si="126"/>
        <v>Error?</v>
      </c>
      <c r="E7720" s="2" t="s">
        <v>827</v>
      </c>
    </row>
    <row r="7721" spans="1:6" x14ac:dyDescent="0.2">
      <c r="A7721">
        <v>7660</v>
      </c>
      <c r="B7721" s="138">
        <f>'Rest Tax Levies-Tort Im 25'!K14</f>
        <v>3890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745554</v>
      </c>
      <c r="D7797" s="2" t="str">
        <f t="shared" si="127"/>
        <v>Error?</v>
      </c>
      <c r="E7797" s="4" t="s">
        <v>1901</v>
      </c>
    </row>
    <row r="7798" spans="1:5" x14ac:dyDescent="0.2">
      <c r="A7798">
        <v>7737</v>
      </c>
      <c r="B7798" s="138">
        <f>'Contracts Paid in CY 29'!F141</f>
        <v>75000</v>
      </c>
      <c r="D7798" s="2" t="str">
        <f t="shared" si="127"/>
        <v>Error?</v>
      </c>
      <c r="E7798" s="4" t="s">
        <v>1901</v>
      </c>
    </row>
    <row r="7799" spans="1:5" x14ac:dyDescent="0.2">
      <c r="A7799">
        <v>7738</v>
      </c>
      <c r="B7799" s="138">
        <f>'Contracts Paid in CY 29'!G141</f>
        <v>670554</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9" t="s">
        <v>1191</v>
      </c>
      <c r="B2" s="2389"/>
      <c r="C2" s="2389"/>
      <c r="D2" s="2389"/>
      <c r="E2" s="2389"/>
      <c r="F2" s="2389"/>
      <c r="G2" s="2389"/>
      <c r="H2" s="2389"/>
      <c r="I2" s="2389"/>
      <c r="J2" s="2389"/>
      <c r="K2" s="2389"/>
      <c r="L2" s="2389"/>
    </row>
    <row r="3" spans="1:29" ht="13.5" customHeight="1" x14ac:dyDescent="0.2">
      <c r="A3" s="2420" t="s">
        <v>1190</v>
      </c>
      <c r="B3" s="2420"/>
      <c r="C3" s="2420"/>
      <c r="D3" s="2420"/>
      <c r="E3" s="2420"/>
      <c r="F3" s="2420"/>
      <c r="G3" s="2420"/>
      <c r="H3" s="2420"/>
      <c r="I3" s="2420"/>
      <c r="J3" s="2420"/>
      <c r="K3" s="2420"/>
      <c r="L3" s="2420"/>
    </row>
    <row r="4" spans="1:29" ht="13.5" customHeight="1" x14ac:dyDescent="0.2">
      <c r="A4" s="2389" t="s">
        <v>1986</v>
      </c>
      <c r="B4" s="2410"/>
      <c r="C4" s="2410"/>
      <c r="D4" s="2410"/>
      <c r="E4" s="2410"/>
      <c r="F4" s="2410"/>
      <c r="G4" s="2410"/>
      <c r="H4" s="2410"/>
      <c r="I4" s="2410"/>
      <c r="J4" s="2410"/>
      <c r="K4" s="2410"/>
      <c r="L4" s="241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1" t="str">
        <f>COVER!A17</f>
        <v>Cairo USD 1</v>
      </c>
      <c r="B7" s="2412"/>
      <c r="C7" s="2412"/>
      <c r="D7" s="2413"/>
      <c r="E7" s="2414">
        <f>COVER!A13</f>
        <v>30002001022</v>
      </c>
      <c r="F7" s="2415"/>
      <c r="G7" s="2421" t="str">
        <f>COVER!T23</f>
        <v>066-003889</v>
      </c>
      <c r="H7" s="2422"/>
      <c r="I7" s="2422"/>
      <c r="J7" s="2422"/>
      <c r="K7" s="2422"/>
      <c r="L7" s="242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4"/>
      <c r="B9" s="2425"/>
      <c r="C9" s="2425"/>
      <c r="D9" s="2425"/>
      <c r="E9" s="2425"/>
      <c r="F9" s="2426"/>
      <c r="G9" s="2395" t="str">
        <f>COVER!T13</f>
        <v>Beussink, Hey, Roe &amp; Stroder, LLC</v>
      </c>
      <c r="H9" s="2427"/>
      <c r="I9" s="2427"/>
      <c r="J9" s="2427"/>
      <c r="K9" s="2427"/>
      <c r="L9" s="2428"/>
    </row>
    <row r="10" spans="1:29" ht="13.5" customHeight="1" x14ac:dyDescent="0.2">
      <c r="A10" s="2401" t="str">
        <f>COVER!A38</f>
        <v>Andrea Evers</v>
      </c>
      <c r="B10" s="2402"/>
      <c r="C10" s="2402"/>
      <c r="D10" s="2402"/>
      <c r="E10" s="2402"/>
      <c r="F10" s="2403"/>
      <c r="G10" s="2395" t="str">
        <f>COVER!T17</f>
        <v>16 South Silver Springs Road</v>
      </c>
      <c r="H10" s="2396"/>
      <c r="I10" s="2396"/>
      <c r="J10" s="2396"/>
      <c r="K10" s="2396"/>
      <c r="L10" s="2397"/>
    </row>
    <row r="11" spans="1:29" ht="13.5" customHeight="1" x14ac:dyDescent="0.2">
      <c r="A11" s="1184" t="s">
        <v>1519</v>
      </c>
      <c r="B11" s="1185"/>
      <c r="C11" s="1186"/>
      <c r="D11" s="1191"/>
      <c r="E11" s="1186"/>
      <c r="F11" s="1190"/>
      <c r="G11" s="2395" t="str">
        <f>COVER!T19</f>
        <v>Cape Girardeau</v>
      </c>
      <c r="H11" s="2396"/>
      <c r="I11" s="2396"/>
      <c r="J11" s="2396"/>
      <c r="K11" s="2396"/>
      <c r="L11" s="2397"/>
    </row>
    <row r="12" spans="1:29" ht="13.5" customHeight="1" x14ac:dyDescent="0.2">
      <c r="A12" s="2404" t="s">
        <v>1518</v>
      </c>
      <c r="B12" s="2405"/>
      <c r="C12" s="2405"/>
      <c r="D12" s="2405"/>
      <c r="E12" s="2405"/>
      <c r="F12" s="2406"/>
      <c r="G12" s="2398"/>
      <c r="H12" s="2399"/>
      <c r="I12" s="2399"/>
      <c r="J12" s="2399"/>
      <c r="K12" s="2399"/>
      <c r="L12" s="2400"/>
    </row>
    <row r="13" spans="1:29" ht="13.5" customHeight="1" x14ac:dyDescent="0.2">
      <c r="A13" s="2395"/>
      <c r="B13" s="2396"/>
      <c r="C13" s="2396"/>
      <c r="D13" s="2396"/>
      <c r="E13" s="2396"/>
      <c r="F13" s="2397"/>
      <c r="G13" s="2390" t="s">
        <v>1520</v>
      </c>
      <c r="H13" s="2391"/>
      <c r="I13" s="2407" t="str">
        <f>COVER!T25</f>
        <v>jstroder@bhrcpas.com</v>
      </c>
      <c r="J13" s="2408"/>
      <c r="K13" s="2408"/>
      <c r="L13" s="2409"/>
    </row>
    <row r="14" spans="1:29" ht="13.5" customHeight="1" x14ac:dyDescent="0.2">
      <c r="A14" s="2395" t="str">
        <f>COVER!A19</f>
        <v>4201 Sycamore</v>
      </c>
      <c r="B14" s="2396"/>
      <c r="C14" s="2396"/>
      <c r="D14" s="2396"/>
      <c r="E14" s="2396"/>
      <c r="F14" s="2397"/>
      <c r="G14" s="1195" t="s">
        <v>1185</v>
      </c>
      <c r="H14" s="1193"/>
      <c r="I14" s="1193"/>
      <c r="J14" s="1193"/>
      <c r="K14" s="1193"/>
      <c r="L14" s="1194"/>
    </row>
    <row r="15" spans="1:29" ht="13.5" customHeight="1" x14ac:dyDescent="0.2">
      <c r="A15" s="2395" t="str">
        <f>COVER!A21</f>
        <v>Cairo</v>
      </c>
      <c r="B15" s="2396"/>
      <c r="C15" s="2396"/>
      <c r="D15" s="2396"/>
      <c r="E15" s="2396"/>
      <c r="F15" s="2397"/>
      <c r="G15" s="2392" t="str">
        <f>COVER!T15</f>
        <v>Jeffery C. Stroder, CPA</v>
      </c>
      <c r="H15" s="2393"/>
      <c r="I15" s="2393"/>
      <c r="J15" s="2393"/>
      <c r="K15" s="2393"/>
      <c r="L15" s="2394"/>
    </row>
    <row r="16" spans="1:29" ht="12.2" customHeight="1" x14ac:dyDescent="0.2">
      <c r="A16" s="2417">
        <f>COVER!A25</f>
        <v>62914</v>
      </c>
      <c r="B16" s="2418"/>
      <c r="C16" s="2418"/>
      <c r="D16" s="2418"/>
      <c r="E16" s="2418"/>
      <c r="F16" s="2419"/>
      <c r="G16" s="2429"/>
      <c r="H16" s="2430"/>
      <c r="I16" s="2430"/>
      <c r="J16" s="2430"/>
      <c r="K16" s="2430"/>
      <c r="L16" s="2431"/>
    </row>
    <row r="17" spans="1:13" ht="12.2" customHeight="1" x14ac:dyDescent="0.2">
      <c r="A17" s="2432"/>
      <c r="B17" s="2418"/>
      <c r="C17" s="2418"/>
      <c r="D17" s="2418"/>
      <c r="E17" s="2418"/>
      <c r="F17" s="2419"/>
      <c r="G17" s="1195" t="s">
        <v>1184</v>
      </c>
      <c r="H17" s="1193"/>
      <c r="I17" s="1193"/>
      <c r="J17" s="1193"/>
      <c r="K17" s="1197" t="s">
        <v>1183</v>
      </c>
      <c r="L17" s="1190"/>
      <c r="M17" s="1183"/>
    </row>
    <row r="18" spans="1:13" ht="12.2" customHeight="1" x14ac:dyDescent="0.2">
      <c r="A18" s="2401"/>
      <c r="B18" s="2402"/>
      <c r="C18" s="2402"/>
      <c r="D18" s="2402"/>
      <c r="E18" s="2402"/>
      <c r="F18" s="2403"/>
      <c r="G18" s="2411" t="str">
        <f>COVER!T21</f>
        <v>573-334-7971</v>
      </c>
      <c r="H18" s="2412"/>
      <c r="I18" s="2412"/>
      <c r="J18" s="2412"/>
      <c r="K18" s="2411" t="str">
        <f>COVER!X21</f>
        <v>573-334-8875</v>
      </c>
      <c r="L18" s="241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Cairo USD 1</v>
      </c>
      <c r="B1" s="2410"/>
      <c r="C1" s="2410"/>
      <c r="D1" s="2410"/>
    </row>
    <row r="2" spans="1:11" s="1212" customFormat="1" ht="12.75" x14ac:dyDescent="0.2">
      <c r="A2" s="2434">
        <f>'Single Audit Cover'!E7</f>
        <v>30002001022</v>
      </c>
      <c r="B2" s="2435"/>
      <c r="C2" s="2435"/>
      <c r="D2" s="2435"/>
    </row>
    <row r="3" spans="1:11" s="1212" customFormat="1" ht="12.75" x14ac:dyDescent="0.2">
      <c r="A3" s="2433" t="s">
        <v>1513</v>
      </c>
      <c r="B3" s="2410"/>
      <c r="C3" s="2410"/>
      <c r="D3" s="241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Cairo USD 1</v>
      </c>
      <c r="B1" s="2437"/>
      <c r="C1" s="2437"/>
      <c r="D1" s="2437"/>
      <c r="E1" s="2437"/>
    </row>
    <row r="2" spans="1:5" x14ac:dyDescent="0.2">
      <c r="A2" s="2438">
        <f>'Single Audit Cover'!E7</f>
        <v>30002001022</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1216663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16750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-18705</v>
      </c>
    </row>
    <row r="19" spans="1:4" ht="13.5" thickBot="1" x14ac:dyDescent="0.25">
      <c r="A19" s="1262" t="s">
        <v>1235</v>
      </c>
      <c r="D19" s="1263">
        <f>SUM(D10:D17)</f>
        <v>1214708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c r="B24" s="2439"/>
      <c r="D24" s="1265"/>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1214708</v>
      </c>
    </row>
    <row r="33" spans="1:4" x14ac:dyDescent="0.2">
      <c r="D33" s="1266"/>
    </row>
    <row r="34" spans="1:4" x14ac:dyDescent="0.2">
      <c r="A34" s="317" t="s">
        <v>1232</v>
      </c>
    </row>
    <row r="35" spans="1:4" x14ac:dyDescent="0.2">
      <c r="A35" s="317" t="s">
        <v>1231</v>
      </c>
      <c r="B35" s="1255" t="s">
        <v>1230</v>
      </c>
      <c r="D35" s="1267">
        <v>1214708</v>
      </c>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1214708</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zoomScaleNormal="100" workbookViewId="0">
      <selection activeCell="K9" sqref="A1:XFD1048576"/>
    </sheetView>
  </sheetViews>
  <sheetFormatPr defaultColWidth="33.5703125" defaultRowHeight="12.75" x14ac:dyDescent="0.2"/>
  <cols>
    <col min="1" max="1" width="0.140625" style="317" customWidth="1"/>
    <col min="2" max="2" width="41.42578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Cairo USD 1</v>
      </c>
      <c r="C1" s="2441"/>
      <c r="D1" s="2441"/>
      <c r="E1" s="2441"/>
      <c r="F1" s="2441"/>
      <c r="G1" s="2441"/>
      <c r="H1" s="2441"/>
      <c r="I1" s="2441"/>
      <c r="J1" s="2441"/>
      <c r="K1" s="2441"/>
      <c r="L1" s="2441"/>
      <c r="M1" s="2441"/>
    </row>
    <row r="2" spans="2:14" ht="15" x14ac:dyDescent="0.2">
      <c r="B2" s="2442">
        <f>'Single Audit Cover'!E7</f>
        <v>30002001022</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2092</v>
      </c>
      <c r="C11" s="1335"/>
      <c r="D11" s="1336"/>
      <c r="E11" s="1337"/>
      <c r="F11" s="1337"/>
      <c r="G11" s="1337"/>
      <c r="H11" s="1337"/>
      <c r="I11" s="1337"/>
      <c r="J11" s="1337"/>
      <c r="K11" s="1337"/>
      <c r="L11" s="1337"/>
      <c r="M11" s="1337"/>
    </row>
    <row r="12" spans="2:14" ht="20.100000000000001" customHeight="1" x14ac:dyDescent="0.2">
      <c r="B12" s="1334" t="s">
        <v>2093</v>
      </c>
      <c r="C12" s="1338"/>
      <c r="D12" s="1339"/>
      <c r="E12" s="1340"/>
      <c r="F12" s="1340"/>
      <c r="G12" s="1340"/>
      <c r="H12" s="1340"/>
      <c r="I12" s="1340"/>
      <c r="J12" s="1340"/>
      <c r="K12" s="1340"/>
      <c r="L12" s="1337"/>
      <c r="M12" s="1340"/>
    </row>
    <row r="13" spans="2:14" ht="20.100000000000001" customHeight="1" x14ac:dyDescent="0.2">
      <c r="B13" s="1334" t="s">
        <v>2094</v>
      </c>
      <c r="C13" s="1338">
        <v>10.553000000000001</v>
      </c>
      <c r="D13" s="1339" t="s">
        <v>2095</v>
      </c>
      <c r="E13" s="1340">
        <v>70020</v>
      </c>
      <c r="F13" s="1340">
        <v>15521</v>
      </c>
      <c r="G13" s="1340">
        <v>70020</v>
      </c>
      <c r="H13" s="1340"/>
      <c r="I13" s="1340">
        <v>15521</v>
      </c>
      <c r="J13" s="1340"/>
      <c r="K13" s="1340"/>
      <c r="L13" s="1337">
        <f t="shared" ref="L13:L24" si="0">+G13+I13+K13</f>
        <v>85541</v>
      </c>
      <c r="M13" s="1340"/>
    </row>
    <row r="14" spans="2:14" ht="20.100000000000001" customHeight="1" x14ac:dyDescent="0.2">
      <c r="B14" s="1334" t="s">
        <v>2094</v>
      </c>
      <c r="C14" s="1338">
        <v>10.553000000000001</v>
      </c>
      <c r="D14" s="1339" t="s">
        <v>2096</v>
      </c>
      <c r="E14" s="1340"/>
      <c r="F14" s="1340">
        <v>61589</v>
      </c>
      <c r="G14" s="1340"/>
      <c r="H14" s="1340"/>
      <c r="I14" s="1340">
        <v>61589</v>
      </c>
      <c r="J14" s="1340"/>
      <c r="K14" s="1340"/>
      <c r="L14" s="1337">
        <f t="shared" si="0"/>
        <v>61589</v>
      </c>
      <c r="M14" s="1340"/>
    </row>
    <row r="15" spans="2:14" ht="20.100000000000001" customHeight="1" x14ac:dyDescent="0.2">
      <c r="B15" s="1334" t="s">
        <v>2097</v>
      </c>
      <c r="C15" s="1338"/>
      <c r="D15" s="1339"/>
      <c r="E15" s="1340">
        <f t="shared" ref="E15:K15" si="1">E13+E14</f>
        <v>70020</v>
      </c>
      <c r="F15" s="1340">
        <f t="shared" si="1"/>
        <v>77110</v>
      </c>
      <c r="G15" s="1340">
        <f t="shared" si="1"/>
        <v>70020</v>
      </c>
      <c r="H15" s="1340">
        <f t="shared" si="1"/>
        <v>0</v>
      </c>
      <c r="I15" s="1340">
        <f t="shared" si="1"/>
        <v>77110</v>
      </c>
      <c r="J15" s="1340">
        <f t="shared" si="1"/>
        <v>0</v>
      </c>
      <c r="K15" s="1340">
        <f t="shared" si="1"/>
        <v>0</v>
      </c>
      <c r="L15" s="1337">
        <f t="shared" si="0"/>
        <v>147130</v>
      </c>
      <c r="M15" s="1340">
        <f>M13+M14</f>
        <v>0</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2093</v>
      </c>
      <c r="C17" s="1338"/>
      <c r="D17" s="1339"/>
      <c r="E17" s="1340"/>
      <c r="F17" s="1340"/>
      <c r="G17" s="1340"/>
      <c r="H17" s="1340"/>
      <c r="I17" s="1340"/>
      <c r="J17" s="1340"/>
      <c r="K17" s="1340"/>
      <c r="L17" s="1337"/>
      <c r="M17" s="1340"/>
    </row>
    <row r="18" spans="2:14" ht="20.100000000000001" customHeight="1" x14ac:dyDescent="0.2">
      <c r="B18" s="1334" t="s">
        <v>2098</v>
      </c>
      <c r="C18" s="1338">
        <v>10.555</v>
      </c>
      <c r="D18" s="1339" t="s">
        <v>2101</v>
      </c>
      <c r="E18" s="1340">
        <v>144088</v>
      </c>
      <c r="F18" s="1340">
        <v>32730</v>
      </c>
      <c r="G18" s="1340">
        <v>144088</v>
      </c>
      <c r="H18" s="1340"/>
      <c r="I18" s="1340">
        <v>32730</v>
      </c>
      <c r="J18" s="1340"/>
      <c r="K18" s="1340"/>
      <c r="L18" s="1337">
        <f t="shared" si="0"/>
        <v>176818</v>
      </c>
      <c r="M18" s="1340"/>
    </row>
    <row r="19" spans="2:14" ht="20.100000000000001" customHeight="1" x14ac:dyDescent="0.2">
      <c r="B19" s="1334" t="s">
        <v>2098</v>
      </c>
      <c r="C19" s="1338">
        <v>10.555</v>
      </c>
      <c r="D19" s="1339" t="s">
        <v>2102</v>
      </c>
      <c r="E19" s="1340"/>
      <c r="F19" s="1340">
        <v>129725</v>
      </c>
      <c r="G19" s="1340"/>
      <c r="H19" s="1340"/>
      <c r="I19" s="1340">
        <v>129725</v>
      </c>
      <c r="J19" s="1340"/>
      <c r="K19" s="1340"/>
      <c r="L19" s="1337">
        <f t="shared" si="0"/>
        <v>129725</v>
      </c>
      <c r="M19" s="1340"/>
    </row>
    <row r="20" spans="2:14" ht="20.100000000000001" customHeight="1" x14ac:dyDescent="0.2">
      <c r="B20" s="1334" t="s">
        <v>2099</v>
      </c>
      <c r="C20" s="1338">
        <v>10.555</v>
      </c>
      <c r="D20" s="1339" t="s">
        <v>2103</v>
      </c>
      <c r="E20" s="1340">
        <v>4677</v>
      </c>
      <c r="F20" s="1340"/>
      <c r="G20" s="1340">
        <v>4677</v>
      </c>
      <c r="H20" s="1340"/>
      <c r="I20" s="1340"/>
      <c r="J20" s="1340"/>
      <c r="K20" s="1340"/>
      <c r="L20" s="1337">
        <f t="shared" si="0"/>
        <v>4677</v>
      </c>
      <c r="M20" s="1340"/>
    </row>
    <row r="21" spans="2:14" ht="20.100000000000001" customHeight="1" x14ac:dyDescent="0.2">
      <c r="B21" s="1334" t="s">
        <v>2099</v>
      </c>
      <c r="C21" s="1338">
        <v>10.555</v>
      </c>
      <c r="D21" s="1339" t="s">
        <v>2104</v>
      </c>
      <c r="E21" s="1340"/>
      <c r="F21" s="1340">
        <v>3747</v>
      </c>
      <c r="G21" s="1340"/>
      <c r="H21" s="1340"/>
      <c r="I21" s="1340">
        <v>3747</v>
      </c>
      <c r="J21" s="1340"/>
      <c r="K21" s="1340"/>
      <c r="L21" s="1337">
        <f t="shared" si="0"/>
        <v>3747</v>
      </c>
      <c r="M21" s="1340"/>
    </row>
    <row r="22" spans="2:14" ht="20.100000000000001" customHeight="1" x14ac:dyDescent="0.2">
      <c r="B22" s="1334" t="s">
        <v>2100</v>
      </c>
      <c r="C22" s="1338">
        <v>10.555</v>
      </c>
      <c r="D22" s="1339" t="s">
        <v>2103</v>
      </c>
      <c r="E22" s="1340">
        <v>16229</v>
      </c>
      <c r="F22" s="1340"/>
      <c r="G22" s="1340">
        <v>16229</v>
      </c>
      <c r="H22" s="1340"/>
      <c r="I22" s="1340"/>
      <c r="J22" s="1340"/>
      <c r="K22" s="1340"/>
      <c r="L22" s="1337">
        <f t="shared" si="0"/>
        <v>16229</v>
      </c>
      <c r="M22" s="1340"/>
    </row>
    <row r="23" spans="2:14" ht="20.100000000000001" customHeight="1" x14ac:dyDescent="0.2">
      <c r="B23" s="1334" t="s">
        <v>2100</v>
      </c>
      <c r="C23" s="1338">
        <v>10.555</v>
      </c>
      <c r="D23" s="1339" t="s">
        <v>2104</v>
      </c>
      <c r="E23" s="1340"/>
      <c r="F23" s="1340">
        <v>13003</v>
      </c>
      <c r="G23" s="1340"/>
      <c r="H23" s="1340"/>
      <c r="I23" s="1340">
        <v>13003</v>
      </c>
      <c r="J23" s="1340"/>
      <c r="K23" s="1340"/>
      <c r="L23" s="1337">
        <f t="shared" si="0"/>
        <v>13003</v>
      </c>
      <c r="M23" s="1340"/>
    </row>
    <row r="24" spans="2:14" ht="20.100000000000001" customHeight="1" x14ac:dyDescent="0.2">
      <c r="B24" s="1334" t="s">
        <v>2105</v>
      </c>
      <c r="C24" s="1338"/>
      <c r="D24" s="1339"/>
      <c r="E24" s="1340">
        <f t="shared" ref="E24:K24" si="2">SUM(E18:E23)</f>
        <v>164994</v>
      </c>
      <c r="F24" s="1340">
        <f t="shared" si="2"/>
        <v>179205</v>
      </c>
      <c r="G24" s="1340">
        <f t="shared" si="2"/>
        <v>164994</v>
      </c>
      <c r="H24" s="1340">
        <f t="shared" si="2"/>
        <v>0</v>
      </c>
      <c r="I24" s="1340">
        <f t="shared" si="2"/>
        <v>179205</v>
      </c>
      <c r="J24" s="1340">
        <f t="shared" si="2"/>
        <v>0</v>
      </c>
      <c r="K24" s="1340">
        <f t="shared" si="2"/>
        <v>0</v>
      </c>
      <c r="L24" s="1337">
        <f t="shared" si="0"/>
        <v>344199</v>
      </c>
      <c r="M24" s="1340">
        <f>SUM(M18:M23)</f>
        <v>0</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zoomScaleNormal="100" workbookViewId="0">
      <selection activeCell="K9" sqref="A1:XFD1048576"/>
    </sheetView>
  </sheetViews>
  <sheetFormatPr defaultColWidth="33.5703125" defaultRowHeight="12.75" x14ac:dyDescent="0.2"/>
  <cols>
    <col min="1" max="1" width="0.140625" style="317" customWidth="1"/>
    <col min="2" max="2" width="40.285156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Cairo USD 1</v>
      </c>
      <c r="C1" s="2441"/>
      <c r="D1" s="2441"/>
      <c r="E1" s="2441"/>
      <c r="F1" s="2441"/>
      <c r="G1" s="2441"/>
      <c r="H1" s="2441"/>
      <c r="I1" s="2441"/>
      <c r="J1" s="2441"/>
      <c r="K1" s="2441"/>
      <c r="L1" s="2441"/>
      <c r="M1" s="2441"/>
    </row>
    <row r="2" spans="2:14" ht="15" x14ac:dyDescent="0.2">
      <c r="B2" s="2442">
        <f>'Single Audit Cover'!E7</f>
        <v>30002001022</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2092</v>
      </c>
      <c r="C11" s="1335"/>
      <c r="D11" s="1336"/>
      <c r="E11" s="1337"/>
      <c r="F11" s="1337"/>
      <c r="G11" s="1337"/>
      <c r="H11" s="1337"/>
      <c r="I11" s="1337"/>
      <c r="J11" s="1337"/>
      <c r="K11" s="1337"/>
      <c r="L11" s="1337"/>
      <c r="M11" s="1337"/>
    </row>
    <row r="12" spans="2:14" ht="20.100000000000001" customHeight="1" x14ac:dyDescent="0.2">
      <c r="B12" s="1334" t="s">
        <v>2093</v>
      </c>
      <c r="C12" s="1338"/>
      <c r="D12" s="1339"/>
      <c r="E12" s="1340"/>
      <c r="F12" s="1340"/>
      <c r="G12" s="1340"/>
      <c r="H12" s="1340"/>
      <c r="I12" s="1340"/>
      <c r="J12" s="1340"/>
      <c r="K12" s="1340"/>
      <c r="L12" s="1337"/>
      <c r="M12" s="1340"/>
    </row>
    <row r="13" spans="2:14" ht="20.100000000000001" customHeight="1" x14ac:dyDescent="0.2">
      <c r="B13" s="1334" t="s">
        <v>2106</v>
      </c>
      <c r="C13" s="1338">
        <v>10.558999999999999</v>
      </c>
      <c r="D13" s="1338" t="s">
        <v>2107</v>
      </c>
      <c r="E13" s="1340"/>
      <c r="F13" s="1340">
        <v>10822</v>
      </c>
      <c r="G13" s="1340"/>
      <c r="H13" s="1340"/>
      <c r="I13" s="1340">
        <v>10822</v>
      </c>
      <c r="J13" s="1340"/>
      <c r="K13" s="1340"/>
      <c r="L13" s="1337">
        <f t="shared" ref="L13:L27" si="0">+G13+I13+K13</f>
        <v>10822</v>
      </c>
      <c r="M13" s="1340"/>
    </row>
    <row r="14" spans="2:14" ht="20.100000000000001" customHeight="1" x14ac:dyDescent="0.2">
      <c r="B14" s="1334" t="s">
        <v>2108</v>
      </c>
      <c r="C14" s="1338"/>
      <c r="D14" s="1338"/>
      <c r="E14" s="1340">
        <f t="shared" ref="E14:K14" si="1">E13</f>
        <v>0</v>
      </c>
      <c r="F14" s="1340">
        <f t="shared" si="1"/>
        <v>10822</v>
      </c>
      <c r="G14" s="1340">
        <f t="shared" si="1"/>
        <v>0</v>
      </c>
      <c r="H14" s="1340">
        <f t="shared" si="1"/>
        <v>0</v>
      </c>
      <c r="I14" s="1340">
        <f t="shared" si="1"/>
        <v>10822</v>
      </c>
      <c r="J14" s="1340">
        <f t="shared" si="1"/>
        <v>0</v>
      </c>
      <c r="K14" s="1340">
        <f t="shared" si="1"/>
        <v>0</v>
      </c>
      <c r="L14" s="1337">
        <f t="shared" si="0"/>
        <v>10822</v>
      </c>
      <c r="M14" s="1340">
        <f>M13</f>
        <v>0</v>
      </c>
    </row>
    <row r="15" spans="2:14" ht="20.100000000000001" customHeight="1" x14ac:dyDescent="0.2">
      <c r="B15" s="1334" t="s">
        <v>1169</v>
      </c>
      <c r="C15" s="1338"/>
      <c r="D15" s="1338"/>
      <c r="E15" s="1340"/>
      <c r="F15" s="1340"/>
      <c r="G15" s="1340"/>
      <c r="H15" s="1340"/>
      <c r="I15" s="1340"/>
      <c r="J15" s="1340"/>
      <c r="K15" s="1340"/>
      <c r="L15" s="1337"/>
      <c r="M15" s="1340"/>
    </row>
    <row r="16" spans="2:14" ht="24" customHeight="1" x14ac:dyDescent="0.2">
      <c r="B16" s="1334" t="s">
        <v>2109</v>
      </c>
      <c r="C16" s="1338"/>
      <c r="D16" s="1338"/>
      <c r="E16" s="1340">
        <f>E14+'SEFA-1'!E24+'SEFA-1'!E15</f>
        <v>235014</v>
      </c>
      <c r="F16" s="1340">
        <f>F14+'SEFA-1'!F24+'SEFA-1'!F15</f>
        <v>267137</v>
      </c>
      <c r="G16" s="1340">
        <f>G14+'SEFA-1'!G24+'SEFA-1'!G15</f>
        <v>235014</v>
      </c>
      <c r="H16" s="1340">
        <f>H14+'SEFA-1'!H24+'SEFA-1'!H15</f>
        <v>0</v>
      </c>
      <c r="I16" s="1340">
        <f>I14+'SEFA-1'!I24+'SEFA-1'!I15</f>
        <v>267137</v>
      </c>
      <c r="J16" s="1340">
        <f>J14+'SEFA-1'!J24+'SEFA-1'!J15</f>
        <v>0</v>
      </c>
      <c r="K16" s="1340">
        <f>K14+'SEFA-1'!K24+'SEFA-1'!K15</f>
        <v>0</v>
      </c>
      <c r="L16" s="1337">
        <f t="shared" si="0"/>
        <v>502151</v>
      </c>
      <c r="M16" s="1340">
        <f>M14+'SEFA-1'!M24+'SEFA-1'!M15</f>
        <v>0</v>
      </c>
    </row>
    <row r="17" spans="2:14" ht="20.100000000000001" customHeight="1" x14ac:dyDescent="0.2">
      <c r="B17" s="1334"/>
      <c r="C17" s="1338"/>
      <c r="D17" s="1338"/>
      <c r="E17" s="1340"/>
      <c r="F17" s="1340"/>
      <c r="G17" s="1340"/>
      <c r="H17" s="1340"/>
      <c r="I17" s="1340"/>
      <c r="J17" s="1340"/>
      <c r="K17" s="1340"/>
      <c r="L17" s="1337"/>
      <c r="M17" s="1340"/>
    </row>
    <row r="18" spans="2:14" ht="20.100000000000001" customHeight="1" x14ac:dyDescent="0.2">
      <c r="B18" s="1334" t="s">
        <v>2093</v>
      </c>
      <c r="C18" s="1338"/>
      <c r="D18" s="1338"/>
      <c r="E18" s="1340"/>
      <c r="F18" s="1340"/>
      <c r="G18" s="1340"/>
      <c r="H18" s="1340"/>
      <c r="I18" s="1340"/>
      <c r="J18" s="1340"/>
      <c r="K18" s="1340"/>
      <c r="L18" s="1337"/>
      <c r="M18" s="1340"/>
    </row>
    <row r="19" spans="2:14" ht="20.100000000000001" customHeight="1" x14ac:dyDescent="0.2">
      <c r="B19" s="1334" t="s">
        <v>2111</v>
      </c>
      <c r="C19" s="1338">
        <v>10.582000000000001</v>
      </c>
      <c r="D19" s="1338" t="s">
        <v>2110</v>
      </c>
      <c r="E19" s="1340"/>
      <c r="F19" s="1340">
        <v>6195</v>
      </c>
      <c r="G19" s="1340"/>
      <c r="H19" s="1340"/>
      <c r="I19" s="1340">
        <v>6195</v>
      </c>
      <c r="J19" s="1340"/>
      <c r="K19" s="1340"/>
      <c r="L19" s="1337">
        <f t="shared" si="0"/>
        <v>6195</v>
      </c>
      <c r="M19" s="1340"/>
    </row>
    <row r="20" spans="2:14" ht="20.100000000000001" customHeight="1" x14ac:dyDescent="0.2">
      <c r="B20" s="1334" t="s">
        <v>2112</v>
      </c>
      <c r="C20" s="1338"/>
      <c r="D20" s="1338"/>
      <c r="E20" s="1340">
        <f t="shared" ref="E20:K20" si="2">E19</f>
        <v>0</v>
      </c>
      <c r="F20" s="1340">
        <f t="shared" si="2"/>
        <v>6195</v>
      </c>
      <c r="G20" s="1340">
        <f t="shared" si="2"/>
        <v>0</v>
      </c>
      <c r="H20" s="1340">
        <f t="shared" si="2"/>
        <v>0</v>
      </c>
      <c r="I20" s="1340">
        <f t="shared" si="2"/>
        <v>6195</v>
      </c>
      <c r="J20" s="1340">
        <f t="shared" si="2"/>
        <v>0</v>
      </c>
      <c r="K20" s="1340">
        <f t="shared" si="2"/>
        <v>0</v>
      </c>
      <c r="L20" s="1337">
        <f t="shared" si="0"/>
        <v>6195</v>
      </c>
      <c r="M20" s="1340">
        <f>M19</f>
        <v>0</v>
      </c>
    </row>
    <row r="21" spans="2:14" ht="20.100000000000001" customHeight="1" x14ac:dyDescent="0.2">
      <c r="B21" s="1334"/>
      <c r="C21" s="1338"/>
      <c r="D21" s="1338"/>
      <c r="E21" s="1340"/>
      <c r="F21" s="1340"/>
      <c r="G21" s="1340"/>
      <c r="H21" s="1340"/>
      <c r="I21" s="1340"/>
      <c r="J21" s="1340"/>
      <c r="K21" s="1340"/>
      <c r="L21" s="1337"/>
      <c r="M21" s="1340"/>
    </row>
    <row r="22" spans="2:14" ht="20.100000000000001" customHeight="1" x14ac:dyDescent="0.2">
      <c r="B22" s="1334" t="s">
        <v>2113</v>
      </c>
      <c r="C22" s="1338"/>
      <c r="D22" s="1338"/>
      <c r="E22" s="1340">
        <f t="shared" ref="E22:K22" si="3">E16+E20</f>
        <v>235014</v>
      </c>
      <c r="F22" s="1340">
        <f t="shared" si="3"/>
        <v>273332</v>
      </c>
      <c r="G22" s="1340">
        <f t="shared" si="3"/>
        <v>235014</v>
      </c>
      <c r="H22" s="1340">
        <f t="shared" si="3"/>
        <v>0</v>
      </c>
      <c r="I22" s="1340">
        <f t="shared" si="3"/>
        <v>273332</v>
      </c>
      <c r="J22" s="1340">
        <f t="shared" si="3"/>
        <v>0</v>
      </c>
      <c r="K22" s="1340">
        <f t="shared" si="3"/>
        <v>0</v>
      </c>
      <c r="L22" s="1337">
        <f t="shared" si="0"/>
        <v>508346</v>
      </c>
      <c r="M22" s="1340">
        <f>M16+M20</f>
        <v>0</v>
      </c>
    </row>
    <row r="23" spans="2:14" ht="20.100000000000001" customHeight="1" x14ac:dyDescent="0.2">
      <c r="B23" s="1334"/>
      <c r="C23" s="1338"/>
      <c r="D23" s="1338"/>
      <c r="E23" s="1340"/>
      <c r="F23" s="1340"/>
      <c r="G23" s="1340"/>
      <c r="H23" s="1340"/>
      <c r="I23" s="1340"/>
      <c r="J23" s="1340"/>
      <c r="K23" s="1340"/>
      <c r="L23" s="1337"/>
      <c r="M23" s="1340"/>
    </row>
    <row r="24" spans="2:14" ht="20.100000000000001" customHeight="1" x14ac:dyDescent="0.2">
      <c r="B24" s="1334" t="s">
        <v>2114</v>
      </c>
      <c r="C24" s="1338"/>
      <c r="D24" s="1338"/>
      <c r="E24" s="1340"/>
      <c r="F24" s="1340"/>
      <c r="G24" s="1340"/>
      <c r="H24" s="1340"/>
      <c r="I24" s="1340"/>
      <c r="J24" s="1340"/>
      <c r="K24" s="1340"/>
      <c r="L24" s="1337"/>
      <c r="M24" s="1340"/>
    </row>
    <row r="25" spans="2:14" ht="20.100000000000001" customHeight="1" x14ac:dyDescent="0.2">
      <c r="B25" s="1334" t="s">
        <v>2093</v>
      </c>
      <c r="C25" s="1338"/>
      <c r="D25" s="1338"/>
      <c r="E25" s="1340"/>
      <c r="F25" s="1340"/>
      <c r="G25" s="1340"/>
      <c r="H25" s="1340"/>
      <c r="I25" s="1340"/>
      <c r="J25" s="1340"/>
      <c r="K25" s="1340"/>
      <c r="L25" s="1337"/>
      <c r="M25" s="1340"/>
    </row>
    <row r="26" spans="2:14" ht="20.100000000000001" customHeight="1" x14ac:dyDescent="0.2">
      <c r="B26" s="1334" t="s">
        <v>2119</v>
      </c>
      <c r="C26" s="1338">
        <v>84.01</v>
      </c>
      <c r="D26" s="1338" t="s">
        <v>2115</v>
      </c>
      <c r="E26" s="1340">
        <v>491487</v>
      </c>
      <c r="F26" s="1340">
        <v>158771</v>
      </c>
      <c r="G26" s="1340">
        <v>535949</v>
      </c>
      <c r="H26" s="1340"/>
      <c r="I26" s="1340">
        <v>114309</v>
      </c>
      <c r="J26" s="1340"/>
      <c r="K26" s="1340"/>
      <c r="L26" s="1337">
        <f t="shared" si="0"/>
        <v>650258</v>
      </c>
      <c r="M26" s="1340">
        <v>754404</v>
      </c>
    </row>
    <row r="27" spans="2:14" ht="20.100000000000001" customHeight="1" x14ac:dyDescent="0.2">
      <c r="B27" s="1334" t="s">
        <v>2119</v>
      </c>
      <c r="C27" s="1338">
        <v>84.01</v>
      </c>
      <c r="D27" s="1338" t="s">
        <v>2116</v>
      </c>
      <c r="E27" s="1340"/>
      <c r="F27" s="1340">
        <v>635943</v>
      </c>
      <c r="G27" s="1340"/>
      <c r="H27" s="1340"/>
      <c r="I27" s="1340">
        <v>678265</v>
      </c>
      <c r="J27" s="1340"/>
      <c r="K27" s="1340"/>
      <c r="L27" s="1337">
        <f t="shared" si="0"/>
        <v>678265</v>
      </c>
      <c r="M27" s="1340">
        <v>823398</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B6" sqref="B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2061</v>
      </c>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t="s">
        <v>2079</v>
      </c>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44"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zoomScaleNormal="100" workbookViewId="0">
      <selection activeCell="K9" sqref="A1:XFD1048576"/>
    </sheetView>
  </sheetViews>
  <sheetFormatPr defaultColWidth="33.5703125" defaultRowHeight="12.75" x14ac:dyDescent="0.2"/>
  <cols>
    <col min="1" max="1" width="0.140625" style="317" customWidth="1"/>
    <col min="2" max="2" width="38.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Cairo USD 1</v>
      </c>
      <c r="C1" s="2441"/>
      <c r="D1" s="2441"/>
      <c r="E1" s="2441"/>
      <c r="F1" s="2441"/>
      <c r="G1" s="2441"/>
      <c r="H1" s="2441"/>
      <c r="I1" s="2441"/>
      <c r="J1" s="2441"/>
      <c r="K1" s="2441"/>
      <c r="L1" s="2441"/>
      <c r="M1" s="2441"/>
    </row>
    <row r="2" spans="2:14" ht="15" x14ac:dyDescent="0.2">
      <c r="B2" s="2442">
        <f>'Single Audit Cover'!E7</f>
        <v>30002001022</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2114</v>
      </c>
      <c r="C11" s="1335"/>
      <c r="D11" s="1336"/>
      <c r="E11" s="1337"/>
      <c r="F11" s="1337"/>
      <c r="G11" s="1337"/>
      <c r="H11" s="1337"/>
      <c r="I11" s="1337"/>
      <c r="J11" s="1337"/>
      <c r="K11" s="1337"/>
      <c r="L11" s="1337"/>
      <c r="M11" s="1337"/>
    </row>
    <row r="12" spans="2:14" ht="20.100000000000001" customHeight="1" x14ac:dyDescent="0.2">
      <c r="B12" s="1334" t="s">
        <v>2093</v>
      </c>
      <c r="C12" s="1338"/>
      <c r="D12" s="1339"/>
      <c r="E12" s="1340"/>
      <c r="F12" s="1340"/>
      <c r="G12" s="1340"/>
      <c r="H12" s="1340"/>
      <c r="I12" s="1340"/>
      <c r="J12" s="1340"/>
      <c r="K12" s="1340"/>
      <c r="L12" s="1337"/>
      <c r="M12" s="1340"/>
    </row>
    <row r="13" spans="2:14" ht="20.100000000000001" customHeight="1" x14ac:dyDescent="0.2">
      <c r="B13" s="1334" t="s">
        <v>2119</v>
      </c>
      <c r="C13" s="1338">
        <v>84.01</v>
      </c>
      <c r="D13" s="1339" t="s">
        <v>2117</v>
      </c>
      <c r="E13" s="1340"/>
      <c r="F13" s="1340">
        <v>16326</v>
      </c>
      <c r="G13" s="1340"/>
      <c r="H13" s="1340"/>
      <c r="I13" s="1340">
        <v>113211</v>
      </c>
      <c r="J13" s="1340"/>
      <c r="K13" s="1340"/>
      <c r="L13" s="1337">
        <f t="shared" ref="L13:L26" si="0">+G13+I13+K13</f>
        <v>113211</v>
      </c>
      <c r="M13" s="1340">
        <v>208714</v>
      </c>
    </row>
    <row r="14" spans="2:14" ht="20.100000000000001" customHeight="1" x14ac:dyDescent="0.2">
      <c r="B14" s="1334" t="s">
        <v>2119</v>
      </c>
      <c r="C14" s="1338">
        <v>84.01</v>
      </c>
      <c r="D14" s="1339" t="s">
        <v>2118</v>
      </c>
      <c r="E14" s="1340"/>
      <c r="F14" s="1340">
        <v>68834</v>
      </c>
      <c r="G14" s="1340"/>
      <c r="H14" s="1340"/>
      <c r="I14" s="1340">
        <v>68834</v>
      </c>
      <c r="J14" s="1340"/>
      <c r="K14" s="1340"/>
      <c r="L14" s="1337">
        <f t="shared" si="0"/>
        <v>68834</v>
      </c>
      <c r="M14" s="1340">
        <v>70800</v>
      </c>
    </row>
    <row r="15" spans="2:14" ht="20.100000000000001" customHeight="1" x14ac:dyDescent="0.2">
      <c r="B15" s="1334" t="s">
        <v>2120</v>
      </c>
      <c r="C15" s="1338"/>
      <c r="D15" s="1339"/>
      <c r="E15" s="1340">
        <f>E13+E14+'SEFA-2'!E27+'SEFA-2'!E26</f>
        <v>491487</v>
      </c>
      <c r="F15" s="1340">
        <f>F13+F14+'SEFA-2'!F27+'SEFA-2'!F26</f>
        <v>879874</v>
      </c>
      <c r="G15" s="1340">
        <f>G13+G14+'SEFA-2'!G27+'SEFA-2'!G26</f>
        <v>535949</v>
      </c>
      <c r="H15" s="1340">
        <f>H13+H14+'SEFA-2'!H27+'SEFA-2'!H26</f>
        <v>0</v>
      </c>
      <c r="I15" s="1340">
        <f>I13+I14+'SEFA-2'!I27+'SEFA-2'!I26</f>
        <v>974619</v>
      </c>
      <c r="J15" s="1340">
        <f>J13+J14+'SEFA-2'!J27+'SEFA-2'!J26</f>
        <v>0</v>
      </c>
      <c r="K15" s="1340">
        <f>K13+K14+'SEFA-2'!K27+'SEFA-2'!K26</f>
        <v>0</v>
      </c>
      <c r="L15" s="1337">
        <f t="shared" si="0"/>
        <v>1510568</v>
      </c>
      <c r="M15" s="1340">
        <f>M13+M14+'SEFA-2'!M27+'SEFA-2'!M26</f>
        <v>1857316</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2121</v>
      </c>
      <c r="C17" s="1338"/>
      <c r="D17" s="1339"/>
      <c r="E17" s="1340"/>
      <c r="F17" s="1340"/>
      <c r="G17" s="1340"/>
      <c r="H17" s="1340"/>
      <c r="I17" s="1340"/>
      <c r="J17" s="1340"/>
      <c r="K17" s="1340"/>
      <c r="L17" s="1337"/>
      <c r="M17" s="1340"/>
    </row>
    <row r="18" spans="2:14" ht="20.100000000000001" customHeight="1" x14ac:dyDescent="0.2">
      <c r="B18" s="1334" t="s">
        <v>2122</v>
      </c>
      <c r="C18" s="1338">
        <v>84.040999999999997</v>
      </c>
      <c r="D18" s="1339" t="s">
        <v>2123</v>
      </c>
      <c r="E18" s="1340">
        <v>57823</v>
      </c>
      <c r="F18" s="1340"/>
      <c r="G18" s="1340">
        <v>57823</v>
      </c>
      <c r="H18" s="1340"/>
      <c r="I18" s="1340"/>
      <c r="J18" s="1340"/>
      <c r="K18" s="1340"/>
      <c r="L18" s="1337">
        <f t="shared" si="0"/>
        <v>57823</v>
      </c>
      <c r="M18" s="1340"/>
    </row>
    <row r="19" spans="2:14" ht="20.100000000000001" customHeight="1" x14ac:dyDescent="0.2">
      <c r="B19" s="1334" t="s">
        <v>2122</v>
      </c>
      <c r="C19" s="1338">
        <v>84.040999999999997</v>
      </c>
      <c r="D19" s="1339" t="s">
        <v>2124</v>
      </c>
      <c r="E19" s="1340"/>
      <c r="F19" s="1340">
        <v>54153</v>
      </c>
      <c r="G19" s="1340"/>
      <c r="H19" s="1340"/>
      <c r="I19" s="1340">
        <v>54153</v>
      </c>
      <c r="J19" s="1340"/>
      <c r="K19" s="1340"/>
      <c r="L19" s="1337">
        <f t="shared" si="0"/>
        <v>54153</v>
      </c>
      <c r="M19" s="1340"/>
    </row>
    <row r="20" spans="2:14" ht="20.100000000000001" customHeight="1" x14ac:dyDescent="0.2">
      <c r="B20" s="1334" t="s">
        <v>2125</v>
      </c>
      <c r="C20" s="1338"/>
      <c r="D20" s="1339"/>
      <c r="E20" s="1340">
        <f t="shared" ref="E20:K20" si="1">E18+E19</f>
        <v>57823</v>
      </c>
      <c r="F20" s="1340">
        <f t="shared" si="1"/>
        <v>54153</v>
      </c>
      <c r="G20" s="1340">
        <f t="shared" si="1"/>
        <v>57823</v>
      </c>
      <c r="H20" s="1340">
        <f t="shared" si="1"/>
        <v>0</v>
      </c>
      <c r="I20" s="1340">
        <f t="shared" si="1"/>
        <v>54153</v>
      </c>
      <c r="J20" s="1340">
        <f t="shared" si="1"/>
        <v>0</v>
      </c>
      <c r="K20" s="1340">
        <f t="shared" si="1"/>
        <v>0</v>
      </c>
      <c r="L20" s="1337">
        <f t="shared" si="0"/>
        <v>111976</v>
      </c>
      <c r="M20" s="1340">
        <f>M18+M19</f>
        <v>0</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2093</v>
      </c>
      <c r="C22" s="1338"/>
      <c r="D22" s="1339"/>
      <c r="E22" s="1340"/>
      <c r="F22" s="1340"/>
      <c r="G22" s="1340"/>
      <c r="H22" s="1340"/>
      <c r="I22" s="1340"/>
      <c r="J22" s="1340"/>
      <c r="K22" s="1340"/>
      <c r="L22" s="1337"/>
      <c r="M22" s="1340"/>
    </row>
    <row r="23" spans="2:14" ht="20.100000000000001" customHeight="1" x14ac:dyDescent="0.2">
      <c r="B23" s="1334" t="s">
        <v>2126</v>
      </c>
      <c r="C23" s="1338">
        <v>84.358000000000004</v>
      </c>
      <c r="D23" s="1339" t="s">
        <v>2127</v>
      </c>
      <c r="E23" s="1340">
        <v>6219</v>
      </c>
      <c r="F23" s="1340">
        <v>800</v>
      </c>
      <c r="G23" s="1340">
        <v>7019</v>
      </c>
      <c r="H23" s="1340"/>
      <c r="I23" s="1340"/>
      <c r="J23" s="1340"/>
      <c r="K23" s="1340"/>
      <c r="L23" s="1337">
        <f t="shared" si="0"/>
        <v>7019</v>
      </c>
      <c r="M23" s="1340">
        <v>7505</v>
      </c>
    </row>
    <row r="24" spans="2:14" ht="20.100000000000001" customHeight="1" x14ac:dyDescent="0.2">
      <c r="B24" s="1334" t="s">
        <v>2128</v>
      </c>
      <c r="C24" s="1338"/>
      <c r="D24" s="1339"/>
      <c r="E24" s="1340">
        <f t="shared" ref="E24:K24" si="2">E23</f>
        <v>6219</v>
      </c>
      <c r="F24" s="1340">
        <f t="shared" si="2"/>
        <v>800</v>
      </c>
      <c r="G24" s="1340">
        <f t="shared" si="2"/>
        <v>7019</v>
      </c>
      <c r="H24" s="1340">
        <f t="shared" si="2"/>
        <v>0</v>
      </c>
      <c r="I24" s="1340">
        <f t="shared" si="2"/>
        <v>0</v>
      </c>
      <c r="J24" s="1340">
        <f t="shared" si="2"/>
        <v>0</v>
      </c>
      <c r="K24" s="1340">
        <f t="shared" si="2"/>
        <v>0</v>
      </c>
      <c r="L24" s="1337">
        <f t="shared" si="0"/>
        <v>7019</v>
      </c>
      <c r="M24" s="1340">
        <f>M23</f>
        <v>7505</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t="s">
        <v>2129</v>
      </c>
      <c r="C26" s="1338"/>
      <c r="D26" s="1339"/>
      <c r="E26" s="1340">
        <f t="shared" ref="E26:K26" si="3">E24+E20+E15</f>
        <v>555529</v>
      </c>
      <c r="F26" s="1340">
        <f t="shared" si="3"/>
        <v>934827</v>
      </c>
      <c r="G26" s="1340">
        <f t="shared" si="3"/>
        <v>600791</v>
      </c>
      <c r="H26" s="1340">
        <f t="shared" si="3"/>
        <v>0</v>
      </c>
      <c r="I26" s="1340">
        <f t="shared" si="3"/>
        <v>1028772</v>
      </c>
      <c r="J26" s="1340">
        <f t="shared" si="3"/>
        <v>0</v>
      </c>
      <c r="K26" s="1340">
        <f t="shared" si="3"/>
        <v>0</v>
      </c>
      <c r="L26" s="1337">
        <f t="shared" si="0"/>
        <v>1629563</v>
      </c>
      <c r="M26" s="1340">
        <f>M24+M20+M15</f>
        <v>1864821</v>
      </c>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8" zoomScaleNormal="100" workbookViewId="0">
      <selection activeCell="H29" sqref="H29"/>
    </sheetView>
  </sheetViews>
  <sheetFormatPr defaultColWidth="33.5703125" defaultRowHeight="12.75" x14ac:dyDescent="0.2"/>
  <cols>
    <col min="1" max="1" width="0.140625" style="317" customWidth="1"/>
    <col min="2" max="2" width="46.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Cairo USD 1</v>
      </c>
      <c r="C1" s="2441"/>
      <c r="D1" s="2441"/>
      <c r="E1" s="2441"/>
      <c r="F1" s="2441"/>
      <c r="G1" s="2441"/>
      <c r="H1" s="2441"/>
      <c r="I1" s="2441"/>
      <c r="J1" s="2441"/>
      <c r="K1" s="2441"/>
      <c r="L1" s="2441"/>
      <c r="M1" s="2441"/>
    </row>
    <row r="2" spans="2:14" ht="15" x14ac:dyDescent="0.2">
      <c r="B2" s="2442">
        <f>'Single Audit Cover'!E7</f>
        <v>30002001022</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2130</v>
      </c>
      <c r="C11" s="1335"/>
      <c r="D11" s="1336"/>
      <c r="E11" s="1337"/>
      <c r="F11" s="1337"/>
      <c r="G11" s="1337"/>
      <c r="H11" s="1337"/>
      <c r="I11" s="1337"/>
      <c r="J11" s="1337"/>
      <c r="K11" s="1337"/>
      <c r="L11" s="1337"/>
      <c r="M11" s="1337"/>
    </row>
    <row r="12" spans="2:14" ht="20.100000000000001" customHeight="1" x14ac:dyDescent="0.2">
      <c r="B12" s="1334" t="s">
        <v>2131</v>
      </c>
      <c r="C12" s="1338"/>
      <c r="D12" s="1339"/>
      <c r="E12" s="1340"/>
      <c r="F12" s="1340"/>
      <c r="G12" s="1340"/>
      <c r="H12" s="1340"/>
      <c r="I12" s="1340"/>
      <c r="J12" s="1340"/>
      <c r="K12" s="1340"/>
      <c r="L12" s="1337"/>
      <c r="M12" s="1340"/>
    </row>
    <row r="13" spans="2:14" ht="20.100000000000001" customHeight="1" x14ac:dyDescent="0.2">
      <c r="B13" s="1334" t="s">
        <v>2132</v>
      </c>
      <c r="C13" s="1338">
        <v>93.778000000000006</v>
      </c>
      <c r="D13" s="1339" t="s">
        <v>2133</v>
      </c>
      <c r="E13" s="1340">
        <v>5635</v>
      </c>
      <c r="F13" s="1340">
        <v>2612</v>
      </c>
      <c r="G13" s="1340">
        <v>8591</v>
      </c>
      <c r="H13" s="1340"/>
      <c r="I13" s="1340"/>
      <c r="J13" s="1340"/>
      <c r="K13" s="1340"/>
      <c r="L13" s="1337">
        <f t="shared" ref="L13:L19" si="0">+G13+I13+K13</f>
        <v>8591</v>
      </c>
      <c r="M13" s="1340"/>
    </row>
    <row r="14" spans="2:14" ht="20.100000000000001" customHeight="1" x14ac:dyDescent="0.2">
      <c r="B14" s="1334" t="s">
        <v>2132</v>
      </c>
      <c r="C14" s="1338">
        <v>93.778000000000006</v>
      </c>
      <c r="D14" s="1339" t="s">
        <v>2134</v>
      </c>
      <c r="E14" s="1340"/>
      <c r="F14" s="1340">
        <v>3937</v>
      </c>
      <c r="G14" s="1340"/>
      <c r="H14" s="1340"/>
      <c r="I14" s="1340">
        <v>4876</v>
      </c>
      <c r="J14" s="1340"/>
      <c r="K14" s="1340"/>
      <c r="L14" s="1337">
        <f t="shared" si="0"/>
        <v>4876</v>
      </c>
      <c r="M14" s="1340"/>
    </row>
    <row r="15" spans="2:14" ht="20.100000000000001" customHeight="1" x14ac:dyDescent="0.2">
      <c r="B15" s="1334" t="s">
        <v>2135</v>
      </c>
      <c r="C15" s="1338"/>
      <c r="D15" s="1339"/>
      <c r="E15" s="1340">
        <f t="shared" ref="E15:K15" si="1">E14+E13</f>
        <v>5635</v>
      </c>
      <c r="F15" s="1340">
        <f t="shared" si="1"/>
        <v>6549</v>
      </c>
      <c r="G15" s="1340">
        <f t="shared" si="1"/>
        <v>8591</v>
      </c>
      <c r="H15" s="1340">
        <f t="shared" si="1"/>
        <v>0</v>
      </c>
      <c r="I15" s="1340">
        <f t="shared" si="1"/>
        <v>4876</v>
      </c>
      <c r="J15" s="1340">
        <f t="shared" si="1"/>
        <v>0</v>
      </c>
      <c r="K15" s="1340">
        <f t="shared" si="1"/>
        <v>0</v>
      </c>
      <c r="L15" s="1337">
        <f t="shared" si="0"/>
        <v>13467</v>
      </c>
      <c r="M15" s="1340">
        <f>M14+M13</f>
        <v>0</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2136</v>
      </c>
      <c r="C17" s="1338"/>
      <c r="D17" s="1339"/>
      <c r="E17" s="1340">
        <f t="shared" ref="E17:K17" si="2">E15</f>
        <v>5635</v>
      </c>
      <c r="F17" s="1340">
        <f t="shared" si="2"/>
        <v>6549</v>
      </c>
      <c r="G17" s="1340">
        <f t="shared" si="2"/>
        <v>8591</v>
      </c>
      <c r="H17" s="1340">
        <f t="shared" si="2"/>
        <v>0</v>
      </c>
      <c r="I17" s="1340">
        <f t="shared" si="2"/>
        <v>4876</v>
      </c>
      <c r="J17" s="1340">
        <f t="shared" si="2"/>
        <v>0</v>
      </c>
      <c r="K17" s="1340">
        <f t="shared" si="2"/>
        <v>0</v>
      </c>
      <c r="L17" s="1337">
        <f t="shared" si="0"/>
        <v>13467</v>
      </c>
      <c r="M17" s="1340">
        <f>M15</f>
        <v>0</v>
      </c>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2137</v>
      </c>
      <c r="C19" s="1338"/>
      <c r="D19" s="1339"/>
      <c r="E19" s="1340">
        <f>E17+'SEFA-3'!E26+'SEFA-2'!E22</f>
        <v>796178</v>
      </c>
      <c r="F19" s="1340">
        <f>F17+'SEFA-3'!F26+'SEFA-2'!F22</f>
        <v>1214708</v>
      </c>
      <c r="G19" s="1340">
        <f>G17+'SEFA-3'!G26+'SEFA-2'!G22</f>
        <v>844396</v>
      </c>
      <c r="H19" s="1340">
        <f>H17+'SEFA-3'!H26+'SEFA-2'!H22</f>
        <v>0</v>
      </c>
      <c r="I19" s="1340">
        <f>I17+'SEFA-3'!I26+'SEFA-2'!I22</f>
        <v>1306980</v>
      </c>
      <c r="J19" s="1340">
        <f>J17+'SEFA-3'!J26+'SEFA-2'!J22</f>
        <v>0</v>
      </c>
      <c r="K19" s="1340">
        <f>K17+'SEFA-3'!K26+'SEFA-2'!K22</f>
        <v>0</v>
      </c>
      <c r="L19" s="1337">
        <f t="shared" si="0"/>
        <v>2151376</v>
      </c>
      <c r="M19" s="1340">
        <f>M17+'SEFA-3'!M26+'SEFA-2'!M22</f>
        <v>1864821</v>
      </c>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activeCell="I10" sqref="I1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Cairo USD 1</v>
      </c>
      <c r="B1" s="2454"/>
      <c r="C1" s="2454"/>
      <c r="D1" s="2454"/>
      <c r="E1" s="2454"/>
      <c r="F1" s="2454"/>
    </row>
    <row r="2" spans="1:7" ht="13.5" customHeight="1" x14ac:dyDescent="0.2">
      <c r="A2" s="2442">
        <f>'Single Audit Cover'!E7</f>
        <v>30002001022</v>
      </c>
      <c r="B2" s="2442"/>
      <c r="C2" s="2442"/>
      <c r="D2" s="2442"/>
      <c r="E2" s="2442"/>
      <c r="F2" s="2442"/>
      <c r="G2" s="1272"/>
    </row>
    <row r="3" spans="1:7" ht="15.75" customHeight="1" x14ac:dyDescent="0.2">
      <c r="A3" s="2455" t="s">
        <v>1271</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3" t="s">
        <v>1728</v>
      </c>
      <c r="C6" s="317"/>
      <c r="D6" s="317"/>
    </row>
    <row r="7" spans="1:7" ht="60.95" customHeight="1" x14ac:dyDescent="0.2">
      <c r="A7" s="2453" t="s">
        <v>2170</v>
      </c>
      <c r="B7" s="2453"/>
      <c r="C7" s="2453"/>
      <c r="D7" s="2453"/>
      <c r="E7" s="2453"/>
      <c r="F7" s="245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3" t="s">
        <v>2139</v>
      </c>
      <c r="B13" s="2453"/>
      <c r="C13" s="2453"/>
      <c r="D13" s="2453"/>
      <c r="E13" s="2453"/>
      <c r="F13" s="2453"/>
    </row>
    <row r="14" spans="1:7" ht="9.75" customHeight="1" x14ac:dyDescent="0.2">
      <c r="C14" s="1257"/>
      <c r="D14" s="1257"/>
    </row>
    <row r="15" spans="1:7" ht="13.5" customHeight="1" x14ac:dyDescent="0.2">
      <c r="C15" s="1846" t="s">
        <v>1270</v>
      </c>
      <c r="D15" s="2451" t="s">
        <v>1269</v>
      </c>
      <c r="E15" s="2451"/>
      <c r="F15" s="2451"/>
    </row>
    <row r="16" spans="1:7" ht="13.5" customHeight="1" x14ac:dyDescent="0.2">
      <c r="A16" s="1279"/>
      <c r="B16" s="1273" t="s">
        <v>1268</v>
      </c>
      <c r="C16" s="1846" t="s">
        <v>1267</v>
      </c>
      <c r="D16" s="2452" t="s">
        <v>1588</v>
      </c>
      <c r="E16" s="2452"/>
      <c r="F16" s="2452"/>
    </row>
    <row r="17" spans="1:6" ht="20.45" customHeight="1" x14ac:dyDescent="0.2">
      <c r="A17" s="1280"/>
      <c r="B17" s="1281" t="s">
        <v>2138</v>
      </c>
      <c r="C17" s="1282"/>
      <c r="D17" s="2446"/>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2140</v>
      </c>
      <c r="B32" s="2447"/>
      <c r="C32" s="2447"/>
      <c r="D32" s="2447"/>
      <c r="E32" s="2447"/>
      <c r="F32" s="2447"/>
    </row>
    <row r="33" spans="1:6" ht="13.5" customHeight="1" x14ac:dyDescent="0.2">
      <c r="A33" s="328" t="s">
        <v>1434</v>
      </c>
      <c r="B33" s="328"/>
      <c r="C33" s="1285">
        <v>13003</v>
      </c>
      <c r="D33" s="1903"/>
      <c r="E33" s="1283"/>
    </row>
    <row r="34" spans="1:6" ht="13.5" customHeight="1" x14ac:dyDescent="0.2">
      <c r="A34" s="328" t="s">
        <v>1835</v>
      </c>
      <c r="B34" s="328"/>
      <c r="C34" s="1286">
        <v>3747</v>
      </c>
      <c r="D34" s="1903" t="s">
        <v>1589</v>
      </c>
      <c r="E34" s="2448">
        <f>+C33+C34</f>
        <v>16750</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O31" sqref="O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Cairo USD 1</v>
      </c>
      <c r="C1" s="2469"/>
      <c r="D1" s="2469"/>
      <c r="E1" s="2469"/>
      <c r="F1" s="2469"/>
      <c r="G1" s="2469"/>
      <c r="H1" s="2469"/>
      <c r="I1" s="2469"/>
      <c r="J1" s="1406"/>
    </row>
    <row r="2" spans="2:10" s="317" customFormat="1" ht="12.75" customHeight="1" x14ac:dyDescent="0.2">
      <c r="B2" s="2470">
        <f>'Single Audit Cover'!E7</f>
        <v>30002001022</v>
      </c>
      <c r="C2" s="2471"/>
      <c r="D2" s="2471"/>
      <c r="E2" s="2471"/>
      <c r="F2" s="2471"/>
      <c r="G2" s="2471"/>
      <c r="H2" s="2471"/>
      <c r="I2" s="2471"/>
      <c r="J2" s="1406"/>
    </row>
    <row r="3" spans="2:10" s="317" customFormat="1" ht="12.75" customHeight="1" x14ac:dyDescent="0.2">
      <c r="B3" s="2472" t="s">
        <v>1285</v>
      </c>
      <c r="C3" s="2473"/>
      <c r="D3" s="2473"/>
      <c r="E3" s="2473"/>
      <c r="F3" s="2473"/>
      <c r="G3" s="2473"/>
      <c r="H3" s="2473"/>
      <c r="I3" s="2473"/>
      <c r="J3" s="1407"/>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2" t="s">
        <v>1284</v>
      </c>
      <c r="C7" s="2473"/>
      <c r="D7" s="2473"/>
      <c r="E7" s="2473"/>
      <c r="F7" s="2473"/>
      <c r="G7" s="2473"/>
      <c r="H7" s="2473"/>
      <c r="I7" s="247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4" t="s">
        <v>1164</v>
      </c>
      <c r="D11" s="247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t="s">
        <v>2061</v>
      </c>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5" t="s">
        <v>2141</v>
      </c>
      <c r="E29" s="2475"/>
      <c r="F29" s="2475"/>
      <c r="G29" s="2475"/>
      <c r="H29" s="2475"/>
      <c r="I29" s="2475"/>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6" t="s">
        <v>1748</v>
      </c>
      <c r="D37" s="2477"/>
      <c r="E37" s="2477"/>
      <c r="F37" s="2478"/>
      <c r="G37" s="2476" t="s">
        <v>1592</v>
      </c>
      <c r="H37" s="2477"/>
      <c r="I37" s="2478"/>
    </row>
    <row r="38" spans="2:9" ht="16.5" customHeight="1" x14ac:dyDescent="0.2">
      <c r="B38" s="1428">
        <v>84.01</v>
      </c>
      <c r="C38" s="2464" t="s">
        <v>2171</v>
      </c>
      <c r="D38" s="2465"/>
      <c r="E38" s="2465"/>
      <c r="F38" s="2466"/>
      <c r="G38" s="2479">
        <v>974619</v>
      </c>
      <c r="H38" s="2480"/>
      <c r="I38" s="2481"/>
    </row>
    <row r="39" spans="2:9" ht="16.5" customHeight="1" x14ac:dyDescent="0.2">
      <c r="B39" s="1428" t="s">
        <v>2142</v>
      </c>
      <c r="C39" s="2464" t="s">
        <v>2143</v>
      </c>
      <c r="D39" s="2465"/>
      <c r="E39" s="2465"/>
      <c r="F39" s="2466"/>
      <c r="G39" s="2467">
        <v>267137</v>
      </c>
      <c r="H39" s="2467"/>
      <c r="I39" s="2467"/>
    </row>
    <row r="40" spans="2:9" ht="16.5" customHeight="1" x14ac:dyDescent="0.2">
      <c r="B40" s="1428"/>
      <c r="C40" s="2464"/>
      <c r="D40" s="2465"/>
      <c r="E40" s="2465"/>
      <c r="F40" s="2466"/>
      <c r="G40" s="2467"/>
      <c r="H40" s="2467"/>
      <c r="I40" s="2467"/>
    </row>
    <row r="41" spans="2:9" ht="16.5" customHeight="1" x14ac:dyDescent="0.2">
      <c r="B41" s="1428"/>
      <c r="C41" s="2464"/>
      <c r="D41" s="2465"/>
      <c r="E41" s="2465"/>
      <c r="F41" s="2466"/>
      <c r="G41" s="2467"/>
      <c r="H41" s="2467"/>
      <c r="I41" s="2467"/>
    </row>
    <row r="42" spans="2:9" ht="16.5" customHeight="1" x14ac:dyDescent="0.2">
      <c r="B42" s="1428"/>
      <c r="C42" s="2464"/>
      <c r="D42" s="2465"/>
      <c r="E42" s="2465"/>
      <c r="F42" s="2466"/>
      <c r="G42" s="2467"/>
      <c r="H42" s="2467"/>
      <c r="I42" s="2467"/>
    </row>
    <row r="43" spans="2:9" ht="16.5" customHeight="1" x14ac:dyDescent="0.2">
      <c r="B43" s="1428"/>
      <c r="C43" s="2457" t="s">
        <v>1593</v>
      </c>
      <c r="D43" s="2458"/>
      <c r="E43" s="2458"/>
      <c r="F43" s="2459"/>
      <c r="G43" s="2460">
        <f>SUM(G38:I42)</f>
        <v>1241756</v>
      </c>
      <c r="H43" s="2460"/>
      <c r="I43" s="2460"/>
    </row>
    <row r="44" spans="2:9" ht="12.75" customHeight="1" x14ac:dyDescent="0.2"/>
    <row r="45" spans="2:9" ht="12.75" customHeight="1" x14ac:dyDescent="0.2">
      <c r="B45" s="1419" t="s">
        <v>1838</v>
      </c>
      <c r="D45" s="2461">
        <v>1306980</v>
      </c>
      <c r="E45" s="2462"/>
    </row>
    <row r="46" spans="2:9" ht="5.25" customHeight="1" x14ac:dyDescent="0.2">
      <c r="B46" s="1429"/>
      <c r="D46" s="1430"/>
      <c r="E46" s="1431"/>
    </row>
    <row r="47" spans="2:9" ht="12.75" customHeight="1" x14ac:dyDescent="0.2">
      <c r="B47" s="1297" t="s">
        <v>1594</v>
      </c>
      <c r="C47" s="1297"/>
      <c r="D47" s="1432">
        <f>+G43/D45</f>
        <v>0.95009564033114513</v>
      </c>
      <c r="E47" s="1433"/>
      <c r="F47" s="1434"/>
      <c r="I47" s="1435"/>
    </row>
    <row r="48" spans="2:9" ht="9.9499999999999993" customHeight="1" x14ac:dyDescent="0.2"/>
    <row r="49" spans="1:9" x14ac:dyDescent="0.2">
      <c r="B49" s="1365" t="s">
        <v>1273</v>
      </c>
      <c r="C49" s="1279"/>
      <c r="D49" s="1279"/>
      <c r="E49" s="2463">
        <v>750000</v>
      </c>
      <c r="F49" s="2463"/>
      <c r="G49" s="2463"/>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Cairo USD 1</v>
      </c>
      <c r="C1" s="2468"/>
      <c r="D1" s="2468"/>
      <c r="E1" s="2468"/>
      <c r="F1" s="2468"/>
      <c r="G1" s="2468"/>
      <c r="H1" s="2468"/>
      <c r="I1" s="2468"/>
      <c r="J1" s="2468"/>
      <c r="K1" s="2468"/>
      <c r="L1" s="1371"/>
      <c r="M1" s="1371"/>
    </row>
    <row r="2" spans="1:13" ht="12" customHeight="1" x14ac:dyDescent="0.2">
      <c r="B2" s="2470">
        <f>'Single Audit Cover'!E7</f>
        <v>30002001022</v>
      </c>
      <c r="C2" s="2470"/>
      <c r="D2" s="2470"/>
      <c r="E2" s="2470"/>
      <c r="F2" s="2470"/>
      <c r="G2" s="2470"/>
      <c r="H2" s="2470"/>
      <c r="I2" s="2470"/>
      <c r="J2" s="2470"/>
      <c r="K2" s="2470"/>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v>1</v>
      </c>
      <c r="E10" s="322"/>
      <c r="F10" s="1384" t="s">
        <v>1295</v>
      </c>
      <c r="G10" s="1385" t="s">
        <v>2061</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t="s">
        <v>2173</v>
      </c>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t="s">
        <v>2149</v>
      </c>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7" t="s">
        <v>2174</v>
      </c>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3" t="s">
        <v>2150</v>
      </c>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t="s">
        <v>2151</v>
      </c>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t="s">
        <v>2169</v>
      </c>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2" t="s">
        <v>2175</v>
      </c>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J18" sqref="J1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Cairo USD 1</v>
      </c>
      <c r="C1" s="2491"/>
      <c r="D1" s="2491"/>
      <c r="E1" s="2491"/>
      <c r="F1" s="2491"/>
      <c r="G1" s="2491"/>
      <c r="H1" s="2491"/>
      <c r="I1" s="2491"/>
      <c r="J1" s="2491"/>
      <c r="K1" s="2491"/>
      <c r="L1" s="1449"/>
    </row>
    <row r="2" spans="1:12" ht="12.75" customHeight="1" x14ac:dyDescent="0.2">
      <c r="B2" s="2492">
        <f>'Single Audit Cover'!E7</f>
        <v>30002001022</v>
      </c>
      <c r="C2" s="2492"/>
      <c r="D2" s="2492"/>
      <c r="E2" s="2492"/>
      <c r="F2" s="2492"/>
      <c r="G2" s="2492"/>
      <c r="H2" s="2492"/>
      <c r="I2" s="2492"/>
      <c r="J2" s="2492"/>
      <c r="K2" s="2492"/>
      <c r="L2" s="1450"/>
    </row>
    <row r="3" spans="1:12" ht="12.75" customHeight="1" x14ac:dyDescent="0.2">
      <c r="B3" s="2484" t="s">
        <v>1285</v>
      </c>
      <c r="C3" s="2484"/>
      <c r="D3" s="2484"/>
      <c r="E3" s="2484"/>
      <c r="F3" s="2484"/>
      <c r="G3" s="2484"/>
      <c r="H3" s="2484"/>
      <c r="I3" s="2484"/>
      <c r="J3" s="2484"/>
      <c r="K3" s="2484"/>
      <c r="L3" s="1374"/>
    </row>
    <row r="4" spans="1:12" ht="12.7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75" customHeight="1" x14ac:dyDescent="0.2">
      <c r="A6" s="322"/>
      <c r="B6" s="2493" t="s">
        <v>1308</v>
      </c>
      <c r="C6" s="2493"/>
      <c r="D6" s="2493"/>
      <c r="E6" s="2493"/>
      <c r="F6" s="2493"/>
      <c r="G6" s="2493"/>
      <c r="H6" s="2493"/>
      <c r="I6" s="2493"/>
      <c r="J6" s="2493"/>
      <c r="K6" s="249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5"/>
      <c r="G12" s="2475"/>
      <c r="H12" s="2475"/>
      <c r="I12" s="2475"/>
      <c r="J12" s="2475"/>
      <c r="K12" s="247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8"/>
      <c r="E14" s="2488"/>
      <c r="F14" s="2488"/>
      <c r="H14" s="1459" t="s">
        <v>1303</v>
      </c>
      <c r="I14" s="2489"/>
      <c r="J14" s="2489"/>
      <c r="K14" s="248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9"/>
      <c r="E16" s="2489"/>
      <c r="F16" s="2489"/>
      <c r="G16" s="2489"/>
      <c r="H16" s="2489"/>
      <c r="I16" s="2489"/>
      <c r="J16" s="2489"/>
      <c r="K16" s="2489"/>
      <c r="L16" s="322"/>
    </row>
    <row r="17" spans="2:12" ht="13.5" customHeight="1" x14ac:dyDescent="0.2">
      <c r="B17" s="1384" t="s">
        <v>1301</v>
      </c>
      <c r="C17" s="1384"/>
      <c r="D17" s="2490"/>
      <c r="E17" s="2490"/>
      <c r="F17" s="2490"/>
      <c r="G17" s="2490"/>
      <c r="H17" s="2490"/>
      <c r="I17" s="2490"/>
      <c r="J17" s="2490"/>
      <c r="K17" s="249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3"/>
      <c r="C20" s="2483"/>
      <c r="D20" s="2483"/>
      <c r="E20" s="2483"/>
      <c r="F20" s="2483"/>
      <c r="G20" s="2483"/>
      <c r="H20" s="2483"/>
      <c r="I20" s="2483"/>
      <c r="J20" s="2483"/>
      <c r="K20" s="248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B1" zoomScale="110" zoomScaleNormal="110" workbookViewId="0">
      <selection activeCell="H35" sqref="H3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8" t="str">
        <f>'Single Audit Cover'!A7</f>
        <v>Cairo USD 1</v>
      </c>
      <c r="C1" s="2468"/>
      <c r="D1" s="2468"/>
      <c r="E1" s="1469"/>
    </row>
    <row r="2" spans="2:5" s="1279" customFormat="1" ht="12.75" customHeight="1" x14ac:dyDescent="0.2">
      <c r="B2" s="2470">
        <f>'Single Audit Cover'!E7</f>
        <v>30002001022</v>
      </c>
      <c r="C2" s="2470"/>
      <c r="D2" s="2470"/>
      <c r="E2" s="1470"/>
    </row>
    <row r="3" spans="2:5" ht="12.75" customHeight="1" x14ac:dyDescent="0.2">
      <c r="B3" s="2484" t="s">
        <v>1763</v>
      </c>
      <c r="C3" s="2484"/>
      <c r="D3" s="2484"/>
      <c r="E3" s="1271"/>
    </row>
    <row r="4" spans="2:5" s="1279" customFormat="1" ht="12.75" customHeight="1" x14ac:dyDescent="0.2">
      <c r="B4" s="2494" t="str">
        <f>'Single Audit Cover'!A4</f>
        <v>Year Ending June 30, 2019</v>
      </c>
      <c r="C4" s="2494"/>
      <c r="D4" s="2494"/>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2144</v>
      </c>
      <c r="C7" s="324" t="s">
        <v>2145</v>
      </c>
      <c r="D7" s="324" t="s">
        <v>2172</v>
      </c>
      <c r="E7" s="324"/>
    </row>
    <row r="8" spans="2:5" ht="13.5" customHeight="1" x14ac:dyDescent="0.2">
      <c r="B8" s="1474"/>
      <c r="C8" s="324" t="s">
        <v>2146</v>
      </c>
      <c r="D8" s="324"/>
      <c r="E8" s="324"/>
    </row>
    <row r="9" spans="2:5" ht="13.5" customHeight="1" x14ac:dyDescent="0.2">
      <c r="B9" s="1475"/>
      <c r="C9" s="323" t="s">
        <v>2147</v>
      </c>
      <c r="D9" s="323"/>
      <c r="E9" s="323"/>
    </row>
    <row r="10" spans="2:5" ht="13.5" customHeight="1" x14ac:dyDescent="0.2">
      <c r="B10" s="1474"/>
      <c r="C10" s="323" t="s">
        <v>2148</v>
      </c>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17636905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1.8492000000000001E-2</v>
      </c>
      <c r="E10" s="356" t="s">
        <v>1005</v>
      </c>
      <c r="F10" s="355">
        <v>5.0000000000000001E-3</v>
      </c>
      <c r="G10" s="356" t="s">
        <v>1005</v>
      </c>
      <c r="H10" s="355">
        <v>2E-3</v>
      </c>
      <c r="I10" s="356" t="s">
        <v>1006</v>
      </c>
      <c r="J10" s="1732">
        <f>ROUND(D10+F10+H10,5)</f>
        <v>2.5489999999999999E-2</v>
      </c>
      <c r="K10" s="222"/>
      <c r="L10" s="355">
        <v>2.2680000000000001E-3</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6382076</v>
      </c>
      <c r="E16" s="356"/>
      <c r="F16" s="1733">
        <f>SUM('Acct Summary 7-8'!C17,'Acct Summary 7-8'!D17,'Acct Summary 7-8'!F17)</f>
        <v>5495183</v>
      </c>
      <c r="G16" s="356"/>
      <c r="H16" s="1733">
        <f>SUM(D16-F16)</f>
        <v>886893</v>
      </c>
      <c r="I16" s="222"/>
      <c r="J16" s="1733">
        <f>SUM('Acct Summary 7-8'!C81,'Acct Summary 7-8'!D81,'Acct Summary 7-8'!F81,'Acct Summary 7-8'!I81)</f>
        <v>5820926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2433892.89</v>
      </c>
      <c r="I31" s="368"/>
      <c r="J31" s="222"/>
      <c r="K31" s="222"/>
      <c r="L31" s="222"/>
      <c r="M31" s="222"/>
    </row>
    <row r="32" spans="1:13" ht="13.35" customHeight="1" x14ac:dyDescent="0.2">
      <c r="B32" s="369" t="s">
        <v>2061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282900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Cairo USD 1</v>
      </c>
      <c r="E7" s="391"/>
      <c r="G7" s="252"/>
      <c r="H7" s="387"/>
      <c r="I7" s="387"/>
      <c r="J7" s="387"/>
      <c r="K7" s="387"/>
      <c r="L7" s="329"/>
      <c r="M7" s="329"/>
      <c r="N7" s="329"/>
      <c r="O7" s="329"/>
      <c r="P7" s="329"/>
    </row>
    <row r="8" spans="1:18" ht="12.75" x14ac:dyDescent="0.2">
      <c r="A8" s="329"/>
      <c r="B8" s="329"/>
      <c r="C8" s="389" t="s">
        <v>1125</v>
      </c>
      <c r="D8" s="392">
        <f>COVER!A13</f>
        <v>30002001022</v>
      </c>
      <c r="E8" s="393"/>
      <c r="G8" s="329"/>
      <c r="H8" s="329"/>
      <c r="I8" s="329"/>
      <c r="J8" s="329"/>
      <c r="K8" s="329"/>
      <c r="L8" s="329"/>
      <c r="M8" s="329"/>
      <c r="N8" s="329"/>
      <c r="O8" s="329"/>
      <c r="P8" s="329"/>
    </row>
    <row r="9" spans="1:18" ht="12.75" x14ac:dyDescent="0.2">
      <c r="A9" s="329"/>
      <c r="B9" s="329"/>
      <c r="C9" s="389" t="s">
        <v>713</v>
      </c>
      <c r="D9" s="394" t="str">
        <f>COVER!A15</f>
        <v>Alexander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5820926</v>
      </c>
      <c r="I12" s="404"/>
      <c r="J12" s="404"/>
      <c r="K12" s="405">
        <f>TRUNC((H12/H13*100000),5)/100000</f>
        <v>0.91207406489999998</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6382076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5495183</v>
      </c>
      <c r="I17" s="404"/>
      <c r="J17" s="416"/>
      <c r="K17" s="405">
        <f>TRUNC((H17/H18*100000),5)/100000</f>
        <v>0.86103377640000001</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6382076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5823889</v>
      </c>
      <c r="I24" s="422"/>
      <c r="J24" s="422"/>
      <c r="K24" s="423">
        <f>TRUNC(((H24/H25*100000)/100000),2)</f>
        <v>381.53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15264.397220000001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382130.00218000001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282900</v>
      </c>
      <c r="I32" s="420"/>
      <c r="J32" s="420"/>
      <c r="K32" s="423">
        <f>TRUNC(100-((((H32/H33*100))*100)/100),2)</f>
        <v>88.37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2433892.89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orizontalCentered="1" headings="1"/>
  <pageMargins left="0.25" right="0.2" top="0.8" bottom="0.52" header="0.19" footer="0.42"/>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pane ySplit="2" topLeftCell="A25" activePane="bottomLeft" state="frozen"/>
      <selection pane="bottomLeft" activeCell="D35" sqref="D3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9"/>
      <c r="D3" s="1560"/>
      <c r="E3" s="1560"/>
      <c r="F3" s="1560"/>
      <c r="G3" s="1560"/>
      <c r="H3" s="1560"/>
      <c r="I3" s="1560"/>
      <c r="J3" s="1560"/>
      <c r="K3" s="1560"/>
      <c r="L3" s="1560"/>
      <c r="M3" s="1561"/>
      <c r="N3" s="1562"/>
    </row>
    <row r="4" spans="1:14" ht="13.5" customHeight="1" x14ac:dyDescent="0.2">
      <c r="A4" s="463" t="s">
        <v>1651</v>
      </c>
      <c r="B4" s="464"/>
      <c r="C4" s="465">
        <v>4464168</v>
      </c>
      <c r="D4" s="466">
        <v>402593</v>
      </c>
      <c r="E4" s="466">
        <v>27686</v>
      </c>
      <c r="F4" s="466">
        <v>145816</v>
      </c>
      <c r="G4" s="466">
        <v>320456</v>
      </c>
      <c r="H4" s="466">
        <v>46919</v>
      </c>
      <c r="I4" s="466">
        <v>17041</v>
      </c>
      <c r="J4" s="467">
        <v>246054</v>
      </c>
      <c r="K4" s="466">
        <v>34794</v>
      </c>
      <c r="L4" s="466">
        <v>14360</v>
      </c>
      <c r="M4" s="468"/>
      <c r="N4" s="469"/>
    </row>
    <row r="5" spans="1:14" x14ac:dyDescent="0.2">
      <c r="A5" s="463" t="s">
        <v>992</v>
      </c>
      <c r="B5" s="470">
        <v>120</v>
      </c>
      <c r="C5" s="465">
        <v>794271</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v>3140</v>
      </c>
      <c r="E12" s="466"/>
      <c r="F12" s="466"/>
      <c r="G12" s="466"/>
      <c r="H12" s="466"/>
      <c r="I12" s="466"/>
      <c r="J12" s="467"/>
      <c r="K12" s="466"/>
      <c r="L12" s="466"/>
      <c r="M12" s="469"/>
      <c r="N12" s="469"/>
    </row>
    <row r="13" spans="1:14" ht="13.5" customHeight="1" thickBot="1" x14ac:dyDescent="0.25">
      <c r="A13" s="1736" t="s">
        <v>644</v>
      </c>
      <c r="B13" s="1709"/>
      <c r="C13" s="1737">
        <f>SUM(C4:C12)</f>
        <v>5258439</v>
      </c>
      <c r="D13" s="1737">
        <f t="shared" ref="D13:L13" si="0">SUM(D4:D12)</f>
        <v>405733</v>
      </c>
      <c r="E13" s="1737">
        <f t="shared" si="0"/>
        <v>27686</v>
      </c>
      <c r="F13" s="1737">
        <f t="shared" si="0"/>
        <v>145816</v>
      </c>
      <c r="G13" s="1737">
        <f t="shared" si="0"/>
        <v>320456</v>
      </c>
      <c r="H13" s="1737">
        <f t="shared" si="0"/>
        <v>46919</v>
      </c>
      <c r="I13" s="1737">
        <f t="shared" si="0"/>
        <v>17041</v>
      </c>
      <c r="J13" s="1737">
        <f t="shared" si="0"/>
        <v>246054</v>
      </c>
      <c r="K13" s="1737">
        <f t="shared" si="0"/>
        <v>34794</v>
      </c>
      <c r="L13" s="1737">
        <f t="shared" si="0"/>
        <v>14360</v>
      </c>
      <c r="M13" s="468"/>
      <c r="N13" s="469"/>
    </row>
    <row r="14" spans="1:14" ht="18" customHeight="1" thickTop="1" x14ac:dyDescent="0.2">
      <c r="A14" s="2118" t="s">
        <v>147</v>
      </c>
      <c r="B14" s="211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204945</v>
      </c>
      <c r="N16" s="484"/>
    </row>
    <row r="17" spans="1:14" s="485" customFormat="1" ht="12.75" customHeight="1" x14ac:dyDescent="0.2">
      <c r="A17" s="482" t="s">
        <v>1403</v>
      </c>
      <c r="B17" s="483">
        <v>230</v>
      </c>
      <c r="C17" s="477"/>
      <c r="D17" s="477"/>
      <c r="E17" s="477"/>
      <c r="F17" s="477"/>
      <c r="G17" s="477"/>
      <c r="H17" s="477"/>
      <c r="I17" s="477"/>
      <c r="J17" s="477"/>
      <c r="K17" s="477"/>
      <c r="L17" s="477"/>
      <c r="M17" s="467">
        <v>8244872</v>
      </c>
      <c r="N17" s="484"/>
    </row>
    <row r="18" spans="1:14" s="485" customFormat="1" ht="12.75" customHeight="1" x14ac:dyDescent="0.2">
      <c r="A18" s="482" t="s">
        <v>1404</v>
      </c>
      <c r="B18" s="483">
        <v>240</v>
      </c>
      <c r="C18" s="477"/>
      <c r="D18" s="477"/>
      <c r="E18" s="477"/>
      <c r="F18" s="477"/>
      <c r="G18" s="477"/>
      <c r="H18" s="477"/>
      <c r="I18" s="477"/>
      <c r="J18" s="477"/>
      <c r="K18" s="477"/>
      <c r="L18" s="477"/>
      <c r="M18" s="467">
        <v>289779</v>
      </c>
      <c r="N18" s="484"/>
    </row>
    <row r="19" spans="1:14" s="485" customFormat="1" ht="12.75" customHeight="1" x14ac:dyDescent="0.2">
      <c r="A19" s="482" t="s">
        <v>1405</v>
      </c>
      <c r="B19" s="483">
        <v>250</v>
      </c>
      <c r="C19" s="477"/>
      <c r="D19" s="477"/>
      <c r="E19" s="477"/>
      <c r="F19" s="477"/>
      <c r="G19" s="477"/>
      <c r="H19" s="477"/>
      <c r="I19" s="477"/>
      <c r="J19" s="477"/>
      <c r="K19" s="477"/>
      <c r="L19" s="477"/>
      <c r="M19" s="467">
        <v>1522182</v>
      </c>
      <c r="N19" s="484"/>
    </row>
    <row r="20" spans="1:14" s="485" customFormat="1" ht="12.75" customHeight="1" x14ac:dyDescent="0.2">
      <c r="A20" s="482" t="s">
        <v>1406</v>
      </c>
      <c r="B20" s="483">
        <v>260</v>
      </c>
      <c r="C20" s="477"/>
      <c r="D20" s="477"/>
      <c r="E20" s="477"/>
      <c r="F20" s="477"/>
      <c r="G20" s="477"/>
      <c r="H20" s="477"/>
      <c r="I20" s="477"/>
      <c r="J20" s="477"/>
      <c r="K20" s="477"/>
      <c r="L20" s="477"/>
      <c r="M20" s="467">
        <v>34680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27686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255214</v>
      </c>
    </row>
    <row r="23" spans="1:14" ht="13.5" customHeight="1" thickBot="1" x14ac:dyDescent="0.25">
      <c r="A23" s="1736" t="s">
        <v>643</v>
      </c>
      <c r="B23" s="1741"/>
      <c r="C23" s="468"/>
      <c r="D23" s="468"/>
      <c r="E23" s="468"/>
      <c r="F23" s="468"/>
      <c r="G23" s="468"/>
      <c r="H23" s="468"/>
      <c r="I23" s="468"/>
      <c r="J23" s="468"/>
      <c r="K23" s="468"/>
      <c r="L23" s="468"/>
      <c r="M23" s="1688">
        <f>SUM(M15:M22)</f>
        <v>10296458</v>
      </c>
      <c r="N23" s="1688">
        <f>SUM(N21:N22)</f>
        <v>282900</v>
      </c>
    </row>
    <row r="24" spans="1:14" ht="18" customHeight="1" thickTop="1" x14ac:dyDescent="0.2">
      <c r="A24" s="2120" t="s">
        <v>598</v>
      </c>
      <c r="B24" s="212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6103</v>
      </c>
      <c r="D31" s="467"/>
      <c r="E31" s="467"/>
      <c r="F31" s="466"/>
      <c r="G31" s="467"/>
      <c r="H31" s="467"/>
      <c r="I31" s="467"/>
      <c r="J31" s="467">
        <v>699</v>
      </c>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14360</v>
      </c>
      <c r="M33" s="468"/>
      <c r="N33" s="469"/>
    </row>
    <row r="34" spans="1:14" ht="13.5" customHeight="1" thickBot="1" x14ac:dyDescent="0.25">
      <c r="A34" s="1738" t="s">
        <v>654</v>
      </c>
      <c r="B34" s="1739"/>
      <c r="C34" s="1740">
        <f>SUM(C25:C33)</f>
        <v>6103</v>
      </c>
      <c r="D34" s="1740">
        <f t="shared" ref="D34:K34" si="1">SUM(D25:D33)</f>
        <v>0</v>
      </c>
      <c r="E34" s="1740">
        <f t="shared" si="1"/>
        <v>0</v>
      </c>
      <c r="F34" s="1740">
        <f t="shared" si="1"/>
        <v>0</v>
      </c>
      <c r="G34" s="1740">
        <f t="shared" si="1"/>
        <v>0</v>
      </c>
      <c r="H34" s="1740">
        <f t="shared" si="1"/>
        <v>0</v>
      </c>
      <c r="I34" s="1740">
        <f t="shared" si="1"/>
        <v>0</v>
      </c>
      <c r="J34" s="1740">
        <f t="shared" si="1"/>
        <v>699</v>
      </c>
      <c r="K34" s="1740">
        <f t="shared" si="1"/>
        <v>0</v>
      </c>
      <c r="L34" s="1721">
        <f>SUM(L33)</f>
        <v>14360</v>
      </c>
      <c r="M34" s="468"/>
      <c r="N34" s="480"/>
    </row>
    <row r="35" spans="1:14" ht="18" customHeight="1" thickTop="1" x14ac:dyDescent="0.2">
      <c r="A35" s="2122" t="s">
        <v>529</v>
      </c>
      <c r="B35" s="212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282900</v>
      </c>
    </row>
    <row r="37" spans="1:14" ht="13.5" thickBot="1" x14ac:dyDescent="0.25">
      <c r="A37" s="1736" t="s">
        <v>653</v>
      </c>
      <c r="B37" s="1741"/>
      <c r="C37" s="477"/>
      <c r="D37" s="477"/>
      <c r="E37" s="477"/>
      <c r="F37" s="477"/>
      <c r="G37" s="477"/>
      <c r="H37" s="477"/>
      <c r="I37" s="477"/>
      <c r="J37" s="477"/>
      <c r="K37" s="477"/>
      <c r="L37" s="480"/>
      <c r="M37" s="468"/>
      <c r="N37" s="1688">
        <f>SUM(N36:N36)</f>
        <v>282900</v>
      </c>
    </row>
    <row r="38" spans="1:14" s="329" customFormat="1" ht="13.5" customHeight="1" thickTop="1" x14ac:dyDescent="0.2">
      <c r="A38" s="496" t="s">
        <v>420</v>
      </c>
      <c r="B38" s="483">
        <v>714</v>
      </c>
      <c r="C38" s="466"/>
      <c r="D38" s="466"/>
      <c r="E38" s="466">
        <v>27686</v>
      </c>
      <c r="F38" s="466"/>
      <c r="G38" s="466">
        <v>320456</v>
      </c>
      <c r="H38" s="466"/>
      <c r="I38" s="466"/>
      <c r="J38" s="467">
        <v>245355</v>
      </c>
      <c r="K38" s="466">
        <v>34794</v>
      </c>
      <c r="L38" s="481"/>
      <c r="M38" s="497"/>
      <c r="N38" s="497"/>
    </row>
    <row r="39" spans="1:14" s="329" customFormat="1" ht="13.5" customHeight="1" x14ac:dyDescent="0.2">
      <c r="A39" s="496" t="s">
        <v>342</v>
      </c>
      <c r="B39" s="483">
        <v>730</v>
      </c>
      <c r="C39" s="466">
        <v>5252336</v>
      </c>
      <c r="D39" s="466">
        <v>405733</v>
      </c>
      <c r="E39" s="466"/>
      <c r="F39" s="466">
        <v>145816</v>
      </c>
      <c r="G39" s="466"/>
      <c r="H39" s="466">
        <v>46919</v>
      </c>
      <c r="I39" s="466">
        <v>17041</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10296458</v>
      </c>
      <c r="N40" s="497"/>
    </row>
    <row r="41" spans="1:14" ht="13.5" customHeight="1" thickBot="1" x14ac:dyDescent="0.25">
      <c r="A41" s="1736" t="s">
        <v>655</v>
      </c>
      <c r="B41" s="1706"/>
      <c r="C41" s="1688">
        <f>(SUM(C34,C37,C38,C39))</f>
        <v>5258439</v>
      </c>
      <c r="D41" s="1688">
        <f t="shared" ref="D41:L41" si="2">SUM(D34,D37,D38:D39)</f>
        <v>405733</v>
      </c>
      <c r="E41" s="1688">
        <f t="shared" si="2"/>
        <v>27686</v>
      </c>
      <c r="F41" s="1688">
        <f t="shared" si="2"/>
        <v>145816</v>
      </c>
      <c r="G41" s="1688">
        <f t="shared" si="2"/>
        <v>320456</v>
      </c>
      <c r="H41" s="1688">
        <f t="shared" si="2"/>
        <v>46919</v>
      </c>
      <c r="I41" s="1688">
        <f t="shared" si="2"/>
        <v>17041</v>
      </c>
      <c r="J41" s="1688">
        <f t="shared" si="2"/>
        <v>246054</v>
      </c>
      <c r="K41" s="1688">
        <f t="shared" si="2"/>
        <v>34794</v>
      </c>
      <c r="L41" s="1688">
        <f t="shared" si="2"/>
        <v>14360</v>
      </c>
      <c r="M41" s="1688">
        <f>SUM(M40)</f>
        <v>10296458</v>
      </c>
      <c r="N41" s="1688">
        <f>SUM(N37)</f>
        <v>282900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1.1100000000000001" bottom="0.5" header="0.53" footer="0.4"/>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 activePane="bottomLeft" state="frozen"/>
      <selection pane="bottomLeft" activeCell="C17" sqref="C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3"/>
      <c r="D3" s="1574"/>
      <c r="E3" s="1574"/>
      <c r="F3" s="1574"/>
      <c r="G3" s="1574"/>
      <c r="H3" s="1574"/>
      <c r="I3" s="1574"/>
      <c r="J3" s="1574"/>
      <c r="K3" s="1575"/>
      <c r="L3" s="506"/>
    </row>
    <row r="4" spans="1:13" ht="15.75" customHeight="1" x14ac:dyDescent="0.2">
      <c r="A4" s="1928" t="s">
        <v>1499</v>
      </c>
      <c r="B4" s="1929">
        <v>1000</v>
      </c>
      <c r="C4" s="1742">
        <f>'Revenues 9-14'!C109</f>
        <v>619492</v>
      </c>
      <c r="D4" s="1742">
        <f>'Revenues 9-14'!D109</f>
        <v>86884</v>
      </c>
      <c r="E4" s="1742">
        <f>'Revenues 9-14'!E109</f>
        <v>144886</v>
      </c>
      <c r="F4" s="1742">
        <f>'Revenues 9-14'!F109</f>
        <v>34711</v>
      </c>
      <c r="G4" s="1742">
        <f>'Revenues 9-14'!G109</f>
        <v>156687</v>
      </c>
      <c r="H4" s="1742">
        <f>'Revenues 9-14'!H109</f>
        <v>136</v>
      </c>
      <c r="I4" s="1742">
        <f>'Revenues 9-14'!I109</f>
        <v>8553</v>
      </c>
      <c r="J4" s="1742">
        <f>'Revenues 9-14'!J109</f>
        <v>174820</v>
      </c>
      <c r="K4" s="1742">
        <f>'Revenues 9-14'!K109</f>
        <v>8622</v>
      </c>
      <c r="L4" s="347"/>
    </row>
    <row r="5" spans="1:13" ht="15.75" customHeight="1" x14ac:dyDescent="0.2">
      <c r="A5" s="1576" t="s">
        <v>1500</v>
      </c>
      <c r="B5" s="1577">
        <v>2000</v>
      </c>
      <c r="C5" s="1743">
        <f>'Revenues 9-14'!C114</f>
        <v>5906</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3746429</v>
      </c>
      <c r="D6" s="1743">
        <f>'Revenues 9-14'!D170</f>
        <v>275000</v>
      </c>
      <c r="E6" s="1743">
        <f>'Revenues 9-14'!E170</f>
        <v>0</v>
      </c>
      <c r="F6" s="1743">
        <f>'Revenues 9-14'!F170</f>
        <v>388438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1216663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5588490</v>
      </c>
      <c r="D8" s="1688">
        <f t="shared" ref="D8:K8" si="0">SUM(D4:D7)</f>
        <v>361884</v>
      </c>
      <c r="E8" s="1688">
        <f t="shared" si="0"/>
        <v>144886</v>
      </c>
      <c r="F8" s="1688">
        <f t="shared" si="0"/>
        <v>423149</v>
      </c>
      <c r="G8" s="1688">
        <f t="shared" si="0"/>
        <v>156687</v>
      </c>
      <c r="H8" s="1688">
        <f t="shared" si="0"/>
        <v>136</v>
      </c>
      <c r="I8" s="1688">
        <f t="shared" si="0"/>
        <v>8553</v>
      </c>
      <c r="J8" s="1688">
        <f t="shared" si="0"/>
        <v>174820</v>
      </c>
      <c r="K8" s="1688">
        <f t="shared" si="0"/>
        <v>8622</v>
      </c>
      <c r="L8" s="347"/>
    </row>
    <row r="9" spans="1:13" ht="15.75" thickTop="1" x14ac:dyDescent="0.2">
      <c r="A9" s="514" t="s">
        <v>1653</v>
      </c>
      <c r="B9" s="515">
        <v>3998</v>
      </c>
      <c r="C9" s="481">
        <v>1290625</v>
      </c>
      <c r="D9" s="516"/>
      <c r="E9" s="481"/>
      <c r="F9" s="481"/>
      <c r="G9" s="517"/>
      <c r="H9" s="481"/>
      <c r="I9" s="509" t="s">
        <v>1169</v>
      </c>
      <c r="J9" s="478"/>
      <c r="K9" s="481"/>
      <c r="L9" s="347"/>
    </row>
    <row r="10" spans="1:13" s="519" customFormat="1" ht="13.5" thickBot="1" x14ac:dyDescent="0.25">
      <c r="A10" s="1736" t="s">
        <v>1173</v>
      </c>
      <c r="B10" s="1709"/>
      <c r="C10" s="1688">
        <f>SUM(C8:C9)</f>
        <v>6879115</v>
      </c>
      <c r="D10" s="1688">
        <f t="shared" ref="D10:K10" si="1">SUM(D8:D9)</f>
        <v>361884</v>
      </c>
      <c r="E10" s="1688">
        <f t="shared" si="1"/>
        <v>144886</v>
      </c>
      <c r="F10" s="1688">
        <f t="shared" si="1"/>
        <v>423149</v>
      </c>
      <c r="G10" s="1688">
        <f t="shared" si="1"/>
        <v>156687</v>
      </c>
      <c r="H10" s="1688">
        <f t="shared" si="1"/>
        <v>136</v>
      </c>
      <c r="I10" s="1688">
        <f t="shared" si="1"/>
        <v>8553</v>
      </c>
      <c r="J10" s="1688">
        <f t="shared" si="1"/>
        <v>174820</v>
      </c>
      <c r="K10" s="1688">
        <f t="shared" si="1"/>
        <v>8622</v>
      </c>
      <c r="L10" s="518"/>
    </row>
    <row r="11" spans="1:13" s="519" customFormat="1" ht="16.7" customHeight="1" thickTop="1" x14ac:dyDescent="0.2">
      <c r="A11" s="2118" t="s">
        <v>1176</v>
      </c>
      <c r="B11" s="2119"/>
      <c r="C11" s="1570"/>
      <c r="D11" s="1571"/>
      <c r="E11" s="1571"/>
      <c r="F11" s="1571"/>
      <c r="G11" s="1571"/>
      <c r="H11" s="1571"/>
      <c r="I11" s="1571"/>
      <c r="J11" s="1571"/>
      <c r="K11" s="1572"/>
      <c r="L11" s="518"/>
    </row>
    <row r="12" spans="1:13" ht="15.75" customHeight="1" x14ac:dyDescent="0.2">
      <c r="A12" s="1576" t="s">
        <v>456</v>
      </c>
      <c r="B12" s="1578">
        <v>1000</v>
      </c>
      <c r="C12" s="1742">
        <f>'Expenditures 15-22'!K33</f>
        <v>2342310</v>
      </c>
      <c r="D12" s="520" t="s">
        <v>1169</v>
      </c>
      <c r="E12" s="468" t="s">
        <v>1169</v>
      </c>
      <c r="F12" s="468" t="s">
        <v>1169</v>
      </c>
      <c r="G12" s="1742">
        <f>'Expenditures 15-22'!K229</f>
        <v>84844</v>
      </c>
      <c r="H12" s="521"/>
      <c r="I12" s="468" t="s">
        <v>1169</v>
      </c>
      <c r="J12" s="468" t="s">
        <v>1169</v>
      </c>
      <c r="K12" s="521" t="s">
        <v>1169</v>
      </c>
      <c r="L12" s="347"/>
    </row>
    <row r="13" spans="1:13" ht="15.75" customHeight="1" x14ac:dyDescent="0.2">
      <c r="A13" s="1576" t="s">
        <v>457</v>
      </c>
      <c r="B13" s="1578">
        <v>2000</v>
      </c>
      <c r="C13" s="1743">
        <f>'Expenditures 15-22'!K74</f>
        <v>1997570</v>
      </c>
      <c r="D13" s="1743">
        <f>'Expenditures 15-22'!K129</f>
        <v>346191</v>
      </c>
      <c r="E13" s="469" t="s">
        <v>1169</v>
      </c>
      <c r="F13" s="1743">
        <f>'Expenditures 15-22'!K184</f>
        <v>407925</v>
      </c>
      <c r="G13" s="1743">
        <f>'Expenditures 15-22'!K279</f>
        <v>103522</v>
      </c>
      <c r="H13" s="1743">
        <f>'Expenditures 15-22'!K303</f>
        <v>157223</v>
      </c>
      <c r="I13" s="468" t="s">
        <v>1169</v>
      </c>
      <c r="J13" s="1743">
        <f>'Expenditures 15-22'!K330</f>
        <v>207190</v>
      </c>
      <c r="K13" s="1747">
        <f>'Expenditures 15-22'!K352</f>
        <v>40000</v>
      </c>
      <c r="L13" s="347"/>
    </row>
    <row r="14" spans="1:13" ht="15.75" customHeight="1" x14ac:dyDescent="0.2">
      <c r="A14" s="1576" t="s">
        <v>449</v>
      </c>
      <c r="B14" s="1578">
        <v>3000</v>
      </c>
      <c r="C14" s="1743">
        <f>'Expenditures 15-22'!K75</f>
        <v>197613</v>
      </c>
      <c r="D14" s="1743">
        <f>'Expenditures 15-22'!K130</f>
        <v>0</v>
      </c>
      <c r="E14" s="520" t="s">
        <v>1169</v>
      </c>
      <c r="F14" s="1743">
        <f>'Expenditures 15-22'!K185</f>
        <v>0</v>
      </c>
      <c r="G14" s="1743">
        <f>'Expenditures 15-22'!K280</f>
        <v>22633</v>
      </c>
      <c r="H14" s="512"/>
      <c r="I14" s="468" t="s">
        <v>1169</v>
      </c>
      <c r="J14" s="468" t="s">
        <v>1169</v>
      </c>
      <c r="K14" s="512" t="s">
        <v>1169</v>
      </c>
      <c r="L14" s="347"/>
    </row>
    <row r="15" spans="1:13" ht="15.75" customHeight="1" x14ac:dyDescent="0.2">
      <c r="A15" s="1576" t="s">
        <v>107</v>
      </c>
      <c r="B15" s="1578">
        <v>4000</v>
      </c>
      <c r="C15" s="1743">
        <f>'Expenditures 15-22'!K102</f>
        <v>203574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145271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4741067</v>
      </c>
      <c r="D17" s="1688">
        <f t="shared" si="2"/>
        <v>346191</v>
      </c>
      <c r="E17" s="1688">
        <f t="shared" si="2"/>
        <v>145271</v>
      </c>
      <c r="F17" s="1688">
        <f t="shared" si="2"/>
        <v>407925</v>
      </c>
      <c r="G17" s="1688">
        <f t="shared" si="2"/>
        <v>210999</v>
      </c>
      <c r="H17" s="1688">
        <f t="shared" si="2"/>
        <v>157223</v>
      </c>
      <c r="I17" s="468"/>
      <c r="J17" s="1688">
        <f>SUM(J12:J16)</f>
        <v>207190</v>
      </c>
      <c r="K17" s="1688">
        <f>SUM(K12:K16)</f>
        <v>40000</v>
      </c>
      <c r="L17" s="347"/>
    </row>
    <row r="18" spans="1:12" ht="15" customHeight="1" thickTop="1" x14ac:dyDescent="0.2">
      <c r="A18" s="1744" t="s">
        <v>1654</v>
      </c>
      <c r="B18" s="1745">
        <v>4180</v>
      </c>
      <c r="C18" s="1742">
        <f t="shared" ref="C18:H18" si="3">C9</f>
        <v>1290625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6031692</v>
      </c>
      <c r="D19" s="1688">
        <f t="shared" si="4"/>
        <v>346191</v>
      </c>
      <c r="E19" s="1688">
        <f t="shared" si="4"/>
        <v>145271</v>
      </c>
      <c r="F19" s="1688">
        <f t="shared" si="4"/>
        <v>407925</v>
      </c>
      <c r="G19" s="1688">
        <f t="shared" si="4"/>
        <v>210999</v>
      </c>
      <c r="H19" s="1688">
        <f t="shared" si="4"/>
        <v>157223</v>
      </c>
      <c r="I19" s="468"/>
      <c r="J19" s="1688">
        <f>SUM(J17:J18)</f>
        <v>207190</v>
      </c>
      <c r="K19" s="1688">
        <f>SUM(K17:K18)</f>
        <v>40000</v>
      </c>
      <c r="L19" s="347"/>
    </row>
    <row r="20" spans="1:12" ht="16.5" thickTop="1" thickBot="1" x14ac:dyDescent="0.25">
      <c r="A20" s="2134" t="s">
        <v>1655</v>
      </c>
      <c r="B20" s="2135"/>
      <c r="C20" s="1746">
        <f>C8-C17</f>
        <v>847423</v>
      </c>
      <c r="D20" s="1746">
        <f t="shared" ref="D20:K20" si="5">D8-D17</f>
        <v>15693</v>
      </c>
      <c r="E20" s="1746">
        <f t="shared" si="5"/>
        <v>-385</v>
      </c>
      <c r="F20" s="1746">
        <f t="shared" si="5"/>
        <v>15224</v>
      </c>
      <c r="G20" s="1746">
        <f t="shared" si="5"/>
        <v>-54312</v>
      </c>
      <c r="H20" s="1746">
        <f t="shared" si="5"/>
        <v>-157087</v>
      </c>
      <c r="I20" s="1746">
        <f t="shared" si="5"/>
        <v>8553</v>
      </c>
      <c r="J20" s="1746">
        <f t="shared" si="5"/>
        <v>-32370</v>
      </c>
      <c r="K20" s="1746">
        <f t="shared" si="5"/>
        <v>-31378</v>
      </c>
      <c r="L20" s="347"/>
    </row>
    <row r="21" spans="1:12" ht="16.7" customHeight="1" thickTop="1" x14ac:dyDescent="0.2">
      <c r="A21" s="2146" t="s">
        <v>595</v>
      </c>
      <c r="B21" s="2147"/>
      <c r="C21" s="1570"/>
      <c r="D21" s="1571"/>
      <c r="E21" s="1571"/>
      <c r="F21" s="1571"/>
      <c r="G21" s="1571"/>
      <c r="H21" s="1571"/>
      <c r="I21" s="1571"/>
      <c r="J21" s="1571"/>
      <c r="K21" s="1572"/>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6" t="s">
        <v>1177</v>
      </c>
      <c r="B77" s="212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0" t="s">
        <v>597</v>
      </c>
      <c r="B78" s="2131"/>
      <c r="C78" s="1702">
        <f t="shared" ref="C78:K78" si="9">C20+C77</f>
        <v>847423</v>
      </c>
      <c r="D78" s="1702">
        <f t="shared" si="9"/>
        <v>15693</v>
      </c>
      <c r="E78" s="1702">
        <f t="shared" si="9"/>
        <v>-385</v>
      </c>
      <c r="F78" s="1702">
        <f t="shared" si="9"/>
        <v>15224</v>
      </c>
      <c r="G78" s="1702">
        <f t="shared" si="9"/>
        <v>-54312</v>
      </c>
      <c r="H78" s="1702">
        <f t="shared" si="9"/>
        <v>-157087</v>
      </c>
      <c r="I78" s="1702">
        <f t="shared" si="9"/>
        <v>8553</v>
      </c>
      <c r="J78" s="1702">
        <f t="shared" si="9"/>
        <v>-32370</v>
      </c>
      <c r="K78" s="1702">
        <f t="shared" si="9"/>
        <v>-31378</v>
      </c>
      <c r="L78" s="533"/>
    </row>
    <row r="79" spans="1:12" ht="13.5" thickTop="1" x14ac:dyDescent="0.2">
      <c r="A79" s="1494" t="s">
        <v>1946</v>
      </c>
      <c r="B79" s="534"/>
      <c r="C79" s="478">
        <v>4404913</v>
      </c>
      <c r="D79" s="535">
        <v>390040</v>
      </c>
      <c r="E79" s="535">
        <v>28071</v>
      </c>
      <c r="F79" s="535">
        <v>130592</v>
      </c>
      <c r="G79" s="535">
        <v>374768</v>
      </c>
      <c r="H79" s="535">
        <v>204006</v>
      </c>
      <c r="I79" s="535">
        <v>8488</v>
      </c>
      <c r="J79" s="535">
        <v>277725</v>
      </c>
      <c r="K79" s="535">
        <v>66172</v>
      </c>
      <c r="L79" s="347"/>
    </row>
    <row r="80" spans="1:12" x14ac:dyDescent="0.2">
      <c r="A80" s="2136" t="s">
        <v>1792</v>
      </c>
      <c r="B80" s="2137"/>
      <c r="C80" s="467"/>
      <c r="D80" s="467"/>
      <c r="E80" s="467"/>
      <c r="F80" s="467"/>
      <c r="G80" s="467"/>
      <c r="H80" s="467"/>
      <c r="I80" s="467"/>
      <c r="J80" s="467"/>
      <c r="K80" s="467"/>
      <c r="L80" s="347"/>
    </row>
    <row r="81" spans="1:12" ht="13.5" thickBot="1" x14ac:dyDescent="0.25">
      <c r="A81" s="2128" t="s">
        <v>1947</v>
      </c>
      <c r="B81" s="2129"/>
      <c r="C81" s="1688">
        <f>(SUM(C78:C80))</f>
        <v>5252336</v>
      </c>
      <c r="D81" s="1688">
        <f>SUM(D78:D80)</f>
        <v>405733</v>
      </c>
      <c r="E81" s="1688">
        <f t="shared" ref="E81:K81" si="10">SUM(E78:E80)</f>
        <v>27686</v>
      </c>
      <c r="F81" s="1688">
        <f t="shared" si="10"/>
        <v>145816</v>
      </c>
      <c r="G81" s="1688">
        <f t="shared" si="10"/>
        <v>320456</v>
      </c>
      <c r="H81" s="1688">
        <f t="shared" si="10"/>
        <v>46919</v>
      </c>
      <c r="I81" s="1688">
        <f t="shared" si="10"/>
        <v>17041</v>
      </c>
      <c r="J81" s="1688">
        <f t="shared" si="10"/>
        <v>245355</v>
      </c>
      <c r="K81" s="1688">
        <f t="shared" si="10"/>
        <v>34794</v>
      </c>
      <c r="L81" s="347"/>
    </row>
    <row r="82" spans="1:12" ht="0.75" customHeight="1" thickTop="1" thickBot="1" x14ac:dyDescent="0.25">
      <c r="A82" s="536" t="s">
        <v>343</v>
      </c>
      <c r="B82" s="537"/>
      <c r="C82" s="538">
        <f>(C81-C79)</f>
        <v>847423</v>
      </c>
      <c r="D82" s="538">
        <f t="shared" ref="D82:K82" si="11">(D81-D79)</f>
        <v>15693</v>
      </c>
      <c r="E82" s="538">
        <f t="shared" si="11"/>
        <v>-385</v>
      </c>
      <c r="F82" s="538">
        <f t="shared" si="11"/>
        <v>15224</v>
      </c>
      <c r="G82" s="538">
        <f t="shared" si="11"/>
        <v>-54312</v>
      </c>
      <c r="H82" s="538">
        <f t="shared" si="11"/>
        <v>-157087</v>
      </c>
      <c r="I82" s="538">
        <f t="shared" si="11"/>
        <v>8553</v>
      </c>
      <c r="J82" s="538">
        <f t="shared" si="11"/>
        <v>-32370</v>
      </c>
      <c r="K82" s="538">
        <f t="shared" si="11"/>
        <v>-31378</v>
      </c>
    </row>
    <row r="83" spans="1:12" ht="14.25" hidden="1" thickTop="1" thickBot="1" x14ac:dyDescent="0.25">
      <c r="A83" s="539" t="s">
        <v>344</v>
      </c>
      <c r="B83" s="464"/>
      <c r="C83" s="540">
        <f>C82/C81</f>
        <v>0.16134211520359704</v>
      </c>
      <c r="D83" s="540">
        <f t="shared" ref="D83:K83" si="12">D82/D81</f>
        <v>3.86781454799092E-2</v>
      </c>
      <c r="E83" s="540">
        <f t="shared" si="12"/>
        <v>-1.3905945243083147E-2</v>
      </c>
      <c r="F83" s="540">
        <f t="shared" si="12"/>
        <v>0.1044055522027761</v>
      </c>
      <c r="G83" s="540">
        <f t="shared" si="12"/>
        <v>-0.16948348603240382</v>
      </c>
      <c r="H83" s="540">
        <f t="shared" si="12"/>
        <v>-3.348046633559965</v>
      </c>
      <c r="I83" s="540">
        <f t="shared" si="12"/>
        <v>0.50190716507247224</v>
      </c>
      <c r="J83" s="540">
        <f t="shared" si="12"/>
        <v>-0.13193128324264841</v>
      </c>
      <c r="K83" s="540">
        <f t="shared" si="12"/>
        <v>-0.9018221532448123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1.05" bottom="0.5" header="0.44" footer="0.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9" activePane="bottomLeft" state="frozen"/>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1799</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315053</v>
      </c>
      <c r="D5" s="481">
        <v>85186</v>
      </c>
      <c r="E5" s="466">
        <v>144549</v>
      </c>
      <c r="F5" s="548">
        <v>34075</v>
      </c>
      <c r="G5" s="466">
        <v>72063</v>
      </c>
      <c r="H5" s="466"/>
      <c r="I5" s="466">
        <v>8519</v>
      </c>
      <c r="J5" s="467">
        <v>174132</v>
      </c>
      <c r="K5" s="466">
        <v>8519</v>
      </c>
    </row>
    <row r="6" spans="1:12" ht="15" x14ac:dyDescent="0.2">
      <c r="A6" s="463" t="s">
        <v>1662</v>
      </c>
      <c r="B6" s="470">
        <v>1130</v>
      </c>
      <c r="C6" s="466"/>
      <c r="D6" s="466"/>
      <c r="E6" s="475"/>
      <c r="F6" s="475"/>
      <c r="G6" s="468"/>
      <c r="H6" s="468"/>
      <c r="I6" s="468"/>
      <c r="J6" s="468"/>
      <c r="K6" s="468"/>
    </row>
    <row r="7" spans="1:12" x14ac:dyDescent="0.2">
      <c r="A7" s="463" t="s">
        <v>110</v>
      </c>
      <c r="B7" s="549">
        <v>1140</v>
      </c>
      <c r="C7" s="466">
        <v>6815</v>
      </c>
      <c r="D7" s="466"/>
      <c r="E7" s="468"/>
      <c r="F7" s="467"/>
      <c r="G7" s="467"/>
      <c r="H7" s="467"/>
      <c r="I7" s="468"/>
      <c r="J7" s="468"/>
      <c r="K7" s="468"/>
    </row>
    <row r="8" spans="1:12" x14ac:dyDescent="0.2">
      <c r="A8" s="463" t="s">
        <v>413</v>
      </c>
      <c r="B8" s="470">
        <v>1150</v>
      </c>
      <c r="C8" s="475"/>
      <c r="D8" s="475"/>
      <c r="E8" s="477"/>
      <c r="F8" s="477"/>
      <c r="G8" s="481">
        <v>60859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321868</v>
      </c>
      <c r="D12" s="1707">
        <f t="shared" si="0"/>
        <v>85186</v>
      </c>
      <c r="E12" s="1707">
        <f t="shared" si="0"/>
        <v>144549</v>
      </c>
      <c r="F12" s="1707">
        <f t="shared" si="0"/>
        <v>34075</v>
      </c>
      <c r="G12" s="1707">
        <f t="shared" si="0"/>
        <v>132922</v>
      </c>
      <c r="H12" s="1707">
        <f t="shared" si="0"/>
        <v>0</v>
      </c>
      <c r="I12" s="1707">
        <f t="shared" si="0"/>
        <v>8519</v>
      </c>
      <c r="J12" s="1707">
        <f t="shared" si="0"/>
        <v>174132</v>
      </c>
      <c r="K12" s="1688">
        <f t="shared" si="0"/>
        <v>8519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516</v>
      </c>
      <c r="D14" s="466">
        <v>137</v>
      </c>
      <c r="E14" s="466">
        <v>232</v>
      </c>
      <c r="F14" s="466">
        <v>55</v>
      </c>
      <c r="G14" s="466">
        <v>207</v>
      </c>
      <c r="H14" s="466"/>
      <c r="I14" s="466">
        <v>14</v>
      </c>
      <c r="J14" s="467">
        <v>279</v>
      </c>
      <c r="K14" s="466">
        <v>14</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236032</v>
      </c>
      <c r="D16" s="466"/>
      <c r="E16" s="466"/>
      <c r="F16" s="466"/>
      <c r="G16" s="466">
        <v>22989</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236548</v>
      </c>
      <c r="D18" s="1710">
        <f t="shared" ref="D18:K18" si="1">SUM(D14:D17)</f>
        <v>137</v>
      </c>
      <c r="E18" s="1710">
        <f t="shared" si="1"/>
        <v>232</v>
      </c>
      <c r="F18" s="1710">
        <f t="shared" si="1"/>
        <v>55</v>
      </c>
      <c r="G18" s="1710">
        <f t="shared" si="1"/>
        <v>23196</v>
      </c>
      <c r="H18" s="1710">
        <f t="shared" si="1"/>
        <v>0</v>
      </c>
      <c r="I18" s="1710">
        <f t="shared" si="1"/>
        <v>14</v>
      </c>
      <c r="J18" s="1710">
        <f t="shared" si="1"/>
        <v>279</v>
      </c>
      <c r="K18" s="1711">
        <f t="shared" si="1"/>
        <v>14</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22521</v>
      </c>
      <c r="D65" s="466">
        <v>601</v>
      </c>
      <c r="E65" s="466">
        <v>105</v>
      </c>
      <c r="F65" s="467">
        <v>317</v>
      </c>
      <c r="G65" s="466">
        <v>569</v>
      </c>
      <c r="H65" s="466">
        <v>136</v>
      </c>
      <c r="I65" s="466">
        <v>20</v>
      </c>
      <c r="J65" s="467">
        <v>409</v>
      </c>
      <c r="K65" s="466">
        <v>89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22521</v>
      </c>
      <c r="D67" s="1688">
        <f t="shared" ref="D67:K67" si="2">SUM(D65:D66)</f>
        <v>601</v>
      </c>
      <c r="E67" s="1688">
        <f t="shared" si="2"/>
        <v>105</v>
      </c>
      <c r="F67" s="1688">
        <f t="shared" si="2"/>
        <v>317</v>
      </c>
      <c r="G67" s="1688">
        <f t="shared" si="2"/>
        <v>569</v>
      </c>
      <c r="H67" s="1688">
        <f t="shared" si="2"/>
        <v>136</v>
      </c>
      <c r="I67" s="1688">
        <f t="shared" si="2"/>
        <v>20</v>
      </c>
      <c r="J67" s="1688">
        <f t="shared" si="2"/>
        <v>409</v>
      </c>
      <c r="K67" s="1688">
        <f t="shared" si="2"/>
        <v>89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8363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4090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12453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1654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1654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960</v>
      </c>
      <c r="E95" s="521"/>
      <c r="F95" s="521"/>
      <c r="G95" s="521"/>
      <c r="H95" s="521"/>
      <c r="I95" s="521"/>
      <c r="J95" s="521"/>
      <c r="K95" s="521"/>
    </row>
    <row r="96" spans="1:11" ht="12.75" customHeight="1" x14ac:dyDescent="0.2">
      <c r="A96" s="463" t="s">
        <v>391</v>
      </c>
      <c r="B96" s="470">
        <v>1920</v>
      </c>
      <c r="C96" s="551">
        <v>500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23717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231</v>
      </c>
      <c r="D107" s="466"/>
      <c r="E107" s="466"/>
      <c r="F107" s="466">
        <v>264</v>
      </c>
      <c r="G107" s="466"/>
      <c r="H107" s="466"/>
      <c r="I107" s="466"/>
      <c r="J107" s="467"/>
      <c r="K107" s="466"/>
    </row>
    <row r="108" spans="1:12" ht="12.75" customHeight="1" thickBot="1" x14ac:dyDescent="0.25">
      <c r="A108" s="1708" t="s">
        <v>487</v>
      </c>
      <c r="B108" s="1712"/>
      <c r="C108" s="1707">
        <f>SUM(C95:C107)</f>
        <v>24448</v>
      </c>
      <c r="D108" s="1707">
        <f t="shared" ref="D108:K108" si="3">SUM(D95:D107)</f>
        <v>960</v>
      </c>
      <c r="E108" s="1707">
        <f t="shared" si="3"/>
        <v>0</v>
      </c>
      <c r="F108" s="1707">
        <f t="shared" si="3"/>
        <v>264</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619492</v>
      </c>
      <c r="D109" s="1715">
        <f t="shared" si="4"/>
        <v>86884</v>
      </c>
      <c r="E109" s="1715">
        <f t="shared" si="4"/>
        <v>144886</v>
      </c>
      <c r="F109" s="1715">
        <f t="shared" si="4"/>
        <v>34711</v>
      </c>
      <c r="G109" s="1715">
        <f t="shared" si="4"/>
        <v>156687</v>
      </c>
      <c r="H109" s="1715">
        <f t="shared" si="4"/>
        <v>136</v>
      </c>
      <c r="I109" s="1715">
        <f t="shared" si="4"/>
        <v>8553</v>
      </c>
      <c r="J109" s="1715">
        <f t="shared" si="4"/>
        <v>174820</v>
      </c>
      <c r="K109" s="1702">
        <f t="shared" si="4"/>
        <v>8622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5906</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5906</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3117582</v>
      </c>
      <c r="D117" s="481">
        <v>275000</v>
      </c>
      <c r="E117" s="466"/>
      <c r="F117" s="481">
        <v>165000</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3117582</v>
      </c>
      <c r="D122" s="1707">
        <f t="shared" si="5"/>
        <v>275000</v>
      </c>
      <c r="E122" s="1707">
        <f t="shared" si="5"/>
        <v>0</v>
      </c>
      <c r="F122" s="1707">
        <f t="shared" si="5"/>
        <v>165000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9147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9147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5550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3890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104171</v>
      </c>
      <c r="G152" s="467"/>
      <c r="H152" s="468"/>
      <c r="I152" s="468"/>
      <c r="J152" s="468"/>
      <c r="K152" s="468"/>
    </row>
    <row r="153" spans="1:11" ht="12.75" customHeight="1" x14ac:dyDescent="0.2">
      <c r="A153" s="463" t="s">
        <v>1057</v>
      </c>
      <c r="B153" s="562">
        <v>3510</v>
      </c>
      <c r="C153" s="551"/>
      <c r="D153" s="466"/>
      <c r="E153" s="561"/>
      <c r="F153" s="466">
        <v>64515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168686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v>6184</v>
      </c>
      <c r="D158" s="468"/>
      <c r="E158" s="561"/>
      <c r="F158" s="576"/>
      <c r="G158" s="576"/>
      <c r="H158" s="468"/>
      <c r="I158" s="468"/>
      <c r="J158" s="468"/>
      <c r="K158" s="468"/>
    </row>
    <row r="159" spans="1:11" ht="12.75" customHeight="1" thickTop="1" thickBot="1" x14ac:dyDescent="0.25">
      <c r="A159" s="1500" t="s">
        <v>1051</v>
      </c>
      <c r="B159" s="574">
        <v>3705</v>
      </c>
      <c r="C159" s="576">
        <v>583460</v>
      </c>
      <c r="D159" s="578"/>
      <c r="E159" s="561"/>
      <c r="F159" s="576">
        <v>54752</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20616</v>
      </c>
      <c r="D168" s="580"/>
      <c r="E168" s="580"/>
      <c r="F168" s="580"/>
      <c r="G168" s="581"/>
      <c r="H168" s="582"/>
      <c r="I168" s="581"/>
      <c r="J168" s="581"/>
      <c r="K168" s="582"/>
    </row>
    <row r="169" spans="1:11" ht="12.75" customHeight="1" thickTop="1" thickBot="1" x14ac:dyDescent="0.25">
      <c r="A169" s="2152" t="s">
        <v>398</v>
      </c>
      <c r="B169" s="2153"/>
      <c r="C169" s="1722">
        <f t="shared" ref="C169:K169" si="6">SUM(C132,C141,C145,C146:C150,C155,C156:C167,C168)</f>
        <v>628847</v>
      </c>
      <c r="D169" s="1722">
        <f t="shared" si="6"/>
        <v>0</v>
      </c>
      <c r="E169" s="1722">
        <f t="shared" si="6"/>
        <v>0</v>
      </c>
      <c r="F169" s="1722">
        <f t="shared" si="6"/>
        <v>223438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3746429</v>
      </c>
      <c r="D170" s="1715">
        <f t="shared" si="7"/>
        <v>275000</v>
      </c>
      <c r="E170" s="1715">
        <f t="shared" si="7"/>
        <v>0</v>
      </c>
      <c r="F170" s="1715">
        <f t="shared" si="7"/>
        <v>388438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v>54153</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1665</v>
      </c>
      <c r="B175" s="2159"/>
      <c r="C175" s="1707">
        <f>SUM(C173:C174)</f>
        <v>54153</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6" t="s">
        <v>1800</v>
      </c>
      <c r="B182" s="215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800</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800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162455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77110</v>
      </c>
      <c r="D193" s="468"/>
      <c r="E193" s="561"/>
      <c r="F193" s="468"/>
      <c r="G193" s="585"/>
      <c r="H193" s="468"/>
      <c r="I193" s="468"/>
      <c r="J193" s="468"/>
      <c r="K193" s="468"/>
    </row>
    <row r="194" spans="1:11" ht="12.75" customHeight="1" x14ac:dyDescent="0.2">
      <c r="A194" s="463" t="s">
        <v>1451</v>
      </c>
      <c r="B194" s="470">
        <v>4225</v>
      </c>
      <c r="C194" s="551">
        <v>10822</v>
      </c>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6195</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256582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811040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68834</v>
      </c>
      <c r="D203" s="466"/>
      <c r="E203" s="468"/>
      <c r="F203" s="466"/>
      <c r="G203" s="466"/>
      <c r="H203" s="468"/>
      <c r="I203" s="468"/>
      <c r="J203" s="468"/>
      <c r="K203" s="468"/>
    </row>
    <row r="204" spans="1:11" ht="12.75" customHeight="1" thickBot="1" x14ac:dyDescent="0.25">
      <c r="A204" s="1708" t="s">
        <v>400</v>
      </c>
      <c r="B204" s="1709"/>
      <c r="C204" s="1707">
        <f>SUM(C200:C203)</f>
        <v>879874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6549</v>
      </c>
      <c r="D263" s="576"/>
      <c r="E263" s="468"/>
      <c r="F263" s="576"/>
      <c r="G263" s="576"/>
      <c r="H263" s="468"/>
      <c r="I263" s="468"/>
      <c r="J263" s="468"/>
      <c r="K263" s="468"/>
    </row>
    <row r="264" spans="1:11" ht="12.75" customHeight="1" thickTop="1" thickBot="1" x14ac:dyDescent="0.25">
      <c r="A264" s="463" t="s">
        <v>377</v>
      </c>
      <c r="B264" s="470">
        <v>4992</v>
      </c>
      <c r="C264" s="575">
        <v>18705</v>
      </c>
      <c r="D264" s="576"/>
      <c r="E264" s="468"/>
      <c r="F264" s="576"/>
      <c r="G264" s="576"/>
      <c r="H264" s="468"/>
      <c r="I264" s="468"/>
      <c r="J264" s="468"/>
      <c r="K264" s="468"/>
    </row>
    <row r="265" spans="1:11" s="593" customFormat="1" ht="12.75" customHeight="1" thickTop="1" thickBot="1" x14ac:dyDescent="0.25">
      <c r="A265" s="563" t="s">
        <v>75</v>
      </c>
      <c r="B265" s="557">
        <v>4999</v>
      </c>
      <c r="C265" s="575" t="s">
        <v>1169</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1162510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1216663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5588490</v>
      </c>
      <c r="D268" s="1715">
        <f t="shared" si="12"/>
        <v>361884</v>
      </c>
      <c r="E268" s="1715">
        <f t="shared" si="12"/>
        <v>144886</v>
      </c>
      <c r="F268" s="1715">
        <f t="shared" si="12"/>
        <v>423149</v>
      </c>
      <c r="G268" s="1715">
        <f t="shared" si="12"/>
        <v>156687</v>
      </c>
      <c r="H268" s="1715">
        <f t="shared" si="12"/>
        <v>136</v>
      </c>
      <c r="I268" s="1715">
        <f t="shared" si="12"/>
        <v>8553</v>
      </c>
      <c r="J268" s="1715">
        <f t="shared" si="12"/>
        <v>174820</v>
      </c>
      <c r="K268" s="1702">
        <f t="shared" si="12"/>
        <v>8622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5" header="0.26" footer="0.4"/>
  <pageSetup scale="6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71" activePane="bottomLeft" state="frozen"/>
      <selection pane="bottomLeft" activeCell="J199" sqref="J19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549131</v>
      </c>
      <c r="D5" s="466">
        <v>126581</v>
      </c>
      <c r="E5" s="466">
        <v>854</v>
      </c>
      <c r="F5" s="466">
        <v>12731</v>
      </c>
      <c r="G5" s="466"/>
      <c r="H5" s="466">
        <v>600</v>
      </c>
      <c r="I5" s="467"/>
      <c r="J5" s="467"/>
      <c r="K5" s="1671">
        <f>SUM(C5:J5)</f>
        <v>689897</v>
      </c>
      <c r="L5" s="466">
        <v>744283</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166817</v>
      </c>
      <c r="D7" s="467">
        <v>41288</v>
      </c>
      <c r="E7" s="467">
        <v>2054</v>
      </c>
      <c r="F7" s="467">
        <v>10117</v>
      </c>
      <c r="G7" s="467">
        <v>2841</v>
      </c>
      <c r="H7" s="467"/>
      <c r="I7" s="467"/>
      <c r="J7" s="467"/>
      <c r="K7" s="1671">
        <f t="shared" ref="K7:K32" si="0">SUM(C7:J7)</f>
        <v>223117</v>
      </c>
      <c r="L7" s="466">
        <v>245522</v>
      </c>
    </row>
    <row r="8" spans="1:14" x14ac:dyDescent="0.2">
      <c r="A8" s="1504" t="s">
        <v>164</v>
      </c>
      <c r="B8" s="614">
        <v>1200</v>
      </c>
      <c r="C8" s="466">
        <v>503024</v>
      </c>
      <c r="D8" s="466">
        <v>111592</v>
      </c>
      <c r="E8" s="466">
        <v>1949</v>
      </c>
      <c r="F8" s="466">
        <v>800</v>
      </c>
      <c r="G8" s="466"/>
      <c r="H8" s="466"/>
      <c r="I8" s="467"/>
      <c r="J8" s="467"/>
      <c r="K8" s="1671">
        <f t="shared" si="0"/>
        <v>617365</v>
      </c>
      <c r="L8" s="466">
        <v>637838</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296155</v>
      </c>
      <c r="D10" s="466">
        <v>118638</v>
      </c>
      <c r="E10" s="466">
        <v>59779</v>
      </c>
      <c r="F10" s="466">
        <v>29783</v>
      </c>
      <c r="G10" s="466">
        <v>67500</v>
      </c>
      <c r="H10" s="466"/>
      <c r="I10" s="467"/>
      <c r="J10" s="467"/>
      <c r="K10" s="1671">
        <f t="shared" si="0"/>
        <v>571855</v>
      </c>
      <c r="L10" s="466">
        <v>625506</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44998</v>
      </c>
      <c r="D13" s="466">
        <v>12681</v>
      </c>
      <c r="E13" s="466"/>
      <c r="F13" s="466"/>
      <c r="G13" s="466"/>
      <c r="H13" s="466"/>
      <c r="I13" s="467"/>
      <c r="J13" s="467"/>
      <c r="K13" s="1671">
        <f t="shared" si="0"/>
        <v>57679</v>
      </c>
      <c r="L13" s="466">
        <v>57837</v>
      </c>
    </row>
    <row r="14" spans="1:14" x14ac:dyDescent="0.2">
      <c r="A14" s="1504" t="s">
        <v>963</v>
      </c>
      <c r="B14" s="614">
        <v>1500</v>
      </c>
      <c r="C14" s="466">
        <v>70792</v>
      </c>
      <c r="D14" s="466">
        <v>2030</v>
      </c>
      <c r="E14" s="466">
        <v>28092</v>
      </c>
      <c r="F14" s="466">
        <v>4950</v>
      </c>
      <c r="G14" s="466"/>
      <c r="H14" s="466"/>
      <c r="I14" s="467"/>
      <c r="J14" s="467"/>
      <c r="K14" s="1671">
        <f t="shared" si="0"/>
        <v>105864</v>
      </c>
      <c r="L14" s="466">
        <v>152550</v>
      </c>
    </row>
    <row r="15" spans="1:14" x14ac:dyDescent="0.2">
      <c r="A15" s="1504" t="s">
        <v>964</v>
      </c>
      <c r="B15" s="614">
        <v>1600</v>
      </c>
      <c r="C15" s="466">
        <v>24686</v>
      </c>
      <c r="D15" s="466">
        <v>1971</v>
      </c>
      <c r="E15" s="466">
        <v>2192</v>
      </c>
      <c r="F15" s="466">
        <v>178</v>
      </c>
      <c r="G15" s="466"/>
      <c r="H15" s="466"/>
      <c r="I15" s="467"/>
      <c r="J15" s="467"/>
      <c r="K15" s="1671">
        <f t="shared" si="0"/>
        <v>29027</v>
      </c>
      <c r="L15" s="466">
        <v>67922</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v>19651</v>
      </c>
      <c r="D17" s="467">
        <v>4584</v>
      </c>
      <c r="E17" s="467">
        <v>348</v>
      </c>
      <c r="F17" s="467">
        <v>923</v>
      </c>
      <c r="G17" s="467">
        <v>22000</v>
      </c>
      <c r="H17" s="467"/>
      <c r="I17" s="467"/>
      <c r="J17" s="467"/>
      <c r="K17" s="1671">
        <f t="shared" si="0"/>
        <v>47506</v>
      </c>
      <c r="L17" s="466">
        <v>51794</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1675254</v>
      </c>
      <c r="D33" s="1670">
        <f t="shared" ref="D33:L33" si="1">SUM(D5:D32)</f>
        <v>419365</v>
      </c>
      <c r="E33" s="1670">
        <f t="shared" si="1"/>
        <v>95268</v>
      </c>
      <c r="F33" s="1670">
        <f t="shared" si="1"/>
        <v>59482</v>
      </c>
      <c r="G33" s="1670">
        <f t="shared" si="1"/>
        <v>92341</v>
      </c>
      <c r="H33" s="1670">
        <f t="shared" si="1"/>
        <v>600</v>
      </c>
      <c r="I33" s="1670">
        <f t="shared" si="1"/>
        <v>0</v>
      </c>
      <c r="J33" s="1670">
        <f t="shared" si="1"/>
        <v>0</v>
      </c>
      <c r="K33" s="1670">
        <f t="shared" si="1"/>
        <v>2342310</v>
      </c>
      <c r="L33" s="1670">
        <f t="shared" si="1"/>
        <v>2583252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29165</v>
      </c>
      <c r="D36" s="481">
        <v>3408</v>
      </c>
      <c r="E36" s="481">
        <v>15215</v>
      </c>
      <c r="F36" s="481">
        <v>1180</v>
      </c>
      <c r="G36" s="481"/>
      <c r="H36" s="481"/>
      <c r="I36" s="467"/>
      <c r="J36" s="467"/>
      <c r="K36" s="1671">
        <f t="shared" ref="K36:K41" si="2">SUM(C36:J36)</f>
        <v>48968</v>
      </c>
      <c r="L36" s="466">
        <v>85277</v>
      </c>
    </row>
    <row r="37" spans="1:14" x14ac:dyDescent="0.2">
      <c r="A37" s="1504" t="s">
        <v>1090</v>
      </c>
      <c r="B37" s="614">
        <v>2120</v>
      </c>
      <c r="C37" s="466">
        <v>88882</v>
      </c>
      <c r="D37" s="466">
        <v>9179</v>
      </c>
      <c r="E37" s="466">
        <v>90</v>
      </c>
      <c r="F37" s="466"/>
      <c r="G37" s="466"/>
      <c r="H37" s="466">
        <v>385</v>
      </c>
      <c r="I37" s="467"/>
      <c r="J37" s="467"/>
      <c r="K37" s="1671">
        <f t="shared" si="2"/>
        <v>98536</v>
      </c>
      <c r="L37" s="466">
        <v>73543</v>
      </c>
    </row>
    <row r="38" spans="1:14" x14ac:dyDescent="0.2">
      <c r="A38" s="1504" t="s">
        <v>198</v>
      </c>
      <c r="B38" s="614">
        <v>2130</v>
      </c>
      <c r="C38" s="466">
        <v>39221</v>
      </c>
      <c r="D38" s="466">
        <v>6798</v>
      </c>
      <c r="E38" s="466">
        <v>2363</v>
      </c>
      <c r="F38" s="466">
        <v>1902</v>
      </c>
      <c r="G38" s="466"/>
      <c r="H38" s="466"/>
      <c r="I38" s="467"/>
      <c r="J38" s="467"/>
      <c r="K38" s="1671">
        <f t="shared" si="2"/>
        <v>50284</v>
      </c>
      <c r="L38" s="466">
        <v>60044</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33902</v>
      </c>
      <c r="D40" s="466">
        <v>10704</v>
      </c>
      <c r="E40" s="466"/>
      <c r="F40" s="466"/>
      <c r="G40" s="466"/>
      <c r="H40" s="466"/>
      <c r="I40" s="467"/>
      <c r="J40" s="467"/>
      <c r="K40" s="1671">
        <f t="shared" si="2"/>
        <v>44606</v>
      </c>
      <c r="L40" s="466">
        <v>52368</v>
      </c>
    </row>
    <row r="41" spans="1:14" x14ac:dyDescent="0.2">
      <c r="A41" s="1504" t="s">
        <v>1669</v>
      </c>
      <c r="B41" s="614">
        <v>2190</v>
      </c>
      <c r="C41" s="466"/>
      <c r="D41" s="466"/>
      <c r="E41" s="466"/>
      <c r="F41" s="466">
        <v>55</v>
      </c>
      <c r="G41" s="466"/>
      <c r="H41" s="466"/>
      <c r="I41" s="467"/>
      <c r="J41" s="467"/>
      <c r="K41" s="1671">
        <f t="shared" si="2"/>
        <v>55</v>
      </c>
      <c r="L41" s="466">
        <v>1000</v>
      </c>
    </row>
    <row r="42" spans="1:14" ht="12.75" customHeight="1" thickBot="1" x14ac:dyDescent="0.25">
      <c r="A42" s="1668" t="s">
        <v>560</v>
      </c>
      <c r="B42" s="1669" t="s">
        <v>716</v>
      </c>
      <c r="C42" s="1670">
        <f>SUM(C36:C41)</f>
        <v>191170</v>
      </c>
      <c r="D42" s="1670">
        <f t="shared" ref="D42:L42" si="3">SUM(D36:D41)</f>
        <v>30089</v>
      </c>
      <c r="E42" s="1670">
        <f t="shared" si="3"/>
        <v>17668</v>
      </c>
      <c r="F42" s="1670">
        <f t="shared" si="3"/>
        <v>3137</v>
      </c>
      <c r="G42" s="1670">
        <f t="shared" si="3"/>
        <v>0</v>
      </c>
      <c r="H42" s="1670">
        <f t="shared" si="3"/>
        <v>385</v>
      </c>
      <c r="I42" s="1670">
        <f t="shared" si="3"/>
        <v>0</v>
      </c>
      <c r="J42" s="1670">
        <f t="shared" si="3"/>
        <v>0</v>
      </c>
      <c r="K42" s="1670">
        <f t="shared" si="3"/>
        <v>242449</v>
      </c>
      <c r="L42" s="1670">
        <f t="shared" si="3"/>
        <v>272232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9479</v>
      </c>
      <c r="D44" s="481">
        <v>779</v>
      </c>
      <c r="E44" s="481">
        <v>178061</v>
      </c>
      <c r="F44" s="481">
        <v>5679</v>
      </c>
      <c r="G44" s="481"/>
      <c r="H44" s="481"/>
      <c r="I44" s="467"/>
      <c r="J44" s="467"/>
      <c r="K44" s="1672">
        <f>SUM(C44:J44)</f>
        <v>193998</v>
      </c>
      <c r="L44" s="481">
        <v>290127</v>
      </c>
    </row>
    <row r="45" spans="1:14" x14ac:dyDescent="0.2">
      <c r="A45" s="1504" t="s">
        <v>815</v>
      </c>
      <c r="B45" s="614">
        <v>2220</v>
      </c>
      <c r="C45" s="466">
        <v>79487</v>
      </c>
      <c r="D45" s="466">
        <v>13596</v>
      </c>
      <c r="E45" s="466">
        <v>34387</v>
      </c>
      <c r="F45" s="466">
        <v>1762</v>
      </c>
      <c r="G45" s="466">
        <v>1100</v>
      </c>
      <c r="H45" s="466"/>
      <c r="I45" s="467"/>
      <c r="J45" s="467"/>
      <c r="K45" s="1672">
        <f>SUM(C45:J45)</f>
        <v>130332</v>
      </c>
      <c r="L45" s="466">
        <v>147278</v>
      </c>
    </row>
    <row r="46" spans="1:14" x14ac:dyDescent="0.2">
      <c r="A46" s="1504" t="s">
        <v>816</v>
      </c>
      <c r="B46" s="614">
        <v>2230</v>
      </c>
      <c r="C46" s="466"/>
      <c r="D46" s="466"/>
      <c r="E46" s="466">
        <v>3706</v>
      </c>
      <c r="F46" s="466"/>
      <c r="G46" s="466"/>
      <c r="H46" s="466"/>
      <c r="I46" s="467"/>
      <c r="J46" s="467"/>
      <c r="K46" s="1672">
        <f>SUM(C46:J46)</f>
        <v>3706</v>
      </c>
      <c r="L46" s="466">
        <v>33500</v>
      </c>
    </row>
    <row r="47" spans="1:14" ht="12.75" customHeight="1" thickBot="1" x14ac:dyDescent="0.25">
      <c r="A47" s="1668" t="s">
        <v>561</v>
      </c>
      <c r="B47" s="1669" t="s">
        <v>32</v>
      </c>
      <c r="C47" s="1670">
        <f>SUM(C44:C46)</f>
        <v>88966</v>
      </c>
      <c r="D47" s="1670">
        <f t="shared" ref="D47:K47" si="4">SUM(D44:D46)</f>
        <v>14375</v>
      </c>
      <c r="E47" s="1670">
        <f t="shared" si="4"/>
        <v>216154</v>
      </c>
      <c r="F47" s="1670">
        <f t="shared" si="4"/>
        <v>7441</v>
      </c>
      <c r="G47" s="1670">
        <f t="shared" si="4"/>
        <v>1100</v>
      </c>
      <c r="H47" s="1670">
        <f t="shared" si="4"/>
        <v>0</v>
      </c>
      <c r="I47" s="1670">
        <f t="shared" si="4"/>
        <v>0</v>
      </c>
      <c r="J47" s="1670">
        <f t="shared" si="4"/>
        <v>0</v>
      </c>
      <c r="K47" s="1670">
        <f t="shared" si="4"/>
        <v>328036</v>
      </c>
      <c r="L47" s="1670">
        <f>SUM(L44:L46)</f>
        <v>470905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725</v>
      </c>
      <c r="D49" s="481"/>
      <c r="E49" s="481">
        <v>147303</v>
      </c>
      <c r="F49" s="481">
        <v>5216</v>
      </c>
      <c r="G49" s="481">
        <v>34680</v>
      </c>
      <c r="H49" s="481">
        <v>6658</v>
      </c>
      <c r="I49" s="467"/>
      <c r="J49" s="467"/>
      <c r="K49" s="1672">
        <f>SUM(C49:J49)</f>
        <v>194582</v>
      </c>
      <c r="L49" s="481">
        <v>208025</v>
      </c>
    </row>
    <row r="50" spans="1:14" x14ac:dyDescent="0.2">
      <c r="A50" s="1504" t="s">
        <v>818</v>
      </c>
      <c r="B50" s="614">
        <v>2320</v>
      </c>
      <c r="C50" s="466">
        <v>102163</v>
      </c>
      <c r="D50" s="466">
        <v>21938</v>
      </c>
      <c r="E50" s="466">
        <v>11624</v>
      </c>
      <c r="F50" s="466">
        <v>156</v>
      </c>
      <c r="G50" s="466">
        <v>800</v>
      </c>
      <c r="H50" s="466">
        <v>1005</v>
      </c>
      <c r="I50" s="467"/>
      <c r="J50" s="467"/>
      <c r="K50" s="1672">
        <f>SUM(C50:J50)</f>
        <v>137686</v>
      </c>
      <c r="L50" s="466">
        <v>149390</v>
      </c>
    </row>
    <row r="51" spans="1:14" x14ac:dyDescent="0.2">
      <c r="A51" s="1504" t="s">
        <v>42</v>
      </c>
      <c r="B51" s="614">
        <v>2330</v>
      </c>
      <c r="C51" s="466"/>
      <c r="D51" s="466"/>
      <c r="E51" s="466">
        <v>1650</v>
      </c>
      <c r="F51" s="466"/>
      <c r="G51" s="466"/>
      <c r="H51" s="466"/>
      <c r="I51" s="467"/>
      <c r="J51" s="467"/>
      <c r="K51" s="1672">
        <f>SUM(C51:J51)</f>
        <v>1650</v>
      </c>
      <c r="L51" s="466">
        <v>1650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102888</v>
      </c>
      <c r="D53" s="1670">
        <f t="shared" ref="D53:L53" si="5">SUM(D49:D52)</f>
        <v>21938</v>
      </c>
      <c r="E53" s="1670">
        <f t="shared" si="5"/>
        <v>160577</v>
      </c>
      <c r="F53" s="1670">
        <f t="shared" si="5"/>
        <v>5372</v>
      </c>
      <c r="G53" s="1670">
        <f t="shared" si="5"/>
        <v>35480</v>
      </c>
      <c r="H53" s="1670">
        <f t="shared" si="5"/>
        <v>7663</v>
      </c>
      <c r="I53" s="1670">
        <f t="shared" si="5"/>
        <v>0</v>
      </c>
      <c r="J53" s="1670">
        <f t="shared" si="5"/>
        <v>0</v>
      </c>
      <c r="K53" s="1670">
        <f t="shared" si="5"/>
        <v>333918</v>
      </c>
      <c r="L53" s="1670">
        <f t="shared" si="5"/>
        <v>359065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234486</v>
      </c>
      <c r="D55" s="481">
        <v>48684</v>
      </c>
      <c r="E55" s="481">
        <v>1723</v>
      </c>
      <c r="F55" s="481">
        <v>6347</v>
      </c>
      <c r="G55" s="481"/>
      <c r="H55" s="481">
        <v>780</v>
      </c>
      <c r="I55" s="467"/>
      <c r="J55" s="467"/>
      <c r="K55" s="1672">
        <f>SUM(C55:J55)</f>
        <v>292020</v>
      </c>
      <c r="L55" s="481">
        <v>293161</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234486</v>
      </c>
      <c r="D57" s="1674">
        <f t="shared" ref="D57:K57" si="6">SUM(D55:D56)</f>
        <v>48684</v>
      </c>
      <c r="E57" s="1674">
        <f t="shared" si="6"/>
        <v>1723</v>
      </c>
      <c r="F57" s="1674">
        <f t="shared" si="6"/>
        <v>6347</v>
      </c>
      <c r="G57" s="1674">
        <f t="shared" si="6"/>
        <v>0</v>
      </c>
      <c r="H57" s="1674">
        <f t="shared" si="6"/>
        <v>780</v>
      </c>
      <c r="I57" s="1674">
        <f t="shared" si="6"/>
        <v>0</v>
      </c>
      <c r="J57" s="1674">
        <f t="shared" si="6"/>
        <v>0</v>
      </c>
      <c r="K57" s="1674">
        <f t="shared" si="6"/>
        <v>292020</v>
      </c>
      <c r="L57" s="1670">
        <f>SUM(L55:L56)</f>
        <v>293161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142909</v>
      </c>
      <c r="D60" s="466">
        <v>25901</v>
      </c>
      <c r="E60" s="466">
        <v>10691</v>
      </c>
      <c r="F60" s="466">
        <v>4796</v>
      </c>
      <c r="G60" s="466"/>
      <c r="H60" s="466">
        <v>1445</v>
      </c>
      <c r="I60" s="467"/>
      <c r="J60" s="467"/>
      <c r="K60" s="1672">
        <f t="shared" si="7"/>
        <v>185742</v>
      </c>
      <c r="L60" s="466">
        <v>197422</v>
      </c>
      <c r="M60" s="609"/>
      <c r="N60" s="609"/>
    </row>
    <row r="61" spans="1:14" s="343" customFormat="1" x14ac:dyDescent="0.2">
      <c r="A61" s="1504" t="s">
        <v>197</v>
      </c>
      <c r="B61" s="614">
        <v>2540</v>
      </c>
      <c r="C61" s="466">
        <v>18211</v>
      </c>
      <c r="D61" s="466">
        <v>30</v>
      </c>
      <c r="E61" s="466">
        <v>101899</v>
      </c>
      <c r="F61" s="466">
        <v>170979</v>
      </c>
      <c r="G61" s="466">
        <v>24420</v>
      </c>
      <c r="H61" s="466"/>
      <c r="I61" s="467"/>
      <c r="J61" s="467"/>
      <c r="K61" s="1672">
        <f t="shared" si="7"/>
        <v>315539</v>
      </c>
      <c r="L61" s="466">
        <v>320982</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c r="D63" s="466"/>
      <c r="E63" s="466">
        <v>285154</v>
      </c>
      <c r="F63" s="466">
        <v>6787</v>
      </c>
      <c r="G63" s="466"/>
      <c r="H63" s="466"/>
      <c r="I63" s="467"/>
      <c r="J63" s="467"/>
      <c r="K63" s="1672">
        <f t="shared" si="7"/>
        <v>291941</v>
      </c>
      <c r="L63" s="466">
        <v>337294</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161120</v>
      </c>
      <c r="D65" s="1670">
        <f t="shared" ref="D65:L65" si="8">SUM(D59:D64)</f>
        <v>25931</v>
      </c>
      <c r="E65" s="1670">
        <f t="shared" si="8"/>
        <v>397744</v>
      </c>
      <c r="F65" s="1670">
        <f t="shared" si="8"/>
        <v>182562</v>
      </c>
      <c r="G65" s="1670">
        <f t="shared" si="8"/>
        <v>24420</v>
      </c>
      <c r="H65" s="1670">
        <f t="shared" si="8"/>
        <v>1445</v>
      </c>
      <c r="I65" s="1670">
        <f t="shared" si="8"/>
        <v>0</v>
      </c>
      <c r="J65" s="1670">
        <f t="shared" si="8"/>
        <v>0</v>
      </c>
      <c r="K65" s="1670">
        <f t="shared" si="8"/>
        <v>793222</v>
      </c>
      <c r="L65" s="1670">
        <f t="shared" si="8"/>
        <v>855698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v>3864</v>
      </c>
      <c r="F69" s="466"/>
      <c r="G69" s="466"/>
      <c r="H69" s="466"/>
      <c r="I69" s="467"/>
      <c r="J69" s="467"/>
      <c r="K69" s="1672">
        <f>SUM(C69:J69)</f>
        <v>3864</v>
      </c>
      <c r="L69" s="466">
        <v>3864</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3864</v>
      </c>
      <c r="F72" s="1670">
        <f t="shared" si="9"/>
        <v>0</v>
      </c>
      <c r="G72" s="1670">
        <f t="shared" si="9"/>
        <v>0</v>
      </c>
      <c r="H72" s="1670">
        <f t="shared" si="9"/>
        <v>0</v>
      </c>
      <c r="I72" s="1670">
        <f t="shared" si="9"/>
        <v>0</v>
      </c>
      <c r="J72" s="1670">
        <f t="shared" si="9"/>
        <v>0</v>
      </c>
      <c r="K72" s="1670">
        <f t="shared" si="9"/>
        <v>3864</v>
      </c>
      <c r="L72" s="1670">
        <f>SUM(L67:L71)</f>
        <v>3864</v>
      </c>
      <c r="M72" s="609"/>
      <c r="N72" s="609"/>
    </row>
    <row r="73" spans="1:14" s="343" customFormat="1" ht="14.25" thickTop="1" thickBot="1" x14ac:dyDescent="0.25">
      <c r="A73" s="1510" t="s">
        <v>980</v>
      </c>
      <c r="B73" s="632" t="s">
        <v>574</v>
      </c>
      <c r="C73" s="573">
        <v>3803</v>
      </c>
      <c r="D73" s="573">
        <v>223</v>
      </c>
      <c r="E73" s="573"/>
      <c r="F73" s="573">
        <v>35</v>
      </c>
      <c r="G73" s="573"/>
      <c r="H73" s="573"/>
      <c r="I73" s="531"/>
      <c r="J73" s="531"/>
      <c r="K73" s="1670">
        <f>SUM(C73:J73)</f>
        <v>4061</v>
      </c>
      <c r="L73" s="576">
        <v>5000</v>
      </c>
      <c r="M73" s="609"/>
      <c r="N73" s="609"/>
    </row>
    <row r="74" spans="1:14" ht="12.75" customHeight="1" thickTop="1" thickBot="1" x14ac:dyDescent="0.25">
      <c r="A74" s="1668" t="s">
        <v>811</v>
      </c>
      <c r="B74" s="1676">
        <v>2000</v>
      </c>
      <c r="C74" s="1677">
        <f>SUM(C42,C47,C53,C57,C65,C72,C73)</f>
        <v>782433</v>
      </c>
      <c r="D74" s="1677">
        <f t="shared" ref="D74:K74" si="10">SUM(D42,D47,D53,D57,D65,D72,D73)</f>
        <v>141240</v>
      </c>
      <c r="E74" s="1677">
        <f t="shared" si="10"/>
        <v>797730</v>
      </c>
      <c r="F74" s="1677">
        <f t="shared" si="10"/>
        <v>204894</v>
      </c>
      <c r="G74" s="1677">
        <f t="shared" si="10"/>
        <v>61000</v>
      </c>
      <c r="H74" s="1677">
        <f t="shared" si="10"/>
        <v>10273</v>
      </c>
      <c r="I74" s="1677">
        <f t="shared" si="10"/>
        <v>0</v>
      </c>
      <c r="J74" s="1677">
        <f t="shared" si="10"/>
        <v>0</v>
      </c>
      <c r="K74" s="1677">
        <f t="shared" si="10"/>
        <v>1997570</v>
      </c>
      <c r="L74" s="1677">
        <f>SUM(L42,L47,L53,L57,L65,L72,L73)</f>
        <v>2259925</v>
      </c>
    </row>
    <row r="75" spans="1:14" s="259" customFormat="1" ht="15.75" customHeight="1" thickTop="1" thickBot="1" x14ac:dyDescent="0.25">
      <c r="A75" s="1610" t="s">
        <v>47</v>
      </c>
      <c r="B75" s="1611" t="s">
        <v>575</v>
      </c>
      <c r="C75" s="573">
        <v>135089</v>
      </c>
      <c r="D75" s="573">
        <v>15909</v>
      </c>
      <c r="E75" s="573">
        <v>21561</v>
      </c>
      <c r="F75" s="573">
        <v>16944</v>
      </c>
      <c r="G75" s="573">
        <v>8110</v>
      </c>
      <c r="H75" s="573"/>
      <c r="I75" s="531"/>
      <c r="J75" s="531"/>
      <c r="K75" s="1670">
        <f>SUM(C75:J75)</f>
        <v>197613</v>
      </c>
      <c r="L75" s="576">
        <v>263805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c r="I79" s="477"/>
      <c r="J79" s="477"/>
      <c r="K79" s="1671">
        <f t="shared" si="11"/>
        <v>0</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v>32719</v>
      </c>
      <c r="I81" s="477"/>
      <c r="J81" s="477"/>
      <c r="K81" s="1671">
        <f t="shared" si="11"/>
        <v>32719</v>
      </c>
      <c r="L81" s="466">
        <v>34200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v>4033</v>
      </c>
      <c r="I83" s="477"/>
      <c r="J83" s="477"/>
      <c r="K83" s="1671">
        <f t="shared" si="11"/>
        <v>4033</v>
      </c>
      <c r="L83" s="466">
        <v>13500</v>
      </c>
    </row>
    <row r="84" spans="1:12" ht="13.5" thickBot="1" x14ac:dyDescent="0.25">
      <c r="A84" s="1668" t="s">
        <v>1485</v>
      </c>
      <c r="B84" s="1678">
        <v>4100</v>
      </c>
      <c r="C84" s="616"/>
      <c r="D84" s="616"/>
      <c r="E84" s="1670">
        <f>SUM(E78:E83)</f>
        <v>0</v>
      </c>
      <c r="F84" s="616"/>
      <c r="G84" s="616"/>
      <c r="H84" s="1670">
        <f>SUM(H78:H83)</f>
        <v>36752</v>
      </c>
      <c r="I84" s="477"/>
      <c r="J84" s="477"/>
      <c r="K84" s="1670">
        <f>SUM(K78:K83)</f>
        <v>36752</v>
      </c>
      <c r="L84" s="1670">
        <f>SUM(L78:L83)</f>
        <v>47700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108707</v>
      </c>
      <c r="I86" s="477"/>
      <c r="J86" s="477"/>
      <c r="K86" s="1677">
        <f t="shared" ref="K86:K98" si="12">H86</f>
        <v>108707</v>
      </c>
      <c r="L86" s="530">
        <v>143000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108707</v>
      </c>
      <c r="I92" s="477"/>
      <c r="J92" s="477"/>
      <c r="K92" s="1677">
        <f t="shared" si="12"/>
        <v>108707</v>
      </c>
      <c r="L92" s="1670">
        <f>SUM(L85:L91)</f>
        <v>143000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v>58115</v>
      </c>
      <c r="I98" s="477"/>
      <c r="J98" s="477"/>
      <c r="K98" s="1677">
        <f t="shared" si="12"/>
        <v>58115</v>
      </c>
      <c r="L98" s="530">
        <v>58241</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58115</v>
      </c>
      <c r="I100" s="477"/>
      <c r="J100" s="477"/>
      <c r="K100" s="1677">
        <f>SUM(K93:K99)</f>
        <v>58115</v>
      </c>
      <c r="L100" s="1677">
        <f>SUM(L93:L99)</f>
        <v>58241</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203574</v>
      </c>
      <c r="I102" s="477"/>
      <c r="J102" s="477"/>
      <c r="K102" s="1677">
        <f>SUM(K84,K92,K100,K101)</f>
        <v>203574</v>
      </c>
      <c r="L102" s="1677">
        <f>SUM(L84,L92,L100,L101)</f>
        <v>248941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2592776</v>
      </c>
      <c r="D114" s="1670">
        <f t="shared" ref="D114:K114" si="13">SUM(D33,D74,D75,D102,D112,D113)</f>
        <v>576514</v>
      </c>
      <c r="E114" s="1670">
        <f t="shared" si="13"/>
        <v>914559</v>
      </c>
      <c r="F114" s="1670">
        <f t="shared" si="13"/>
        <v>281320</v>
      </c>
      <c r="G114" s="1670">
        <f t="shared" si="13"/>
        <v>161451</v>
      </c>
      <c r="H114" s="1670">
        <f>SUM(H33,H74,H75,H102,H112,H113)</f>
        <v>214447</v>
      </c>
      <c r="I114" s="1670">
        <f t="shared" si="13"/>
        <v>0</v>
      </c>
      <c r="J114" s="1670">
        <f t="shared" si="13"/>
        <v>0</v>
      </c>
      <c r="K114" s="1670">
        <f t="shared" si="13"/>
        <v>4741067</v>
      </c>
      <c r="L114" s="1670">
        <f>SUM(L33,L74,L75,L102,L112,L113)</f>
        <v>5355923</v>
      </c>
    </row>
    <row r="115" spans="1:14" ht="13.5" thickTop="1" x14ac:dyDescent="0.2">
      <c r="A115" s="2189" t="s">
        <v>996</v>
      </c>
      <c r="B115" s="2190"/>
      <c r="C115" s="618"/>
      <c r="D115" s="618"/>
      <c r="E115" s="618"/>
      <c r="F115" s="618"/>
      <c r="G115" s="618"/>
      <c r="H115" s="618"/>
      <c r="I115" s="618"/>
      <c r="J115" s="618"/>
      <c r="K115" s="1684">
        <f>'Revenues 9-14'!C268-'Expenditures 15-22'!K114</f>
        <v>847423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184654</v>
      </c>
      <c r="D124" s="466">
        <v>30712</v>
      </c>
      <c r="E124" s="466">
        <v>51225</v>
      </c>
      <c r="F124" s="466">
        <v>50207</v>
      </c>
      <c r="G124" s="466">
        <v>29393</v>
      </c>
      <c r="H124" s="466"/>
      <c r="I124" s="467"/>
      <c r="J124" s="467"/>
      <c r="K124" s="1670">
        <f>SUM(C124:J124)</f>
        <v>346191</v>
      </c>
      <c r="L124" s="466">
        <v>416246</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184654</v>
      </c>
      <c r="D127" s="1670">
        <f t="shared" ref="D127:L127" si="14">SUM(D122:D126)</f>
        <v>30712</v>
      </c>
      <c r="E127" s="1670">
        <f t="shared" si="14"/>
        <v>51225</v>
      </c>
      <c r="F127" s="1670">
        <f t="shared" si="14"/>
        <v>50207</v>
      </c>
      <c r="G127" s="1670">
        <f t="shared" si="14"/>
        <v>29393</v>
      </c>
      <c r="H127" s="1670">
        <f t="shared" si="14"/>
        <v>0</v>
      </c>
      <c r="I127" s="1670">
        <f t="shared" si="14"/>
        <v>0</v>
      </c>
      <c r="J127" s="1670">
        <f t="shared" si="14"/>
        <v>0</v>
      </c>
      <c r="K127" s="1670">
        <f t="shared" si="14"/>
        <v>346191</v>
      </c>
      <c r="L127" s="1670">
        <f t="shared" si="14"/>
        <v>416246</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184654</v>
      </c>
      <c r="D129" s="1677">
        <f t="shared" ref="D129:L129" si="15">SUM(D120,D127,D128)</f>
        <v>30712</v>
      </c>
      <c r="E129" s="1677">
        <f t="shared" si="15"/>
        <v>51225</v>
      </c>
      <c r="F129" s="1677">
        <f t="shared" si="15"/>
        <v>50207</v>
      </c>
      <c r="G129" s="1677">
        <f t="shared" si="15"/>
        <v>29393</v>
      </c>
      <c r="H129" s="1677">
        <f t="shared" si="15"/>
        <v>0</v>
      </c>
      <c r="I129" s="1677">
        <f t="shared" si="15"/>
        <v>0</v>
      </c>
      <c r="J129" s="1677">
        <f t="shared" si="15"/>
        <v>0</v>
      </c>
      <c r="K129" s="1677">
        <f t="shared" si="15"/>
        <v>346191</v>
      </c>
      <c r="L129" s="1677">
        <f t="shared" si="15"/>
        <v>416246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9" t="s">
        <v>620</v>
      </c>
      <c r="B151" s="2161"/>
      <c r="C151" s="1670">
        <f>SUM(C129,C130,C139,C149,C150)</f>
        <v>184654</v>
      </c>
      <c r="D151" s="1670">
        <f t="shared" ref="D151:K151" si="16">SUM(D129,D130,D139,D149,D150)</f>
        <v>30712</v>
      </c>
      <c r="E151" s="1670">
        <f t="shared" si="16"/>
        <v>51225</v>
      </c>
      <c r="F151" s="1670">
        <f t="shared" si="16"/>
        <v>50207</v>
      </c>
      <c r="G151" s="1670">
        <f t="shared" si="16"/>
        <v>29393</v>
      </c>
      <c r="H151" s="1670">
        <f t="shared" si="16"/>
        <v>0</v>
      </c>
      <c r="I151" s="1670">
        <f t="shared" si="16"/>
        <v>0</v>
      </c>
      <c r="J151" s="1670">
        <f t="shared" si="16"/>
        <v>0</v>
      </c>
      <c r="K151" s="1670">
        <f t="shared" si="16"/>
        <v>346191</v>
      </c>
      <c r="L151" s="1670">
        <f>SUM(L129,L130,L139,L149,L150)</f>
        <v>416246</v>
      </c>
    </row>
    <row r="152" spans="1:14" ht="12.75" customHeight="1" thickTop="1" x14ac:dyDescent="0.2">
      <c r="A152" s="2182" t="s">
        <v>1178</v>
      </c>
      <c r="B152" s="2183"/>
      <c r="C152" s="618"/>
      <c r="D152" s="618"/>
      <c r="E152" s="618"/>
      <c r="F152" s="618"/>
      <c r="G152" s="618"/>
      <c r="H152" s="618"/>
      <c r="I152" s="618"/>
      <c r="J152" s="616"/>
      <c r="K152" s="1684">
        <f>'Revenues 9-14'!D268-'Expenditures 15-22'!K151</f>
        <v>15693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v>0</v>
      </c>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7571</v>
      </c>
      <c r="I169" s="616"/>
      <c r="J169" s="616"/>
      <c r="K169" s="1671">
        <f>SUM(C169:H169)</f>
        <v>7571</v>
      </c>
      <c r="L169" s="656">
        <v>7571</v>
      </c>
    </row>
    <row r="170" spans="1:14" ht="33.75" customHeight="1" x14ac:dyDescent="0.2">
      <c r="A170" s="669" t="s">
        <v>1670</v>
      </c>
      <c r="B170" s="671" t="s">
        <v>31</v>
      </c>
      <c r="C170" s="616"/>
      <c r="D170" s="616"/>
      <c r="E170" s="616"/>
      <c r="F170" s="616"/>
      <c r="G170" s="616"/>
      <c r="H170" s="569">
        <v>137700</v>
      </c>
      <c r="I170" s="616"/>
      <c r="J170" s="616"/>
      <c r="K170" s="1671">
        <f>SUM(C170:J170)</f>
        <v>137700</v>
      </c>
      <c r="L170" s="569">
        <v>137700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145271</v>
      </c>
      <c r="I172" s="638"/>
      <c r="J172" s="616"/>
      <c r="K172" s="1677">
        <f>SUM(K168,K169,K170,K171)</f>
        <v>145271</v>
      </c>
      <c r="L172" s="1677">
        <f>SUM(L168,L169,L170,L171)</f>
        <v>145271</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145271</v>
      </c>
      <c r="I174" s="638"/>
      <c r="J174" s="616"/>
      <c r="K174" s="1677">
        <f>SUM(K160,K172,K173)</f>
        <v>145271</v>
      </c>
      <c r="L174" s="1677">
        <f>SUM(L160,L172,L173)</f>
        <v>145271</v>
      </c>
    </row>
    <row r="175" spans="1:14" ht="13.5" thickTop="1" x14ac:dyDescent="0.2">
      <c r="A175" s="2189" t="s">
        <v>996</v>
      </c>
      <c r="B175" s="2190"/>
      <c r="C175" s="616"/>
      <c r="D175" s="616"/>
      <c r="E175" s="616"/>
      <c r="F175" s="616"/>
      <c r="G175" s="616"/>
      <c r="H175" s="618"/>
      <c r="I175" s="616"/>
      <c r="J175" s="616"/>
      <c r="K175" s="1684">
        <f>'Revenues 9-14'!E268-'Expenditures 15-22'!K174</f>
        <v>-385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399682</v>
      </c>
      <c r="F182" s="466"/>
      <c r="G182" s="466"/>
      <c r="H182" s="466"/>
      <c r="I182" s="467"/>
      <c r="J182" s="467"/>
      <c r="K182" s="1671">
        <f>SUM(C182:J182)</f>
        <v>399682</v>
      </c>
      <c r="L182" s="466">
        <v>426492</v>
      </c>
    </row>
    <row r="183" spans="1:14" ht="12.75" customHeight="1" thickBot="1" x14ac:dyDescent="0.25">
      <c r="A183" s="1509" t="s">
        <v>980</v>
      </c>
      <c r="B183" s="677">
        <v>2900</v>
      </c>
      <c r="C183" s="573">
        <v>6771</v>
      </c>
      <c r="D183" s="573">
        <v>1472</v>
      </c>
      <c r="E183" s="573"/>
      <c r="F183" s="573"/>
      <c r="G183" s="573"/>
      <c r="H183" s="573"/>
      <c r="I183" s="532"/>
      <c r="J183" s="532"/>
      <c r="K183" s="1677">
        <f>SUM(C183:J183)</f>
        <v>8243</v>
      </c>
      <c r="L183" s="573">
        <v>6497</v>
      </c>
    </row>
    <row r="184" spans="1:14" ht="12.75" customHeight="1" thickTop="1" thickBot="1" x14ac:dyDescent="0.25">
      <c r="A184" s="1691" t="s">
        <v>811</v>
      </c>
      <c r="B184" s="1669" t="s">
        <v>569</v>
      </c>
      <c r="C184" s="1677">
        <f>SUM(C180,C182,C183)</f>
        <v>6771</v>
      </c>
      <c r="D184" s="1677">
        <f t="shared" ref="D184:J184" si="17">SUM(D180,D182,D183)</f>
        <v>1472</v>
      </c>
      <c r="E184" s="1677">
        <f t="shared" si="17"/>
        <v>399682</v>
      </c>
      <c r="F184" s="1677">
        <f t="shared" si="17"/>
        <v>0</v>
      </c>
      <c r="G184" s="1677">
        <f t="shared" si="17"/>
        <v>0</v>
      </c>
      <c r="H184" s="1677">
        <f t="shared" si="17"/>
        <v>0</v>
      </c>
      <c r="I184" s="1677">
        <f t="shared" si="17"/>
        <v>0</v>
      </c>
      <c r="J184" s="1677">
        <f t="shared" si="17"/>
        <v>0</v>
      </c>
      <c r="K184" s="1677">
        <f>SUM(K180,K182,K183)</f>
        <v>407925</v>
      </c>
      <c r="L184" s="1677">
        <f>SUM(L180, L182:L183)</f>
        <v>432989</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6771</v>
      </c>
      <c r="D210" s="1670">
        <f>SUM(D184,D185)</f>
        <v>1472</v>
      </c>
      <c r="E210" s="1670">
        <f>SUM(E184,E185,E196)</f>
        <v>399682</v>
      </c>
      <c r="F210" s="1670">
        <f>SUM(F184,F185)</f>
        <v>0</v>
      </c>
      <c r="G210" s="1670">
        <f>SUM(G184,G185)</f>
        <v>0</v>
      </c>
      <c r="H210" s="1670">
        <f>SUM(H184,H185,H196,H208,H209)</f>
        <v>0</v>
      </c>
      <c r="I210" s="1670">
        <f>SUM(I184,I185)</f>
        <v>0</v>
      </c>
      <c r="J210" s="1670">
        <f>SUM(J184,J185)</f>
        <v>0</v>
      </c>
      <c r="K210" s="1671">
        <f>SUM(K184,K185,K196,K208,K209)</f>
        <v>407925</v>
      </c>
      <c r="L210" s="1670">
        <f>SUM(L184,L185,L196,L208,L209)</f>
        <v>432989</v>
      </c>
    </row>
    <row r="211" spans="1:14" ht="13.5" thickTop="1" x14ac:dyDescent="0.2">
      <c r="A211" s="2189" t="s">
        <v>996</v>
      </c>
      <c r="B211" s="2190"/>
      <c r="C211" s="618"/>
      <c r="D211" s="618"/>
      <c r="E211" s="618"/>
      <c r="F211" s="618"/>
      <c r="G211" s="618"/>
      <c r="H211" s="618"/>
      <c r="I211" s="616"/>
      <c r="J211" s="616"/>
      <c r="K211" s="1684">
        <f>'Revenues 9-14'!F268-'Expenditures 15-22'!K210</f>
        <v>15224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7587</v>
      </c>
      <c r="E215" s="616"/>
      <c r="F215" s="616"/>
      <c r="G215" s="616"/>
      <c r="H215" s="616"/>
      <c r="I215" s="616"/>
      <c r="J215" s="616"/>
      <c r="K215" s="1671">
        <f>D215</f>
        <v>7587</v>
      </c>
      <c r="L215" s="466">
        <v>6993</v>
      </c>
    </row>
    <row r="216" spans="1:14" x14ac:dyDescent="0.2">
      <c r="A216" s="1504" t="s">
        <v>163</v>
      </c>
      <c r="B216" s="614" t="s">
        <v>967</v>
      </c>
      <c r="C216" s="616"/>
      <c r="D216" s="467">
        <v>12261</v>
      </c>
      <c r="E216" s="616"/>
      <c r="F216" s="616"/>
      <c r="G216" s="616"/>
      <c r="H216" s="616"/>
      <c r="I216" s="616"/>
      <c r="J216" s="616"/>
      <c r="K216" s="1671">
        <f t="shared" ref="K216:K228" si="19">D216</f>
        <v>12261</v>
      </c>
      <c r="L216" s="466">
        <v>15113</v>
      </c>
    </row>
    <row r="217" spans="1:14" x14ac:dyDescent="0.2">
      <c r="A217" s="1504" t="s">
        <v>164</v>
      </c>
      <c r="B217" s="614">
        <v>1200</v>
      </c>
      <c r="C217" s="616"/>
      <c r="D217" s="466">
        <v>52132</v>
      </c>
      <c r="E217" s="616"/>
      <c r="F217" s="616"/>
      <c r="G217" s="616"/>
      <c r="H217" s="616"/>
      <c r="I217" s="616"/>
      <c r="J217" s="616"/>
      <c r="K217" s="1671">
        <f t="shared" si="19"/>
        <v>52132</v>
      </c>
      <c r="L217" s="466">
        <v>49451</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3675</v>
      </c>
      <c r="E219" s="616"/>
      <c r="F219" s="616"/>
      <c r="G219" s="616"/>
      <c r="H219" s="616"/>
      <c r="I219" s="616"/>
      <c r="J219" s="616"/>
      <c r="K219" s="1671">
        <f t="shared" si="19"/>
        <v>3675</v>
      </c>
      <c r="L219" s="466">
        <v>4595</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652</v>
      </c>
      <c r="E222" s="616"/>
      <c r="F222" s="616"/>
      <c r="G222" s="616"/>
      <c r="H222" s="616"/>
      <c r="I222" s="616"/>
      <c r="J222" s="616"/>
      <c r="K222" s="1671">
        <f t="shared" si="19"/>
        <v>652</v>
      </c>
      <c r="L222" s="466">
        <v>656</v>
      </c>
    </row>
    <row r="223" spans="1:14" x14ac:dyDescent="0.2">
      <c r="A223" s="1504" t="s">
        <v>963</v>
      </c>
      <c r="B223" s="614">
        <v>1500</v>
      </c>
      <c r="C223" s="616"/>
      <c r="D223" s="466">
        <v>6667</v>
      </c>
      <c r="E223" s="616"/>
      <c r="F223" s="616"/>
      <c r="G223" s="616"/>
      <c r="H223" s="616"/>
      <c r="I223" s="616"/>
      <c r="J223" s="616"/>
      <c r="K223" s="1671">
        <f t="shared" si="19"/>
        <v>6667</v>
      </c>
      <c r="L223" s="466">
        <v>12023</v>
      </c>
    </row>
    <row r="224" spans="1:14" x14ac:dyDescent="0.2">
      <c r="A224" s="1504" t="s">
        <v>964</v>
      </c>
      <c r="B224" s="614">
        <v>1600</v>
      </c>
      <c r="C224" s="616"/>
      <c r="D224" s="466">
        <v>1585</v>
      </c>
      <c r="E224" s="616"/>
      <c r="F224" s="616"/>
      <c r="G224" s="616"/>
      <c r="H224" s="616"/>
      <c r="I224" s="616"/>
      <c r="J224" s="616"/>
      <c r="K224" s="1671">
        <f t="shared" si="19"/>
        <v>1585</v>
      </c>
      <c r="L224" s="466">
        <v>1496</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285</v>
      </c>
      <c r="E226" s="616"/>
      <c r="F226" s="616"/>
      <c r="G226" s="616"/>
      <c r="H226" s="616"/>
      <c r="I226" s="616"/>
      <c r="J226" s="616"/>
      <c r="K226" s="1671">
        <f t="shared" si="19"/>
        <v>285</v>
      </c>
      <c r="L226" s="466">
        <v>220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84844</v>
      </c>
      <c r="E229" s="616"/>
      <c r="F229" s="616"/>
      <c r="G229" s="616"/>
      <c r="H229" s="616"/>
      <c r="I229" s="616"/>
      <c r="J229" s="616"/>
      <c r="K229" s="1670">
        <f>SUM(K215:K228)</f>
        <v>84844</v>
      </c>
      <c r="L229" s="1670">
        <f>SUM(L215:L228)</f>
        <v>90547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4902</v>
      </c>
      <c r="E232" s="616"/>
      <c r="F232" s="616"/>
      <c r="G232" s="616"/>
      <c r="H232" s="616"/>
      <c r="I232" s="616"/>
      <c r="J232" s="616"/>
      <c r="K232" s="1671">
        <f t="shared" ref="K232:K237" si="20">D232</f>
        <v>4902</v>
      </c>
      <c r="L232" s="466">
        <v>4902</v>
      </c>
    </row>
    <row r="233" spans="1:12" x14ac:dyDescent="0.2">
      <c r="A233" s="1504" t="s">
        <v>1090</v>
      </c>
      <c r="B233" s="614">
        <v>2120</v>
      </c>
      <c r="C233" s="616"/>
      <c r="D233" s="466">
        <v>1289</v>
      </c>
      <c r="E233" s="616"/>
      <c r="F233" s="616"/>
      <c r="G233" s="616"/>
      <c r="H233" s="616"/>
      <c r="I233" s="616"/>
      <c r="J233" s="616"/>
      <c r="K233" s="1671">
        <f t="shared" si="20"/>
        <v>1289</v>
      </c>
      <c r="L233" s="466">
        <v>739</v>
      </c>
    </row>
    <row r="234" spans="1:12" x14ac:dyDescent="0.2">
      <c r="A234" s="1504" t="s">
        <v>198</v>
      </c>
      <c r="B234" s="614">
        <v>2130</v>
      </c>
      <c r="C234" s="616"/>
      <c r="D234" s="466">
        <v>6527</v>
      </c>
      <c r="E234" s="616"/>
      <c r="F234" s="616"/>
      <c r="G234" s="616"/>
      <c r="H234" s="616"/>
      <c r="I234" s="616"/>
      <c r="J234" s="616"/>
      <c r="K234" s="1671">
        <f t="shared" si="20"/>
        <v>6527</v>
      </c>
      <c r="L234" s="466">
        <v>7466</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v>492</v>
      </c>
      <c r="E236" s="616"/>
      <c r="F236" s="616"/>
      <c r="G236" s="616"/>
      <c r="H236" s="616"/>
      <c r="I236" s="616"/>
      <c r="J236" s="616"/>
      <c r="K236" s="1671">
        <f t="shared" si="20"/>
        <v>492</v>
      </c>
      <c r="L236" s="466">
        <v>585</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13210</v>
      </c>
      <c r="E238" s="616"/>
      <c r="F238" s="616"/>
      <c r="G238" s="616"/>
      <c r="H238" s="616"/>
      <c r="I238" s="616"/>
      <c r="J238" s="616"/>
      <c r="K238" s="1670">
        <f>SUM(K232:K237)</f>
        <v>13210</v>
      </c>
      <c r="L238" s="1670">
        <f>SUM(L232:L237)</f>
        <v>13692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133</v>
      </c>
      <c r="E240" s="616"/>
      <c r="F240" s="616"/>
      <c r="G240" s="616"/>
      <c r="H240" s="616"/>
      <c r="I240" s="616"/>
      <c r="J240" s="616"/>
      <c r="K240" s="1672">
        <f>D240</f>
        <v>133</v>
      </c>
      <c r="L240" s="481">
        <v>170</v>
      </c>
    </row>
    <row r="241" spans="1:12" x14ac:dyDescent="0.2">
      <c r="A241" s="1504" t="s">
        <v>815</v>
      </c>
      <c r="B241" s="614">
        <v>2220</v>
      </c>
      <c r="C241" s="616"/>
      <c r="D241" s="466">
        <v>12202</v>
      </c>
      <c r="E241" s="616"/>
      <c r="F241" s="616"/>
      <c r="G241" s="616"/>
      <c r="H241" s="616"/>
      <c r="I241" s="616"/>
      <c r="J241" s="616"/>
      <c r="K241" s="1672">
        <f>D241</f>
        <v>12202</v>
      </c>
      <c r="L241" s="466">
        <v>12670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12335</v>
      </c>
      <c r="E243" s="616"/>
      <c r="F243" s="616"/>
      <c r="G243" s="616"/>
      <c r="H243" s="616"/>
      <c r="I243" s="616"/>
      <c r="J243" s="616"/>
      <c r="K243" s="1670">
        <f>SUM(K240:K242)</f>
        <v>12335</v>
      </c>
      <c r="L243" s="1670">
        <f>SUM(L240:L242)</f>
        <v>12840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132</v>
      </c>
      <c r="E245" s="616"/>
      <c r="F245" s="616"/>
      <c r="G245" s="616"/>
      <c r="H245" s="616"/>
      <c r="I245" s="616"/>
      <c r="J245" s="616"/>
      <c r="K245" s="1672">
        <f>D245</f>
        <v>132</v>
      </c>
      <c r="L245" s="481">
        <v>518</v>
      </c>
    </row>
    <row r="246" spans="1:12" x14ac:dyDescent="0.2">
      <c r="A246" s="1504" t="s">
        <v>818</v>
      </c>
      <c r="B246" s="614">
        <v>2320</v>
      </c>
      <c r="C246" s="616"/>
      <c r="D246" s="466">
        <v>2947</v>
      </c>
      <c r="E246" s="616"/>
      <c r="F246" s="616"/>
      <c r="G246" s="616"/>
      <c r="H246" s="616"/>
      <c r="I246" s="616"/>
      <c r="J246" s="616"/>
      <c r="K246" s="1672">
        <f t="shared" ref="K246:K256" si="21">D246</f>
        <v>2947</v>
      </c>
      <c r="L246" s="466">
        <v>6949</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1802</v>
      </c>
      <c r="B249" s="683" t="s">
        <v>282</v>
      </c>
      <c r="C249" s="616"/>
      <c r="D249" s="474"/>
      <c r="E249" s="616"/>
      <c r="F249" s="616"/>
      <c r="G249" s="616"/>
      <c r="H249" s="616"/>
      <c r="I249" s="616"/>
      <c r="J249" s="616"/>
      <c r="K249" s="1672">
        <f t="shared" si="21"/>
        <v>0</v>
      </c>
      <c r="L249" s="466">
        <v>0</v>
      </c>
    </row>
    <row r="250" spans="1:12" x14ac:dyDescent="0.2">
      <c r="A250" s="1505" t="s">
        <v>1803</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v>9822</v>
      </c>
      <c r="E254" s="616"/>
      <c r="F254" s="616"/>
      <c r="G254" s="616"/>
      <c r="H254" s="616"/>
      <c r="I254" s="616"/>
      <c r="J254" s="616"/>
      <c r="K254" s="1672">
        <f t="shared" si="21"/>
        <v>9822</v>
      </c>
      <c r="L254" s="466">
        <v>8575</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12901</v>
      </c>
      <c r="E257" s="616"/>
      <c r="F257" s="616"/>
      <c r="G257" s="616"/>
      <c r="H257" s="616"/>
      <c r="I257" s="616"/>
      <c r="J257" s="616"/>
      <c r="K257" s="1670">
        <f>SUM(K245:K256)</f>
        <v>12901</v>
      </c>
      <c r="L257" s="1670">
        <f>SUM(L245:L256)</f>
        <v>16042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18270</v>
      </c>
      <c r="E259" s="616"/>
      <c r="F259" s="616"/>
      <c r="G259" s="616"/>
      <c r="H259" s="616"/>
      <c r="I259" s="616"/>
      <c r="J259" s="616"/>
      <c r="K259" s="1672">
        <f>D259</f>
        <v>18270</v>
      </c>
      <c r="L259" s="481">
        <v>16695</v>
      </c>
    </row>
    <row r="260" spans="1:14" s="597" customFormat="1" x14ac:dyDescent="0.2">
      <c r="A260" s="1522" t="s">
        <v>1801</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18270</v>
      </c>
      <c r="E261" s="616"/>
      <c r="F261" s="616"/>
      <c r="G261" s="616"/>
      <c r="H261" s="616"/>
      <c r="I261" s="616"/>
      <c r="J261" s="616"/>
      <c r="K261" s="1670">
        <f>SUM(K259:K260)</f>
        <v>18270</v>
      </c>
      <c r="L261" s="1670">
        <f>SUM(L259:L260)</f>
        <v>16695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13054</v>
      </c>
      <c r="E264" s="616"/>
      <c r="F264" s="616"/>
      <c r="G264" s="616"/>
      <c r="H264" s="616"/>
      <c r="I264" s="616"/>
      <c r="J264" s="616"/>
      <c r="K264" s="1672">
        <f t="shared" ref="K264:K269" si="22">D264</f>
        <v>13054</v>
      </c>
      <c r="L264" s="466">
        <v>11907</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33318</v>
      </c>
      <c r="E266" s="616"/>
      <c r="F266" s="616"/>
      <c r="G266" s="616"/>
      <c r="H266" s="616"/>
      <c r="I266" s="616"/>
      <c r="J266" s="616"/>
      <c r="K266" s="1672">
        <f t="shared" si="22"/>
        <v>33318</v>
      </c>
      <c r="L266" s="466">
        <v>23024</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46372</v>
      </c>
      <c r="E270" s="616"/>
      <c r="F270" s="616"/>
      <c r="G270" s="616"/>
      <c r="H270" s="616"/>
      <c r="I270" s="616"/>
      <c r="J270" s="616"/>
      <c r="K270" s="1670">
        <f>SUM(K263:K269)</f>
        <v>46372</v>
      </c>
      <c r="L270" s="1670">
        <f>SUM(L263:L269)</f>
        <v>34931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434</v>
      </c>
      <c r="E278" s="616"/>
      <c r="F278" s="616"/>
      <c r="G278" s="616"/>
      <c r="H278" s="616"/>
      <c r="I278" s="616"/>
      <c r="J278" s="616"/>
      <c r="K278" s="1685">
        <f>D278</f>
        <v>434</v>
      </c>
      <c r="L278" s="656">
        <v>0</v>
      </c>
    </row>
    <row r="279" spans="1:12" ht="12.75" customHeight="1" thickBot="1" x14ac:dyDescent="0.25">
      <c r="A279" s="1698" t="s">
        <v>811</v>
      </c>
      <c r="B279" s="1681">
        <v>2000</v>
      </c>
      <c r="C279" s="616"/>
      <c r="D279" s="1677">
        <f>SUM(D238,D243,D257,D261,D270,D277,D278)</f>
        <v>103522</v>
      </c>
      <c r="E279" s="616"/>
      <c r="F279" s="616"/>
      <c r="G279" s="616"/>
      <c r="H279" s="616"/>
      <c r="I279" s="616"/>
      <c r="J279" s="616"/>
      <c r="K279" s="1677">
        <f>SUM(K238,K243,K257,K261,K270,K277,K278)</f>
        <v>103522</v>
      </c>
      <c r="L279" s="1677">
        <f>SUM(L238,L243,L257,L261,L270,L277,L278)</f>
        <v>94200</v>
      </c>
    </row>
    <row r="280" spans="1:12" ht="15.75" customHeight="1" thickTop="1" thickBot="1" x14ac:dyDescent="0.25">
      <c r="A280" s="1624" t="s">
        <v>875</v>
      </c>
      <c r="B280" s="1613">
        <v>3000</v>
      </c>
      <c r="C280" s="616"/>
      <c r="D280" s="576">
        <v>22633</v>
      </c>
      <c r="E280" s="616"/>
      <c r="F280" s="616"/>
      <c r="G280" s="616"/>
      <c r="H280" s="616"/>
      <c r="I280" s="616"/>
      <c r="J280" s="616"/>
      <c r="K280" s="1679">
        <f>D280</f>
        <v>22633</v>
      </c>
      <c r="L280" s="576">
        <v>27125</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80" t="s">
        <v>505</v>
      </c>
      <c r="B295" s="2181"/>
      <c r="C295" s="616"/>
      <c r="D295" s="1670">
        <f>SUM(D229,D279,D280,D285)</f>
        <v>210999</v>
      </c>
      <c r="E295" s="616"/>
      <c r="F295" s="616"/>
      <c r="G295" s="616"/>
      <c r="H295" s="1670">
        <f>H293</f>
        <v>0</v>
      </c>
      <c r="I295" s="616"/>
      <c r="J295" s="616"/>
      <c r="K295" s="1670">
        <f>SUM(K229,K279,K280,K285,K293,K294)</f>
        <v>210999</v>
      </c>
      <c r="L295" s="1670">
        <f>SUM(L229,L279,L280,L285,L293,L294)</f>
        <v>211872</v>
      </c>
    </row>
    <row r="296" spans="1:14" ht="13.5" thickTop="1" x14ac:dyDescent="0.2">
      <c r="A296" s="2189" t="s">
        <v>996</v>
      </c>
      <c r="B296" s="2190"/>
      <c r="C296" s="616"/>
      <c r="D296" s="618"/>
      <c r="E296" s="616"/>
      <c r="F296" s="616"/>
      <c r="G296" s="616"/>
      <c r="H296" s="687"/>
      <c r="I296" s="616"/>
      <c r="J296" s="616"/>
      <c r="K296" s="1684">
        <f>'Revenues 9-14'!G268-'Expenditures 15-22'!K295</f>
        <v>-54312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1197</v>
      </c>
      <c r="F301" s="466"/>
      <c r="G301" s="466">
        <v>156026</v>
      </c>
      <c r="H301" s="466"/>
      <c r="I301" s="467"/>
      <c r="J301" s="467"/>
      <c r="K301" s="1671">
        <f>SUM(C301:J301)</f>
        <v>157223</v>
      </c>
      <c r="L301" s="467">
        <v>163385</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1197</v>
      </c>
      <c r="F303" s="1677">
        <f t="shared" si="23"/>
        <v>0</v>
      </c>
      <c r="G303" s="1677">
        <f t="shared" si="23"/>
        <v>156026</v>
      </c>
      <c r="H303" s="1677">
        <f t="shared" si="23"/>
        <v>0</v>
      </c>
      <c r="I303" s="1677">
        <f t="shared" si="23"/>
        <v>0</v>
      </c>
      <c r="J303" s="1677">
        <f t="shared" si="23"/>
        <v>0</v>
      </c>
      <c r="K303" s="1677">
        <f t="shared" si="23"/>
        <v>157223</v>
      </c>
      <c r="L303" s="1677">
        <f t="shared" si="23"/>
        <v>163385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7" t="s">
        <v>277</v>
      </c>
      <c r="B312" s="2178"/>
      <c r="C312" s="1670">
        <f>SUM(C303)</f>
        <v>0</v>
      </c>
      <c r="D312" s="1670">
        <f>SUM(D303)</f>
        <v>0</v>
      </c>
      <c r="E312" s="1670">
        <f>SUM(E303,E310)</f>
        <v>1197</v>
      </c>
      <c r="F312" s="1670">
        <f>SUM(F303)</f>
        <v>0</v>
      </c>
      <c r="G312" s="1670">
        <f>SUM(G303)</f>
        <v>156026</v>
      </c>
      <c r="H312" s="1670">
        <f>SUM(H303,H310)</f>
        <v>0</v>
      </c>
      <c r="I312" s="1670">
        <f>SUM(I303)</f>
        <v>0</v>
      </c>
      <c r="J312" s="1670">
        <f>SUM(J303)</f>
        <v>0</v>
      </c>
      <c r="K312" s="1670">
        <f>SUM(K303,K310,K311)</f>
        <v>157223</v>
      </c>
      <c r="L312" s="1670">
        <f>SUM(L303,L310,L311)</f>
        <v>163385</v>
      </c>
      <c r="M312" s="665"/>
      <c r="N312" s="665"/>
    </row>
    <row r="313" spans="1:14" ht="13.5" thickTop="1" x14ac:dyDescent="0.2">
      <c r="A313" s="2173" t="s">
        <v>996</v>
      </c>
      <c r="B313" s="2174"/>
      <c r="C313" s="626"/>
      <c r="D313" s="626"/>
      <c r="E313" s="626"/>
      <c r="F313" s="626"/>
      <c r="G313" s="626"/>
      <c r="H313" s="626"/>
      <c r="I313" s="626"/>
      <c r="J313" s="626"/>
      <c r="K313" s="1685">
        <f>'Revenues 9-14'!H268-'Expenditures 15-22'!K312</f>
        <v>-157087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1802</v>
      </c>
      <c r="B320" s="698" t="s">
        <v>282</v>
      </c>
      <c r="C320" s="467"/>
      <c r="D320" s="467"/>
      <c r="E320" s="467">
        <v>47620</v>
      </c>
      <c r="F320" s="467"/>
      <c r="G320" s="467"/>
      <c r="H320" s="467"/>
      <c r="I320" s="467"/>
      <c r="J320" s="467"/>
      <c r="K320" s="1671">
        <f t="shared" ref="K320:K327" si="24">SUM(C320:J320)</f>
        <v>47620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1234</v>
      </c>
      <c r="F322" s="467"/>
      <c r="G322" s="467"/>
      <c r="H322" s="467"/>
      <c r="I322" s="467"/>
      <c r="J322" s="467"/>
      <c r="K322" s="1671">
        <f t="shared" si="24"/>
        <v>1234</v>
      </c>
      <c r="L322" s="467">
        <v>1500</v>
      </c>
      <c r="M322" s="665"/>
      <c r="N322" s="665"/>
    </row>
    <row r="323" spans="1:14" s="674" customFormat="1" x14ac:dyDescent="0.2">
      <c r="A323" s="1519" t="s">
        <v>702</v>
      </c>
      <c r="B323" s="697" t="s">
        <v>285</v>
      </c>
      <c r="C323" s="467">
        <v>116809</v>
      </c>
      <c r="D323" s="467">
        <v>23979</v>
      </c>
      <c r="E323" s="467"/>
      <c r="F323" s="467"/>
      <c r="G323" s="467"/>
      <c r="H323" s="467"/>
      <c r="I323" s="467"/>
      <c r="J323" s="467"/>
      <c r="K323" s="1671">
        <f t="shared" si="24"/>
        <v>140788</v>
      </c>
      <c r="L323" s="467">
        <v>52620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135481</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17548</v>
      </c>
      <c r="F327" s="467"/>
      <c r="G327" s="467"/>
      <c r="H327" s="467"/>
      <c r="I327" s="467"/>
      <c r="J327" s="467"/>
      <c r="K327" s="1671">
        <f t="shared" si="24"/>
        <v>17548</v>
      </c>
      <c r="L327" s="467">
        <v>30000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116809</v>
      </c>
      <c r="D330" s="1670">
        <f t="shared" ref="D330:J330" si="25">SUM(D319:D329)</f>
        <v>23979</v>
      </c>
      <c r="E330" s="1670">
        <f t="shared" si="25"/>
        <v>66402</v>
      </c>
      <c r="F330" s="1670">
        <f t="shared" si="25"/>
        <v>0</v>
      </c>
      <c r="G330" s="1670">
        <f t="shared" si="25"/>
        <v>0</v>
      </c>
      <c r="H330" s="1670">
        <f t="shared" si="25"/>
        <v>0</v>
      </c>
      <c r="I330" s="1670">
        <f t="shared" si="25"/>
        <v>0</v>
      </c>
      <c r="J330" s="1670">
        <f t="shared" si="25"/>
        <v>0</v>
      </c>
      <c r="K330" s="1670">
        <f>SUM(K319:K329)</f>
        <v>207190</v>
      </c>
      <c r="L330" s="1670">
        <f>SUM(L319:L329)</f>
        <v>219601</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116809</v>
      </c>
      <c r="D342" s="1670">
        <f>SUM(D330)</f>
        <v>23979</v>
      </c>
      <c r="E342" s="1670">
        <f>SUM(E330)</f>
        <v>66402</v>
      </c>
      <c r="F342" s="1670">
        <f>SUM(F330)</f>
        <v>0</v>
      </c>
      <c r="G342" s="1670">
        <f>SUM(G330)</f>
        <v>0</v>
      </c>
      <c r="H342" s="1670">
        <f>SUM(H330,H334,H340)</f>
        <v>0</v>
      </c>
      <c r="I342" s="1670">
        <f>SUM(I330)</f>
        <v>0</v>
      </c>
      <c r="J342" s="1670">
        <f>SUM(J330)</f>
        <v>0</v>
      </c>
      <c r="K342" s="1670">
        <f>SUM(K330,K334,K340)</f>
        <v>207190</v>
      </c>
      <c r="L342" s="1677">
        <f>SUM(L330,L340,L341)</f>
        <v>219601</v>
      </c>
    </row>
    <row r="343" spans="1:14" ht="12.75" customHeight="1" thickTop="1" x14ac:dyDescent="0.2">
      <c r="A343" s="2175" t="s">
        <v>996</v>
      </c>
      <c r="B343" s="2176"/>
      <c r="C343" s="616"/>
      <c r="D343" s="616"/>
      <c r="E343" s="616"/>
      <c r="F343" s="616"/>
      <c r="G343" s="616"/>
      <c r="H343" s="616"/>
      <c r="I343" s="616"/>
      <c r="J343" s="616"/>
      <c r="K343" s="1684">
        <f>'Revenues 9-14'!J268-'Expenditures 15-22'!K342</f>
        <v>-32370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v>40000</v>
      </c>
      <c r="H349" s="466"/>
      <c r="I349" s="467"/>
      <c r="J349" s="467"/>
      <c r="K349" s="1671">
        <f>SUM(C349:J349)</f>
        <v>40000</v>
      </c>
      <c r="L349" s="466">
        <v>46300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40000</v>
      </c>
      <c r="H350" s="1670">
        <f t="shared" si="26"/>
        <v>0</v>
      </c>
      <c r="I350" s="1670">
        <f t="shared" si="26"/>
        <v>0</v>
      </c>
      <c r="J350" s="1670">
        <f t="shared" si="26"/>
        <v>0</v>
      </c>
      <c r="K350" s="1670">
        <f t="shared" si="26"/>
        <v>40000</v>
      </c>
      <c r="L350" s="1670">
        <f t="shared" si="26"/>
        <v>46300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40000</v>
      </c>
      <c r="H352" s="1670">
        <f t="shared" si="27"/>
        <v>0</v>
      </c>
      <c r="I352" s="1670">
        <f t="shared" si="27"/>
        <v>0</v>
      </c>
      <c r="J352" s="1670">
        <f t="shared" si="27"/>
        <v>0</v>
      </c>
      <c r="K352" s="1670">
        <f t="shared" si="27"/>
        <v>40000</v>
      </c>
      <c r="L352" s="1670">
        <f t="shared" si="27"/>
        <v>46300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v>0</v>
      </c>
    </row>
    <row r="355" spans="1:14" ht="12.75" customHeight="1" x14ac:dyDescent="0.2">
      <c r="A355" s="1513" t="s">
        <v>1851</v>
      </c>
      <c r="B355" s="690" t="s">
        <v>1844</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40000</v>
      </c>
      <c r="H367" s="1670">
        <f t="shared" si="28"/>
        <v>0</v>
      </c>
      <c r="I367" s="1670">
        <f t="shared" si="28"/>
        <v>0</v>
      </c>
      <c r="J367" s="1670">
        <f t="shared" si="28"/>
        <v>0</v>
      </c>
      <c r="K367" s="1670">
        <f t="shared" si="28"/>
        <v>40000</v>
      </c>
      <c r="L367" s="1670">
        <f t="shared" si="28"/>
        <v>46300</v>
      </c>
    </row>
    <row r="368" spans="1:14" ht="13.5" thickTop="1" x14ac:dyDescent="0.2">
      <c r="A368" s="2189" t="s">
        <v>996</v>
      </c>
      <c r="B368" s="2190"/>
      <c r="C368" s="654"/>
      <c r="D368" s="654"/>
      <c r="E368" s="626"/>
      <c r="F368" s="626"/>
      <c r="G368" s="626"/>
      <c r="H368" s="626"/>
      <c r="I368" s="626"/>
      <c r="J368" s="623"/>
      <c r="K368" s="1671">
        <f>'Revenues 9-14'!K268-'Expenditures 15-22'!K367</f>
        <v>-31378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1" right="0.2" top="1.1100000000000001" bottom="0.5" header="0.53" footer="0.3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purl.org/dc/elements/1.1/"/>
    <ds:schemaRef ds:uri="http://purl.org/dc/terms/"/>
    <ds:schemaRef ds:uri="d21dc803-237d-4c68-8692-8d731fd29118"/>
    <ds:schemaRef ds:uri="http://schemas.microsoft.com/office/infopath/2007/PartnerControls"/>
    <ds:schemaRef ds:uri="4d435f69-8686-490b-bd6d-b153bf22ab5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SEFA-1</vt:lpstr>
      <vt:lpstr>SEFA-2</vt:lpstr>
      <vt:lpstr>SEFA-3</vt:lpstr>
      <vt:lpstr>SEFA-4</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2019-10-23T13:47:40Z</cp:lastPrinted>
  <dcterms:created xsi:type="dcterms:W3CDTF">2003-10-29T19:06:34Z</dcterms:created>
  <dcterms:modified xsi:type="dcterms:W3CDTF">2019-12-06T15:57:33Z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