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4A8037C-D30F-4B61-80BD-A54DEC4F7DE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6" r:id="rId31"/>
    <sheet name="Finding 2019-002" sheetId="183" r:id="rId32"/>
    <sheet name="Finding 2019-003" sheetId="184" r:id="rId33"/>
    <sheet name="Finding 2019-004" sheetId="190" r:id="rId34"/>
    <sheet name="Finding 2019-005" sheetId="192" r:id="rId35"/>
    <sheet name="SF&amp;QC Sec-3" sheetId="176" r:id="rId36"/>
    <sheet name="SSPAF" sheetId="177" r:id="rId37"/>
    <sheet name="CAP 2019-001" sheetId="187" r:id="rId38"/>
    <sheet name="CAP 2019-002" sheetId="185" r:id="rId39"/>
    <sheet name="CAP 2019-003" sheetId="188" r:id="rId40"/>
    <sheet name="CAP 2019-004" sheetId="191" r:id="rId41"/>
    <sheet name="CAP 2019-005" sheetId="193" r:id="rId42"/>
  </sheets>
  <definedNames>
    <definedName name="Finding" localSheetId="33">#REF!</definedName>
    <definedName name="Finding">#REF!</definedName>
    <definedName name="goof" localSheetId="37">#REF!</definedName>
    <definedName name="goof">#REF!</definedName>
    <definedName name="New" localSheetId="33">#REF!</definedName>
    <definedName name="New">#REF!</definedName>
    <definedName name="oops" localSheetId="37">#REF!</definedName>
    <definedName name="oops">#REF!</definedName>
    <definedName name="pass" localSheetId="37">#REF!</definedName>
    <definedName name="pass" localSheetId="39">#REF!</definedName>
    <definedName name="pass" localSheetId="40">#REF!</definedName>
    <definedName name="pass" localSheetId="41">#REF!</definedName>
    <definedName name="pass" localSheetId="30">#REF!</definedName>
    <definedName name="pass">#REF!</definedName>
    <definedName name="pass1" localSheetId="37">#REF!</definedName>
    <definedName name="pass1" localSheetId="39">#REF!</definedName>
    <definedName name="pass1" localSheetId="40">#REF!</definedName>
    <definedName name="pass1" localSheetId="41">#REF!</definedName>
    <definedName name="pass1" localSheetId="30">#REF!</definedName>
    <definedName name="pass1">#REF!</definedName>
    <definedName name="pass2" localSheetId="37">#REF!</definedName>
    <definedName name="pass2" localSheetId="39">#REF!</definedName>
    <definedName name="pass2" localSheetId="40">#REF!</definedName>
    <definedName name="pass2" localSheetId="41">#REF!</definedName>
    <definedName name="pass2" localSheetId="30">#REF!</definedName>
    <definedName name="pass2">#REF!</definedName>
    <definedName name="pass3" localSheetId="37">#REF!</definedName>
    <definedName name="pass3" localSheetId="39">#REF!</definedName>
    <definedName name="pass3" localSheetId="40">#REF!</definedName>
    <definedName name="pass3" localSheetId="41">#REF!</definedName>
    <definedName name="pass3" localSheetId="30">#REF!</definedName>
    <definedName name="pass3">#REF!</definedName>
    <definedName name="pass4" localSheetId="37">#REF!</definedName>
    <definedName name="pass4" localSheetId="39">#REF!</definedName>
    <definedName name="pass4" localSheetId="40">#REF!</definedName>
    <definedName name="pass4" localSheetId="41">#REF!</definedName>
    <definedName name="pass4" localSheetId="30">#REF!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7">#REF!</definedName>
    <definedName name="SCHADDRS" localSheetId="38">#REF!</definedName>
    <definedName name="SCHADDRS" localSheetId="39">#REF!</definedName>
    <definedName name="SCHADDRS" localSheetId="40">#REF!</definedName>
    <definedName name="SCHADDRS" localSheetId="41">#REF!</definedName>
    <definedName name="SCHADDRS" localSheetId="21">#REF!</definedName>
    <definedName name="SCHADDRS" localSheetId="4">#REF!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8">#REF!</definedName>
    <definedName name="SCHADDRS" localSheetId="26">#REF!</definedName>
    <definedName name="SCHADDRS" localSheetId="29">#REF!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17">#REF!</definedName>
    <definedName name="SCHCTY" localSheetId="37">#REF!</definedName>
    <definedName name="SCHCTY" localSheetId="38">#REF!</definedName>
    <definedName name="SCHCTY" localSheetId="39">#REF!</definedName>
    <definedName name="SCHCTY" localSheetId="40">#REF!</definedName>
    <definedName name="SCHCTY" localSheetId="41">#REF!</definedName>
    <definedName name="SCHCTY" localSheetId="21">#REF!</definedName>
    <definedName name="SCHCTY" localSheetId="4">#REF!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8">#REF!</definedName>
    <definedName name="SCHCTY" localSheetId="26">#REF!</definedName>
    <definedName name="SCHCTY" localSheetId="29">#REF!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17">#REF!</definedName>
    <definedName name="SCHNMBR" localSheetId="37">#REF!</definedName>
    <definedName name="SCHNMBR" localSheetId="38">#REF!</definedName>
    <definedName name="SCHNMBR" localSheetId="39">#REF!</definedName>
    <definedName name="SCHNMBR" localSheetId="40">#REF!</definedName>
    <definedName name="SCHNMBR" localSheetId="41">#REF!</definedName>
    <definedName name="SCHNMBR" localSheetId="21">#REF!</definedName>
    <definedName name="SCHNMBR" localSheetId="4">#REF!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8">#REF!</definedName>
    <definedName name="SCHNMBR" localSheetId="26">#REF!</definedName>
    <definedName name="SCHNMBR" localSheetId="29">#REF!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17">#REF!</definedName>
    <definedName name="SCHNME" localSheetId="37">#REF!</definedName>
    <definedName name="SCHNME" localSheetId="38">#REF!</definedName>
    <definedName name="SCHNME" localSheetId="39">#REF!</definedName>
    <definedName name="SCHNME" localSheetId="40">#REF!</definedName>
    <definedName name="SCHNME" localSheetId="41">#REF!</definedName>
    <definedName name="SCHNME" localSheetId="21">#REF!</definedName>
    <definedName name="SCHNME" localSheetId="4">#REF!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8">#REF!</definedName>
    <definedName name="SCHNME" localSheetId="26">#REF!</definedName>
    <definedName name="SCHNME" localSheetId="29">#REF!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17">#REF!</definedName>
    <definedName name="SUPT" localSheetId="37">#REF!</definedName>
    <definedName name="SUPT" localSheetId="38">#REF!</definedName>
    <definedName name="SUPT" localSheetId="39">#REF!</definedName>
    <definedName name="SUPT" localSheetId="40">#REF!</definedName>
    <definedName name="SUPT" localSheetId="41">#REF!</definedName>
    <definedName name="SUPT" localSheetId="21">#REF!</definedName>
    <definedName name="SUPT" localSheetId="4">#REF!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8">#REF!</definedName>
    <definedName name="SUPT" localSheetId="26">#REF!</definedName>
    <definedName name="SUPT" localSheetId="29">#REF!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 i="193" l="1"/>
  <c r="B4" i="192" l="1"/>
  <c r="B4" i="190" l="1"/>
  <c r="B1" i="185" l="1"/>
  <c r="B4" i="184"/>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3" l="1"/>
  <c r="B1" i="192"/>
  <c r="B1" i="188"/>
  <c r="B1" i="191"/>
  <c r="B11" i="187"/>
  <c r="B1" i="187" s="1"/>
  <c r="B1" i="186"/>
  <c r="B1" i="184"/>
  <c r="B1" i="183"/>
  <c r="B2" i="179"/>
  <c r="B2" i="193"/>
  <c r="B2" i="192"/>
  <c r="B2" i="188"/>
  <c r="B2" i="191"/>
  <c r="B2" i="185"/>
  <c r="B13" i="187"/>
  <c r="B2" i="186"/>
  <c r="B2" i="184"/>
  <c r="B2" i="183"/>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l="1"/>
  <c r="F46" i="34"/>
  <c r="J22" i="37"/>
  <c r="G14" i="4"/>
  <c r="B2609" i="106" s="1"/>
  <c r="D2609" i="106" s="1"/>
  <c r="F72" i="34"/>
  <c r="G33" i="108"/>
  <c r="D54" i="36"/>
  <c r="F71" i="34"/>
  <c r="H28" i="118"/>
  <c r="L15" i="11"/>
  <c r="B3459" i="106" s="1"/>
  <c r="D3459" i="106" s="1"/>
  <c r="F36" i="34"/>
  <c r="L5" i="11"/>
  <c r="B2056" i="106" s="1"/>
  <c r="D2056" i="106" s="1"/>
  <c r="D24" i="37"/>
  <c r="B4270" i="106" s="1"/>
  <c r="D4270" i="106" s="1"/>
  <c r="D68" i="36"/>
  <c r="F69" i="34"/>
  <c r="F36" i="108"/>
  <c r="F64" i="34"/>
  <c r="I210" i="29"/>
  <c r="B7071" i="106" s="1"/>
  <c r="D7071" i="106" s="1"/>
  <c r="F67" i="34"/>
  <c r="G30" i="108"/>
  <c r="H76" i="4"/>
  <c r="B3298" i="106" s="1"/>
  <c r="D3298" i="106" s="1"/>
  <c r="B1124" i="106"/>
  <c r="D1124" i="106" s="1"/>
  <c r="F50" i="34"/>
  <c r="E30" i="108"/>
  <c r="B6995" i="106"/>
  <c r="D6995" i="106" s="1"/>
  <c r="F49" i="34"/>
  <c r="F42" i="34"/>
  <c r="B2724" i="106"/>
  <c r="D2724" i="106" s="1"/>
  <c r="B6289" i="106"/>
  <c r="D6289" i="106" s="1"/>
  <c r="J210" i="29"/>
  <c r="B7072" i="106" s="1"/>
  <c r="D7072"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F66" i="34" l="1"/>
  <c r="D7250" i="106"/>
  <c r="D7251" i="106"/>
  <c r="D7255" i="106"/>
  <c r="J16" i="4"/>
  <c r="B6226" i="106" s="1"/>
  <c r="D6226" i="106" s="1"/>
  <c r="I7" i="4"/>
  <c r="B4444" i="106" s="1"/>
  <c r="D4444" i="106" s="1"/>
  <c r="D7256" i="106"/>
  <c r="D7252" i="106"/>
  <c r="D7254" i="106"/>
  <c r="H77" i="4"/>
  <c r="B3299" i="106" s="1"/>
  <c r="D3299" i="106" s="1"/>
  <c r="B1328" i="106"/>
  <c r="D1328" i="106" s="1"/>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<sst xmlns="http://schemas.openxmlformats.org/spreadsheetml/2006/main" count="5324" uniqueCount="2189">
  <si>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</si>
  <si>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</si>
  <si>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</si>
  <si>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</si>
  <si>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</si>
  <si>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</si>
  <si>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</si>
  <si>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</si>
  <si>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</si>
  <si>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</si>
  <si>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</si>
  <si>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</si>
  <si>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</si>
  <si>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</si>
  <si>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</si>
  <si>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</si>
  <si>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</si>
  <si>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</si>
  <si>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</si>
  <si>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</si>
  <si>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</si>
  <si>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</si>
  <si>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</si>
  <si>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</si>
  <si>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</si>
  <si>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</si>
  <si>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</si>
  <si>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</si>
  <si>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</si>
  <si>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</si>
  <si>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</si>
  <si>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</si>
  <si>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</si>
  <si>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</si>
  <si>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</si>
  <si>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</si>
  <si>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</si>
  <si>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</si>
  <si>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</si>
  <si>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</si>
  <si>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</si>
  <si>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</si>
  <si>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</si>
  <si>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</si>
  <si>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</si>
  <si>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</si>
  <si>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</si>
  <si>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</si>
  <si>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</si>
  <si>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</si>
  <si>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</si>
  <si>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</si>
  <si>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</si>
  <si>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</si>
  <si>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</si>
  <si>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</si>
  <si>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</si>
  <si>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</si>
  <si>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</si>
  <si>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</si>
  <si>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</si>
  <si>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</si>
  <si>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</si>
  <si>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</si>
  <si>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</si>
  <si>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</si>
  <si>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</si>
  <si>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</si>
  <si>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</si>
  <si>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</si>
  <si>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</si>
  <si>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</si>
  <si>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</si>
  <si>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</si>
  <si>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</si>
  <si>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</si>
  <si>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</si>
  <si>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</si>
  <si>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</si>
  <si>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</si>
  <si>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</si>
  <si>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</si>
  <si>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</si>
  <si>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</si>
  <si>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</si>
  <si>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</si>
  <si>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</si>
  <si>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</si>
  <si>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</si>
  <si>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</si>
  <si>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</si>
  <si>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</si>
  <si>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</si>
  <si>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</si>
  <si>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</si>
  <si>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</si>
  <si>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</si>
  <si>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</si>
  <si>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</si>
  <si>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</si>
  <si>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</si>
  <si>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</si>
  <si>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</si>
  <si>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</si>
  <si>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</si>
  <si>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</si>
  <si>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</si>
  <si>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</si>
  <si>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</si>
  <si>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</si>
  <si>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</si>
  <si>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</si>
  <si>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</si>
  <si>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</si>
  <si>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</si>
  <si>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</si>
  <si>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</si>
  <si>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</si>
  <si>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</si>
  <si>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</si>
  <si>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</si>
  <si>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</si>
  <si>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</si>
  <si>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</si>
  <si>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</si>
  <si>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</si>
  <si>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</si>
  <si>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</si>
  <si>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</si>
  <si>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</si>
  <si>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</si>
  <si>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</si>
  <si>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</si>
  <si>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</si>
  <si>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</si>
  <si>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</si>
  <si>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</si>
  <si>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</si>
  <si>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</si>
  <si>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</si>
  <si>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</si>
  <si>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</si>
  <si>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</si>
  <si>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</si>
  <si>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</si>
  <si>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</si>
  <si>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</si>
  <si>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</si>
  <si>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</si>
  <si>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</si>
  <si>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</si>
  <si>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</si>
  <si>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</si>
  <si>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</si>
  <si>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</si>
  <si>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</si>
  <si>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</si>
  <si>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</si>
  <si>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</si>
  <si>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</si>
  <si>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</si>
  <si>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</si>
  <si>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</si>
  <si>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</si>
  <si>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</si>
  <si>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</si>
  <si>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</si>
  <si>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</si>
  <si>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</si>
  <si>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</si>
  <si>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</si>
  <si>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</si>
  <si>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</si>
  <si>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</si>
  <si>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</si>
  <si>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</si>
  <si>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</si>
  <si>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</si>
  <si>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</si>
  <si>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</si>
  <si>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</si>
  <si>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</si>
  <si>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</si>
  <si>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</si>
  <si>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</si>
  <si>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</si>
  <si>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</si>
  <si>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</si>
  <si>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</si>
  <si>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</si>
  <si>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</si>
  <si>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</si>
  <si>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</si>
  <si>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</si>
  <si>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</si>
  <si>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</si>
  <si>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</si>
  <si>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</si>
  <si>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</si>
  <si>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</si>
  <si>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</si>
  <si>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</si>
  <si>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</si>
  <si>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</si>
  <si>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</si>
  <si>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</si>
  <si>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</si>
  <si>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</si>
  <si>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</si>
  <si>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</si>
  <si>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</si>
  <si>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</si>
  <si>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</si>
  <si>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</si>
  <si>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</si>
  <si>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</si>
  <si>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</si>
  <si>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</si>
  <si>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</si>
  <si>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</si>
  <si>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</si>
  <si>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</si>
  <si>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</si>
  <si>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</si>
  <si>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</si>
  <si>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</si>
  <si>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</si>
  <si>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</si>
  <si>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</si>
  <si>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</si>
  <si>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</si>
  <si>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</si>
  <si>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</si>
  <si>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</si>
  <si>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</si>
  <si>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</si>
  <si>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</si>
  <si>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</si>
  <si>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</si>
  <si>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</si>
  <si>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</si>
  <si>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</si>
  <si>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</si>
  <si>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</si>
  <si>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</si>
  <si>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</si>
  <si>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</si>
  <si>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</si>
  <si>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</si>
  <si>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</si>
  <si>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</si>
  <si>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</si>
  <si>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</si>
  <si>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</si>
  <si>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</si>
  <si>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</si>
  <si>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</si>
  <si>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</si>
  <si>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</si>
  <si>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</si>
  <si>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</si>
  <si>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</si>
  <si>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</si>
  <si>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</si>
  <si>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</si>
  <si>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</si>
  <si>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</si>
  <si>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</si>
  <si>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</si>
  <si>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</si>
  <si>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</si>
  <si>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</si>
  <si>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</si>
  <si>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</si>
  <si>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</si>
  <si>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</si>
  <si>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</si>
  <si>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</si>
  <si>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</si>
  <si>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</si>
  <si>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</si>
  <si>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</si>
  <si>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</si>
  <si>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</si>
  <si>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</si>
  <si>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</si>
  <si>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</si>
  <si>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</si>
  <si>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</si>
  <si>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</si>
  <si>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</si>
  <si>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</si>
  <si>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</si>
  <si>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</si>
  <si>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</si>
  <si>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</si>
  <si>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</si>
  <si>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</si>
  <si>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</si>
  <si>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</si>
  <si>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</si>
  <si>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</si>
  <si>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</si>
  <si>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</si>
  <si>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</si>
  <si>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</si>
  <si>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</si>
  <si>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</si>
  <si>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</si>
  <si>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</si>
  <si>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</si>
  <si>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</si>
  <si>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</si>
  <si>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</si>
  <si>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</si>
  <si>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</si>
  <si>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</si>
  <si>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</si>
  <si>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</si>
  <si>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</si>
  <si>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</si>
  <si>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</si>
  <si>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</si>
  <si>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</si>
  <si>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</si>
  <si>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</si>
  <si>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</si>
  <si>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</si>
  <si>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</si>
  <si>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</si>
  <si>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</si>
  <si>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</si>
  <si>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</si>
  <si>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</si>
  <si>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</si>
  <si>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</si>
  <si>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</si>
  <si>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</si>
  <si>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</si>
  <si>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</si>
  <si>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</si>
  <si>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</si>
  <si>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</si>
  <si>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</si>
  <si>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</si>
  <si>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</si>
  <si>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</si>
  <si>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</si>
  <si>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</si>
  <si>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</si>
  <si>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</si>
  <si>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</si>
  <si>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</si>
  <si>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</si>
  <si>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</si>
  <si>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</si>
  <si>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</si>
  <si>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</si>
  <si>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</si>
  <si>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</si>
  <si>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</si>
  <si>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</si>
  <si>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</si>
  <si>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</si>
  <si>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</si>
  <si>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</si>
  <si>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</si>
  <si>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</si>
  <si>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</si>
  <si>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</si>
  <si>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</si>
  <si>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</si>
  <si>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</si>
  <si>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</si>
  <si>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</si>
  <si>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</si>
  <si>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</si>
  <si>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</si>
  <si>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</si>
  <si>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</si>
  <si>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</si>
  <si>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</si>
  <si>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</si>
  <si>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</si>
  <si>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</si>
  <si>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</si>
  <si>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</si>
  <si>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</si>
  <si>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</si>
  <si>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</si>
  <si>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</si>
  <si>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</si>
  <si>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</si>
  <si>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</si>
  <si>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</si>
  <si>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</si>
  <si>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</si>
  <si>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</si>
  <si>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</si>
  <si>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</si>
  <si>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</si>
  <si>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</si>
  <si>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</si>
  <si>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</si>
  <si>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</si>
  <si>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</si>
  <si>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</si>
  <si>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</si>
  <si>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</si>
  <si>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</si>
  <si>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</si>
  <si>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</si>
  <si>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</si>
  <si>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</si>
  <si>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</si>
  <si>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</si>
  <si>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</si>
  <si>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</si>
  <si>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</si>
  <si>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</si>
  <si>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</si>
  <si>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</si>
  <si>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</si>
  <si>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</si>
  <si>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</si>
  <si>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</si>
  <si>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</si>
  <si>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</si>
  <si>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</si>
  <si>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</si>
  <si>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</si>
  <si>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</si>
  <si>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</si>
  <si>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</si>
  <si>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</si>
  <si>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</si>
  <si>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</si>
  <si>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</si>
  <si>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</si>
  <si>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</si>
  <si>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</si>
  <si>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</si>
  <si>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</si>
  <si>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</si>
  <si>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</si>
  <si>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</si>
  <si>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</si>
  <si>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</si>
  <si>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</si>
  <si>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</si>
  <si>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</si>
  <si>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</si>
  <si>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</si>
  <si>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</si>
  <si>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</si>
  <si>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</si>
  <si>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</si>
  <si>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</si>
  <si>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</si>
  <si>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</si>
  <si>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</si>
  <si>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</si>
  <si>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</si>
  <si>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</si>
  <si>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</si>
  <si>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</si>
  <si>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</si>
  <si>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</si>
  <si>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</si>
  <si>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</si>
  <si>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</si>
  <si>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</si>
  <si>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</si>
  <si>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</si>
  <si>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</si>
  <si>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</si>
  <si>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</si>
  <si>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</si>
  <si>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</si>
  <si>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</si>
  <si>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</si>
  <si>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</si>
  <si>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</si>
  <si>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</si>
  <si>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</si>
  <si>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</si>
  <si>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</si>
  <si>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</si>
  <si>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</si>
  <si>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</si>
  <si>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</si>
  <si>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</si>
  <si>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</si>
  <si>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</si>
  <si>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</si>
  <si>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</si>
  <si>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</si>
  <si>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</si>
  <si>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</si>
  <si>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</si>
  <si>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</si>
  <si>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</si>
  <si>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</si>
  <si>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</si>
  <si>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</si>
  <si>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</si>
  <si>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</si>
  <si>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</si>
  <si>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</si>
  <si>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</si>
  <si>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</si>
  <si>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</si>
  <si>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</si>
  <si>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</si>
  <si>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</si>
  <si>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</si>
  <si>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</si>
  <si>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</si>
  <si>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</si>
  <si>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</si>
  <si>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</si>
  <si>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</si>
  <si>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</si>
  <si>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</si>
  <si>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</si>
  <si>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</si>
  <si>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</si>
  <si>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</si>
  <si>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</si>
  <si>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</si>
  <si>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</si>
  <si>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</si>
  <si>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</si>
  <si>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</si>
  <si>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</si>
  <si>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</si>
  <si>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</si>
  <si>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</si>
  <si>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</si>
  <si>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</si>
  <si>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</si>
  <si>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</si>
  <si>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</si>
  <si>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</si>
  <si>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</si>
  <si>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</si>
  <si>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</si>
  <si>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</si>
  <si>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</si>
  <si>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</si>
  <si>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</si>
  <si>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</si>
  <si>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</si>
  <si>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</si>
  <si>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</si>
  <si>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</si>
  <si>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</si>
  <si>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</si>
  <si>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</si>
  <si>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</si>
  <si>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</si>
  <si>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</si>
  <si>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</si>
  <si>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</si>
  <si>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</si>
  <si>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</si>
  <si>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</si>
  <si>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</si>
  <si>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</si>
  <si>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</si>
  <si>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</si>
  <si>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</si>
  <si>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</si>
  <si>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</si>
  <si>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</si>
  <si>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</si>
  <si>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</si>
  <si>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</si>
  <si>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</si>
  <si>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</si>
  <si>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</si>
  <si>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</si>
  <si>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</si>
  <si>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</si>
  <si>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</si>
  <si>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</si>
  <si>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</si>
  <si>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</si>
  <si>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</si>
  <si>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</si>
  <si>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</si>
  <si>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</si>
  <si>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</si>
  <si>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</si>
  <si>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</si>
  <si>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</si>
  <si>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</si>
  <si>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</si>
  <si>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</si>
  <si>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</si>
  <si>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</si>
  <si>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</si>
  <si>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</si>
  <si>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</si>
  <si>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</si>
  <si>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</si>
  <si>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</si>
  <si>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</si>
  <si>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</si>
  <si>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</si>
  <si>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</si>
  <si>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</si>
  <si>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</si>
  <si>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</si>
  <si>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</si>
  <si>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</si>
  <si>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</si>
  <si>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</si>
  <si>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</si>
  <si>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</si>
  <si>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</si>
  <si>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</si>
  <si>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</si>
  <si>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</si>
  <si>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</si>
  <si>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</si>
  <si>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</si>
  <si>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</si>
  <si>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</si>
  <si>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</si>
  <si>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</si>
  <si>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</si>
  <si>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</si>
  <si>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</si>
  <si>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</si>
  <si>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</si>
  <si>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</si>
  <si>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</si>
  <si>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</si>
  <si>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</si>
  <si>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</si>
  <si>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</si>
  <si>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</si>
  <si>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</si>
  <si>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</si>
  <si>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</si>
  <si>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</si>
  <si>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</si>
  <si>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</si>
  <si>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</si>
  <si>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</si>
  <si>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</si>
  <si>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</si>
  <si>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</si>
  <si>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</si>
  <si>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</si>
  <si>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</si>
  <si>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</si>
  <si>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</si>
  <si>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</si>
  <si>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</si>
  <si>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</si>
  <si>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</si>
  <si>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</si>
  <si>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</si>
  <si>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</si>
  <si>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</si>
  <si>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</si>
  <si>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</si>
  <si>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</si>
  <si>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</si>
  <si>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</si>
  <si>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</si>
  <si>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</si>
  <si>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</si>
  <si>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</si>
  <si>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</si>
  <si>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</si>
  <si>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</si>
  <si>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</si>
  <si>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</si>
  <si>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</si>
  <si>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</si>
  <si>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</si>
  <si>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</si>
  <si>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</si>
  <si>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</si>
  <si>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</si>
  <si>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</si>
  <si>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</si>
  <si>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</si>
  <si>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</si>
  <si>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</si>
  <si>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</si>
  <si>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</si>
  <si>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</si>
  <si>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</si>
  <si>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</si>
  <si>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</si>
  <si>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</si>
  <si>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</si>
  <si>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</si>
  <si>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</si>
  <si>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</si>
  <si>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</si>
  <si>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</si>
  <si>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</si>
  <si>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</si>
  <si>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</si>
  <si>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</si>
  <si>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</si>
  <si>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</si>
  <si>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</si>
  <si>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</si>
  <si>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</si>
  <si>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</si>
  <si>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</si>
  <si>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</si>
  <si>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</si>
  <si>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</si>
  <si>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</si>
  <si>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</si>
  <si>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</si>
  <si>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</si>
  <si>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</si>
  <si>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</si>
  <si>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</si>
  <si>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</si>
  <si>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</si>
  <si>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</si>
  <si>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</si>
  <si>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</si>
  <si>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</si>
  <si>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</si>
  <si>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</si>
  <si>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</si>
  <si>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</si>
  <si>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</si>
  <si>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</si>
  <si>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</si>
  <si>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</si>
  <si>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</si>
  <si>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</si>
  <si>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</si>
  <si>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</si>
  <si>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</si>
  <si>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</si>
  <si>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</si>
  <si>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</si>
  <si>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</si>
  <si>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</si>
  <si>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</si>
  <si>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</si>
  <si>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</si>
  <si>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</si>
  <si>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</si>
  <si>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</si>
  <si>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</si>
  <si>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</si>
  <si>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</si>
  <si>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</si>
  <si>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</si>
  <si>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</si>
  <si>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</si>
  <si>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</si>
  <si>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</si>
  <si>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</si>
  <si>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</si>
  <si>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</si>
  <si>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</si>
  <si>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</si>
  <si>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</si>
  <si>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</si>
  <si>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</si>
  <si>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</si>
  <si>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</si>
  <si>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</si>
  <si>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</si>
  <si>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</si>
  <si>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</si>
  <si>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</si>
  <si>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</si>
  <si>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</si>
  <si>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</si>
  <si>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</si>
  <si>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</si>
  <si>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</si>
  <si>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</si>
  <si>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</si>
  <si>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</si>
  <si>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</si>
  <si>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</si>
  <si>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</si>
  <si>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</si>
  <si>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</si>
  <si>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</si>
  <si>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</si>
  <si>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</si>
  <si>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</si>
  <si>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</si>
  <si>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</si>
  <si>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</si>
  <si>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</si>
  <si>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</si>
  <si>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</si>
  <si>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</si>
  <si>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</si>
  <si>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</si>
  <si>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</si>
  <si>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</si>
  <si>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</si>
  <si>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</si>
  <si>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</si>
  <si>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</si>
  <si>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</si>
  <si>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</si>
  <si>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</si>
  <si>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</si>
  <si>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</si>
  <si>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</si>
  <si>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</si>
  <si>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</si>
  <si>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</si>
  <si>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</si>
  <si>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</si>
  <si>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</si>
  <si>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</si>
  <si>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</si>
  <si>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</si>
  <si>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</si>
  <si>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</si>
  <si>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</si>
  <si>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</si>
  <si>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</si>
  <si>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</si>
  <si>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</si>
  <si>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</si>
  <si>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</si>
  <si>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</si>
  <si>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</si>
  <si>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</si>
  <si>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</si>
  <si>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</si>
  <si>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</si>
  <si>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</si>
  <si>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</si>
  <si>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</si>
  <si>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</si>
  <si>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</si>
  <si>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</si>
  <si>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</si>
  <si>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</si>
  <si>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</si>
  <si>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</si>
  <si>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</si>
  <si>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</si>
  <si>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</si>
  <si>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</si>
  <si>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</si>
  <si>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</si>
  <si>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</si>
  <si>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</si>
  <si>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</si>
  <si>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</si>
  <si>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</si>
  <si>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</si>
  <si>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</si>
  <si>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</si>
  <si>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</si>
  <si>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</si>
  <si>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</si>
  <si>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</si>
  <si>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</si>
  <si>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</si>
  <si>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</si>
  <si>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</si>
  <si>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</si>
  <si>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</si>
  <si>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</si>
  <si>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</si>
  <si>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</si>
  <si>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</si>
  <si>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</si>
  <si>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</si>
  <si>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</si>
  <si>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</si>
  <si>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</si>
  <si>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</si>
  <si>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</si>
  <si>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</si>
  <si>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</si>
  <si>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</si>
  <si>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</si>
  <si>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</si>
  <si>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</si>
  <si>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</si>
  <si>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</si>
  <si>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</si>
  <si>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</si>
  <si>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</si>
  <si>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</si>
  <si>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</si>
  <si>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</si>
  <si>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</si>
  <si>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</si>
  <si>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</si>
  <si>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</si>
  <si>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</si>
  <si>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</si>
  <si>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</si>
  <si>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</si>
  <si>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</si>
  <si>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</si>
  <si>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</si>
  <si>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</si>
  <si>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</si>
  <si>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</si>
  <si>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</si>
  <si>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</si>
  <si>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</si>
  <si>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</si>
  <si>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</si>
  <si>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</si>
  <si>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</si>
  <si>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</si>
  <si>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</si>
  <si>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</si>
  <si>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</si>
  <si>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</si>
  <si>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</si>
  <si>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</si>
  <si>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</si>
  <si>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</si>
  <si>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</si>
  <si>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</si>
  <si>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</si>
  <si>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</si>
  <si>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</si>
  <si>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</si>
  <si>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</si>
  <si>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</si>
  <si>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</si>
  <si>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</si>
  <si>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</si>
  <si>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</si>
  <si>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</si>
  <si>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</si>
  <si>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</si>
  <si>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</si>
  <si>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</si>
  <si>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</si>
  <si>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</si>
  <si>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</si>
  <si>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</si>
  <si>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</si>
  <si>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</si>
  <si>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</si>
  <si>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</si>
  <si>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</si>
  <si>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</si>
  <si>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</si>
  <si>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</si>
  <si>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</si>
  <si>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</si>
  <si>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</si>
  <si>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</si>
  <si>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</si>
  <si>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</si>
  <si>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</si>
  <si>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</si>
  <si>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</si>
  <si>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</si>
  <si>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</si>
  <si>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</si>
  <si>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</si>
  <si>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</si>
  <si>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</si>
  <si>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</si>
  <si>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</si>
  <si>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</si>
  <si>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</si>
  <si>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</si>
  <si>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</si>
  <si>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</si>
  <si>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</si>
  <si>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</si>
  <si>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</si>
  <si>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</si>
  <si>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</si>
  <si>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</si>
  <si>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</si>
  <si>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</si>
  <si>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</si>
  <si>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</si>
  <si>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</si>
  <si>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</si>
  <si>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</si>
  <si>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</si>
  <si>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</si>
  <si>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</si>
  <si>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</si>
  <si>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</si>
  <si>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</si>
  <si>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</si>
  <si>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</si>
  <si>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</si>
  <si>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</si>
  <si>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</si>
  <si>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</si>
  <si>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</si>
  <si>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</si>
  <si>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</si>
  <si>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</si>
  <si>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</si>
  <si>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</si>
  <si>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</si>
  <si>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</si>
  <si>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</si>
  <si>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</si>
  <si>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</si>
  <si>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</si>
  <si>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</si>
  <si>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</si>
  <si>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</si>
  <si>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</si>
  <si>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</si>
  <si>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</si>
  <si>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</si>
  <si>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</si>
  <si>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</si>
  <si>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</si>
  <si>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</si>
  <si>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</si>
  <si>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</si>
  <si>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</si>
  <si>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</si>
  <si>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</si>
  <si>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</si>
  <si>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</si>
  <si>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</si>
  <si>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</si>
  <si>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</si>
  <si>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</si>
  <si>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</si>
  <si>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</si>
  <si>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</si>
  <si>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</si>
  <si>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</si>
  <si>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</si>
  <si>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</si>
  <si>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</si>
  <si>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</si>
  <si>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</si>
  <si>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</si>
  <si>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</si>
  <si>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</si>
  <si>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</si>
  <si>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</si>
  <si>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</si>
  <si>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</si>
  <si>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</si>
  <si>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</si>
  <si>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</si>
  <si>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</si>
  <si>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</si>
  <si>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</si>
  <si>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</si>
  <si>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</si>
  <si>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</si>
  <si>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</si>
  <si>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</si>
  <si>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</si>
  <si>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</si>
  <si>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</si>
  <si>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</si>
  <si>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</si>
  <si>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</si>
  <si>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</si>
  <si>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</si>
  <si>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</si>
  <si>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</si>
  <si>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</si>
  <si>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</si>
  <si>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</si>
  <si>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</si>
  <si>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</si>
  <si>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</si>
  <si>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</si>
  <si>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</si>
  <si>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</si>
  <si>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</si>
  <si>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</si>
  <si>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</si>
  <si>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</si>
  <si>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</si>
  <si>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</si>
  <si>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</si>
  <si>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</si>
  <si>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</si>
  <si>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</si>
  <si>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</si>
  <si>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</si>
  <si>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</si>
  <si>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</si>
  <si>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</si>
  <si>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</si>
  <si>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</si>
  <si>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</si>
  <si>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</si>
  <si>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</si>
  <si>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</si>
  <si>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</si>
  <si>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</si>
  <si>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</si>
  <si>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</si>
  <si>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</si>
  <si>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</si>
  <si>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</si>
  <si>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</si>
  <si>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</si>
  <si>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</si>
  <si>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</si>
  <si>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</si>
  <si>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</si>
  <si>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</si>
  <si>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</si>
  <si>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</si>
  <si>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</si>
  <si>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</si>
  <si>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</si>
  <si>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</si>
  <si>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</si>
  <si>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</si>
  <si>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</si>
  <si>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</si>
  <si>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</si>
  <si>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</si>
  <si>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</si>
  <si>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</si>
  <si>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</si>
  <si>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</si>
  <si>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</si>
  <si>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</si>
  <si>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</si>
  <si>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</si>
  <si>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</si>
  <si>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</si>
  <si>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</si>
  <si>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</si>
  <si>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</si>
  <si>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</si>
  <si>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</si>
  <si>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</si>
  <si>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</si>
  <si>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</si>
  <si>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</si>
  <si>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</si>
  <si>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</si>
  <si>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</si>
  <si>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</si>
  <si>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</si>
  <si>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</si>
  <si>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</si>
  <si>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</si>
  <si>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</si>
  <si>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</si>
  <si>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</si>
  <si>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</si>
  <si>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</si>
  <si>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</si>
  <si>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</si>
  <si>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</si>
  <si>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</si>
  <si>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</si>
  <si>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</si>
  <si>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</si>
  <si>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</si>
  <si>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</si>
  <si>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</si>
  <si>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</si>
  <si>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</si>
  <si>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</si>
  <si>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</si>
  <si>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</si>
  <si>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</si>
  <si>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</si>
  <si>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</si>
  <si>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</si>
  <si>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</si>
  <si>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</si>
  <si>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</si>
  <si>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</si>
  <si>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</si>
  <si>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</si>
  <si>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</si>
  <si>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</si>
  <si>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</si>
  <si>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</si>
  <si>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</si>
  <si>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</si>
  <si>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</si>
  <si>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</si>
  <si>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</si>
  <si>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</si>
  <si>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</si>
  <si>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</si>
  <si>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</si>
  <si>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</si>
  <si>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</si>
  <si>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</si>
  <si>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</si>
  <si>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</si>
  <si>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</si>
  <si>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</si>
  <si>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</si>
  <si>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</si>
  <si>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</si>
  <si>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</si>
  <si>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</si>
  <si>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</si>
  <si>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</si>
  <si>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</si>
  <si>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</si>
  <si>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</si>
  <si>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</si>
  <si>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</si>
  <si>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</si>
  <si>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</si>
  <si>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</si>
  <si>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</si>
  <si>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</si>
  <si>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</si>
  <si>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</si>
  <si>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</si>
  <si>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</si>
  <si>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</si>
  <si>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</si>
  <si>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</si>
  <si>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</si>
  <si>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</si>
  <si>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</si>
  <si>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</si>
  <si>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</si>
  <si>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</si>
  <si>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</si>
  <si>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</si>
  <si>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</si>
  <si>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</si>
  <si>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</si>
  <si>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</si>
  <si>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</si>
  <si>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</si>
  <si>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</si>
  <si>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</si>
  <si>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</si>
  <si>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</si>
  <si>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</si>
  <si>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</si>
  <si>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</si>
  <si>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</si>
  <si>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</si>
  <si>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</si>
  <si>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</si>
  <si>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</si>
  <si>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</si>
  <si>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</si>
  <si>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</si>
  <si>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</si>
  <si>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</si>
  <si>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</si>
  <si>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</si>
  <si>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</si>
  <si>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</si>
  <si>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</si>
  <si>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</si>
  <si>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</si>
  <si>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</si>
  <si>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</si>
  <si>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</si>
  <si>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</si>
  <si>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</si>
  <si>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</si>
  <si>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</si>
  <si>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</si>
  <si>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</si>
  <si>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</si>
  <si>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</si>
  <si>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</si>
  <si>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</si>
  <si>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</si>
  <si>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</si>
  <si>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</si>
  <si>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</si>
  <si>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</si>
  <si>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</si>
  <si>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</si>
  <si>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</si>
  <si>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</si>
  <si>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</si>
  <si>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</si>
  <si>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</si>
  <si>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</si>
  <si>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</si>
  <si>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</si>
  <si>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</si>
  <si>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</si>
  <si>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</si>
  <si>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</si>
  <si>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</si>
  <si>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</si>
  <si>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</si>
  <si>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</si>
  <si>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</si>
  <si>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</si>
  <si>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</si>
  <si>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</si>
  <si>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</si>
  <si>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</si>
  <si>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</si>
  <si>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</si>
  <si>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</si>
  <si>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</si>
  <si>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</si>
  <si>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</si>
  <si>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</si>
  <si>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</si>
  <si>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</si>
  <si>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</si>
  <si>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</si>
  <si>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</si>
  <si>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</si>
  <si>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</si>
  <si>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</si>
  <si>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</si>
  <si>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</si>
  <si>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</si>
  <si>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</si>
  <si>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</si>
  <si>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</si>
  <si>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</si>
  <si>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</si>
  <si>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</si>
  <si>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</si>
  <si>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</si>
  <si>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</si>
  <si>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</si>
  <si>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</si>
  <si>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</si>
  <si>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</si>
  <si>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</si>
  <si>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</si>
  <si>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</si>
  <si>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</si>
  <si>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</si>
  <si>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</si>
  <si>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</si>
  <si>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</si>
  <si>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</si>
  <si>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</si>
  <si>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</si>
  <si>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</si>
  <si>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</si>
  <si>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</si>
  <si>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</si>
  <si>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</si>
  <si>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</si>
  <si>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</si>
  <si>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</si>
  <si>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</si>
  <si>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</si>
  <si>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</si>
  <si>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</si>
  <si>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</si>
  <si>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</si>
  <si>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</si>
  <si>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</si>
  <si>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</si>
  <si>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</si>
  <si>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</si>
  <si>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</si>
  <si>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</si>
  <si>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</si>
  <si>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</si>
  <si>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</si>
  <si>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</si>
  <si>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</si>
  <si>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</si>
  <si>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</si>
  <si>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</si>
  <si>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</si>
  <si>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</si>
  <si>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</si>
  <si>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</si>
  <si>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</si>
  <si>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</si>
  <si>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</si>
  <si>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</si>
  <si>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</si>
  <si>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</si>
  <si>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</si>
  <si>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</si>
  <si>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</si>
  <si>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</si>
  <si>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</si>
  <si>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</si>
  <si>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</si>
  <si>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</si>
  <si>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</si>
  <si>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</si>
  <si>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</si>
  <si>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</si>
  <si>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</si>
  <si>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</si>
  <si>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</si>
  <si>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</si>
  <si>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</si>
  <si>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</si>
  <si>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</si>
  <si>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</si>
  <si>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</si>
  <si>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</si>
  <si>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</si>
  <si>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</si>
  <si>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</si>
  <si>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</si>
  <si>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</si>
  <si>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</si>
  <si>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</si>
  <si>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</si>
  <si>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</si>
  <si>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</si>
  <si>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</si>
  <si>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</si>
  <si>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</si>
  <si>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</si>
  <si>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</si>
  <si>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</si>
  <si>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</si>
  <si>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</si>
  <si>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</si>
  <si>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</si>
  <si>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</si>
  <si>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</si>
  <si>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</si>
  <si>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</si>
  <si>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</si>
  <si>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</si>
  <si>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</si>
  <si>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</si>
  <si>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</si>
  <si>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</si>
  <si>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</si>
  <si>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</si>
  <si>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</si>
  <si>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</si>
  <si>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</si>
  <si>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</si>
  <si>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</si>
  <si>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</si>
  <si>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</si>
  <si>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</si>
  <si>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</si>
  <si>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</si>
  <si>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</si>
  <si>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</si>
  <si>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</si>
  <si>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</si>
  <si>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</si>
  <si>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</si>
  <si>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</si>
  <si>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</si>
  <si>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</si>
  <si>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</si>
  <si>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</si>
  <si>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</si>
  <si>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</si>
  <si>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</si>
  <si>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</si>
  <si>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</si>
  <si>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</si>
  <si>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</si>
  <si>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</si>
  <si>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</si>
  <si>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</si>
  <si>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</si>
  <si>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</si>
  <si>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</si>
  <si>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</si>
  <si>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</si>
  <si>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</si>
  <si>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</si>
  <si>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</si>
  <si>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</si>
  <si>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</si>
  <si>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</si>
  <si>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</si>
  <si>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</si>
  <si>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</si>
  <si>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</si>
  <si>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</si>
  <si>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</si>
  <si>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</si>
  <si>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</si>
  <si>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</si>
  <si>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</si>
  <si>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</si>
  <si>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</si>
  <si>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</si>
  <si>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</si>
  <si>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</si>
  <si>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</si>
  <si>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</si>
  <si>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</si>
  <si>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</si>
  <si>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</si>
  <si>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</si>
  <si>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</si>
  <si>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</si>
  <si>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</si>
  <si>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</si>
  <si>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</si>
  <si>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</si>
  <si>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</si>
  <si>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</si>
  <si>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</si>
  <si>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</si>
  <si>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</si>
  <si>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</si>
  <si>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</si>
  <si>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</si>
  <si>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</si>
  <si>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</si>
  <si>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</si>
  <si>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</si>
  <si>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</si>
  <si>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</si>
  <si>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</si>
  <si>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</si>
  <si>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</si>
  <si>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</si>
  <si>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</si>
  <si>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</si>
  <si>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</si>
  <si>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</si>
  <si>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</si>
  <si>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</si>
  <si>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</si>
  <si>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</si>
  <si>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</si>
  <si>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</si>
  <si>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</si>
  <si>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</si>
  <si>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</si>
  <si>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</si>
  <si>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</si>
  <si>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</si>
  <si>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</si>
  <si>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</si>
  <si>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</si>
  <si>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</si>
  <si>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</si>
  <si>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</si>
  <si>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</si>
  <si>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</si>
  <si>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</si>
  <si>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</si>
  <si>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</si>
  <si>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</si>
  <si>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</si>
  <si>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</si>
  <si>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</si>
  <si>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</si>
  <si>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</si>
  <si>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</si>
  <si>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</si>
  <si>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</si>
  <si>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</si>
  <si>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</si>
  <si>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</si>
  <si>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</si>
  <si>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</si>
  <si>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</si>
  <si>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</si>
  <si>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</si>
  <si>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</si>
  <si>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</si>
  <si>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</si>
  <si>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</si>
  <si>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</si>
  <si>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</si>
  <si>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</si>
  <si>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</si>
  <si>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</si>
  <si>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</si>
  <si>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</si>
  <si>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</si>
  <si>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</si>
  <si>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</si>
  <si>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</si>
  <si>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</si>
  <si>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</si>
  <si>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</si>
  <si>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</si>
  <si>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</si>
  <si>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</si>
  <si>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</si>
  <si>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</si>
  <si>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</si>
  <si>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</si>
  <si>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</si>
  <si>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</si>
  <si>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</si>
  <si>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</si>
  <si>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</si>
  <si>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</si>
  <si>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</si>
  <si>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</si>
  <si>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</si>
  <si>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</si>
  <si>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</si>
  <si>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</si>
  <si>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</si>
  <si>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</si>
  <si>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</si>
  <si>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</si>
  <si>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</si>
  <si>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</si>
  <si>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</si>
  <si>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</si>
  <si>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</si>
  <si>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</si>
  <si>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</si>
  <si>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</si>
  <si>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</si>
  <si>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</si>
  <si>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</si>
  <si>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</si>
  <si>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</si>
  <si>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</si>
  <si>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</si>
  <si>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</si>
  <si>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</si>
  <si>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</si>
  <si>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</si>
  <si>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</si>
  <si>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</si>
  <si>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</si>
  <si>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</si>
  <si>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</si>
  <si>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</si>
  <si>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</si>
  <si>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</si>
  <si>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</si>
  <si>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</si>
  <si>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</si>
  <si>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</si>
  <si>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</si>
  <si>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</si>
  <si>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</si>
  <si>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</si>
  <si>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</si>
  <si>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</si>
  <si>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</si>
  <si>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</si>
  <si>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</si>
  <si>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</si>
  <si>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</si>
  <si>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</si>
  <si>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</si>
  <si>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</si>
  <si>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</si>
  <si>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</si>
  <si>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</si>
  <si>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</si>
  <si>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</si>
  <si>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</si>
  <si>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</si>
  <si>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</si>
  <si>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</si>
  <si>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</si>
  <si>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</si>
  <si>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</si>
  <si>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</si>
  <si>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</si>
  <si>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</si>
  <si>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</si>
  <si>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</si>
  <si>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</si>
  <si>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</si>
  <si>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</si>
  <si>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</si>
  <si>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</si>
  <si>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</si>
  <si>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</si>
  <si>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</si>
  <si>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</si>
  <si>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</si>
  <si>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</si>
  <si>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</si>
  <si>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</si>
  <si>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</si>
  <si>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</si>
  <si>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</si>
  <si>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</si>
  <si>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</si>
  <si>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</si>
  <si>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</si>
  <si>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</si>
  <si>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</si>
  <si>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</si>
  <si>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</si>
  <si>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</si>
  <si>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</si>
  <si>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</si>
  <si>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</si>
  <si>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</si>
  <si>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</si>
  <si>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</si>
  <si>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</si>
  <si>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</si>
  <si>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</si>
  <si>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</si>
  <si>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</si>
  <si>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</si>
  <si>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</si>
  <si>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</si>
  <si>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</si>
  <si>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</si>
  <si>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</si>
  <si>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</si>
  <si>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</si>
  <si>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</si>
  <si>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</si>
  <si>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</si>
  <si>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</si>
  <si>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</si>
  <si>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</si>
  <si>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</si>
  <si>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</si>
  <si>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</si>
  <si>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</si>
  <si>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</si>
  <si>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</si>
  <si>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</si>
  <si>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</si>
  <si>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</si>
  <si>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</si>
  <si>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</si>
  <si>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</si>
  <si>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</si>
  <si>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</si>
  <si>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</si>
  <si>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</si>
  <si>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</si>
  <si>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</si>
  <si>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</si>
  <si>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</si>
  <si>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</si>
  <si>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</si>
  <si>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</si>
  <si>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</si>
  <si>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</si>
  <si>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</si>
  <si>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</si>
  <si>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</si>
  <si>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</si>
  <si>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</si>
  <si>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</si>
  <si>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</si>
  <si>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</si>
  <si>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</si>
  <si>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</si>
  <si>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</si>
  <si>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</si>
  <si>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</si>
  <si>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</si>
  <si>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</si>
  <si>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</si>
  <si>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</si>
  <si>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</si>
  <si>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</si>
  <si>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</si>
  <si>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</si>
  <si>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</si>
  <si>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</si>
  <si>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</si>
  <si>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</si>
  <si>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</si>
  <si>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</si>
  <si>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</si>
  <si>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</si>
  <si>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</si>
  <si>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</si>
  <si>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</si>
  <si>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</si>
  <si>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</si>
  <si>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</si>
  <si>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</si>
  <si>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</si>
  <si>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</si>
  <si>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</si>
  <si>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</si>
  <si>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</si>
  <si>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</si>
  <si>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</si>
  <si>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</si>
  <si>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</si>
  <si>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</si>
  <si>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</si>
  <si>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</si>
  <si>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</si>
  <si>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</si>
  <si>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</si>
  <si>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</si>
  <si>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</si>
  <si>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</si>
  <si>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</si>
  <si>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</si>
  <si>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</si>
  <si>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</si>
  <si>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</si>
  <si>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</si>
  <si>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</si>
  <si>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</si>
  <si>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</si>
  <si>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</si>
  <si>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</si>
  <si>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</si>
  <si>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</si>
  <si>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</si>
  <si>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</si>
  <si>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</si>
  <si>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</si>
  <si>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</si>
  <si>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</si>
  <si>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</si>
  <si>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</si>
  <si>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</si>
  <si>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</si>
  <si>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</si>
  <si>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</si>
  <si>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</si>
  <si>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</si>
  <si>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</si>
  <si>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</si>
  <si>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</si>
  <si>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</si>
  <si>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</si>
  <si>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</si>
  <si>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</si>
  <si>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</si>
  <si>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</si>
  <si>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</si>
  <si>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</si>
  <si>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</si>
  <si>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</si>
  <si>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</si>
  <si>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</si>
  <si>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</si>
  <si>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</si>
  <si>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</si>
  <si>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</si>
  <si>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</si>
  <si>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</si>
  <si>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</si>
  <si>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</si>
  <si>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</si>
  <si>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</si>
  <si>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</si>
  <si>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</si>
  <si>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</si>
  <si>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</si>
  <si>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</si>
  <si>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</si>
  <si>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</si>
  <si>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</si>
  <si>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</si>
  <si>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</si>
  <si>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</si>
  <si>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</si>
  <si>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</si>
  <si>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</si>
  <si>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</si>
  <si>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</si>
  <si>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</si>
  <si>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</si>
  <si>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</si>
  <si>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</si>
  <si>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</si>
  <si>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</si>
  <si>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</si>
  <si>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</si>
  <si>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</si>
  <si>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</si>
  <si>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</si>
  <si>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</si>
  <si>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</si>
  <si>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</si>
  <si>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</si>
  <si>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</si>
  <si>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</si>
  <si>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</si>
  <si>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</si>
  <si>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</si>
  <si>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</si>
  <si>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</si>
  <si>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</si>
  <si>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</si>
  <si>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</si>
  <si>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</si>
  <si>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</si>
  <si>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</si>
  <si>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</si>
  <si>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</si>
  <si>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</si>
  <si>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</si>
  <si>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</si>
  <si>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</si>
  <si>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</si>
  <si>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</si>
  <si>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</si>
  <si>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</si>
  <si>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</si>
  <si>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</si>
  <si>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</si>
  <si>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</si>
  <si>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</si>
  <si>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</si>
  <si>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</si>
  <si>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</si>
  <si>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</si>
  <si>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</si>
  <si>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</si>
  <si>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</si>
  <si>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</si>
  <si>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</si>
  <si>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</si>
  <si>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</si>
  <si>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</si>
  <si>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</si>
  <si>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</si>
  <si>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</si>
  <si>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</si>
  <si>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</si>
  <si>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</si>
  <si>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</si>
  <si>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</si>
  <si>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</si>
  <si>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</si>
  <si>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</si>
  <si>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</si>
  <si>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</si>
  <si>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</si>
  <si>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</si>
  <si>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</si>
  <si>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</si>
  <si>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</si>
  <si>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</si>
  <si>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</si>
  <si>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</si>
  <si>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</si>
  <si>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</si>
  <si>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</si>
  <si>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</si>
  <si>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</si>
  <si>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</si>
  <si>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</si>
  <si>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</si>
  <si>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</si>
  <si>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</si>
  <si>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</si>
  <si>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</si>
  <si>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</si>
  <si>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</si>
  <si>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</si>
  <si>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</si>
  <si>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</si>
  <si>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</si>
  <si>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</si>
  <si>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</si>
  <si>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</si>
  <si>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</si>
  <si>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</si>
  <si>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</si>
  <si>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</si>
  <si>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</si>
  <si>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</si>
  <si>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</si>
  <si>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</si>
  <si>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</si>
  <si>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</si>
  <si>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</si>
  <si>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</si>
  <si>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</si>
  <si>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</si>
  <si>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</si>
  <si>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</si>
  <si>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</si>
  <si>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</si>
  <si>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</si>
  <si>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</si>
  <si>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</si>
  <si>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</si>
  <si>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</si>
  <si>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</si>
  <si>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</si>
  <si>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</si>
  <si>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</si>
  <si>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</si>
  <si>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</si>
  <si>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</si>
  <si>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</si>
  <si>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</si>
  <si>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</si>
  <si>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</si>
  <si>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</si>
  <si>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</si>
  <si>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</si>
  <si>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</si>
  <si>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</si>
  <si>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</si>
  <si>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</si>
  <si>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</si>
  <si>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</si>
  <si>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</si>
  <si>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</si>
  <si>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</si>
  <si>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</si>
  <si>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</si>
  <si>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</si>
  <si>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</si>
  <si>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</si>
  <si>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</si>
  <si>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</si>
  <si>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</si>
  <si>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</si>
  <si>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</si>
  <si>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</si>
  <si>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</si>
  <si>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</si>
  <si>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</si>
  <si>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</si>
  <si>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</si>
  <si>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</si>
  <si>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</si>
  <si>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</si>
  <si>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</si>
  <si>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</si>
  <si>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</si>
  <si>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</si>
  <si>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</si>
  <si>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</si>
  <si>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</si>
  <si>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</si>
  <si>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</si>
  <si>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</si>
  <si>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</si>
  <si>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</si>
  <si>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</si>
  <si>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</si>
  <si>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</si>
  <si>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</si>
  <si>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</si>
  <si>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</si>
  <si>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</si>
  <si>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</si>
  <si>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</si>
  <si>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</si>
  <si>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</si>
  <si>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</si>
  <si>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</si>
  <si>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</si>
  <si>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</si>
  <si>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28-088-0010-26</t>
  </si>
  <si>
    <t>Stark</t>
  </si>
  <si>
    <t>345 Silver Street</t>
  </si>
  <si>
    <t>Bradford</t>
  </si>
  <si>
    <t>c.gripp@bcusd1.net</t>
  </si>
  <si>
    <t>Russel J. Rumbold II, CPA</t>
  </si>
  <si>
    <t>rrumbold@gorenzcpa.com</t>
  </si>
  <si>
    <t>Chad Gripp</t>
  </si>
  <si>
    <t>309-897-4611</t>
  </si>
  <si>
    <t>309-897-8361</t>
  </si>
  <si>
    <t>General Obligation School Bonds, Series 2016</t>
  </si>
  <si>
    <t>Illinois Energy Consortium</t>
  </si>
  <si>
    <t>Peoria County Coop</t>
  </si>
  <si>
    <t>ISDA &amp; WCSIT</t>
  </si>
  <si>
    <t>Regional Office of Education</t>
  </si>
  <si>
    <t>Henry Stark Special Ed District</t>
  </si>
  <si>
    <t>Regional Office of Education (Paper)</t>
  </si>
  <si>
    <t>2018-001</t>
  </si>
  <si>
    <t>Unresolved - See Finding 2019-001</t>
  </si>
  <si>
    <t>2018-002</t>
  </si>
  <si>
    <t>Unresolved - See Finding 2019-002</t>
  </si>
  <si>
    <t>2018-003</t>
  </si>
  <si>
    <t>Bank acounts not reconciled on a timely basis</t>
  </si>
  <si>
    <t>Unresolved - See Finding 2019-003</t>
  </si>
  <si>
    <t>2018-004</t>
  </si>
  <si>
    <t xml:space="preserve">Required reports and remittances of taxes and </t>
  </si>
  <si>
    <t>pension contributions were not filed timely</t>
  </si>
  <si>
    <t>80-2300-300</t>
  </si>
  <si>
    <t>Most district accounting and financial records are maintained by a limited number of individuals.</t>
  </si>
  <si>
    <t>A limited number of individuals have the ability to complete and record entire transactions which ideally would be segregated.</t>
  </si>
  <si>
    <t>The Board of Education has determined that a limited number of individuals is sufficient to perform the required duties.</t>
  </si>
  <si>
    <t>The Board should take steps it considers necessary to limit the risks that a lack of segregation of duties presents; such as but not limited to hiring additional staff.</t>
  </si>
  <si>
    <t>The Board of Education currently believes the cost of additional staff outweighs any benefits that may be realized.</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</si>
  <si>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</si>
  <si>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</si>
  <si>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</si>
  <si>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</si>
  <si>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</si>
  <si>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</si>
  <si>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</si>
  <si>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</si>
  <si>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</si>
  <si>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A limited number of individuals have the primary responsibility for performing most of the accounting and financial duties, which significantly reduces certain aspects of the internal control structure which rely on adequate segregation of duties.</t>
  </si>
  <si>
    <t>Chad Gripp, Superintendent</t>
  </si>
  <si>
    <r>
      <t>1.  FINDING NUMBER:</t>
    </r>
    <r>
      <rPr>
        <b/>
        <vertAlign val="superscript"/>
        <sz val="8"/>
        <rFont val="Arial"/>
        <family val="2"/>
      </rPr>
      <t>11</t>
    </r>
  </si>
  <si>
    <t>x</t>
  </si>
  <si>
    <t>5. Context12</t>
  </si>
  <si>
    <t>The District should review the additional costs it would incur to prepare the financial statements internally with the corresponding reduction of risk associated with material misstatement of the District's financial statements.</t>
  </si>
  <si>
    <r>
      <t>9.  Management's response</t>
    </r>
    <r>
      <rPr>
        <b/>
        <vertAlign val="superscript"/>
        <sz val="8"/>
        <rFont val="Arial"/>
        <family val="2"/>
      </rPr>
      <t>13</t>
    </r>
  </si>
  <si>
    <t>For ISBE Review</t>
  </si>
  <si>
    <t xml:space="preserve">Date:   </t>
  </si>
  <si>
    <t>Resolution Criteria Code Number</t>
  </si>
  <si>
    <t xml:space="preserve">Initials: </t>
  </si>
  <si>
    <t>Disposition of Questioned Costs Code Letter</t>
  </si>
  <si>
    <r>
      <t>11</t>
    </r>
    <r>
      <rPr>
        <sz val="8"/>
        <rFont val="Arial"/>
        <family val="2"/>
      </rPr>
      <t xml:space="preserve"> A suggested format for assigning reference numbers is to use the digits of the fiscal year being audited followed by a numeric</t>
    </r>
  </si>
  <si>
    <r>
      <t>12</t>
    </r>
    <r>
      <rPr>
        <sz val="8"/>
        <rFont val="Arial"/>
        <family val="2"/>
      </rPr>
      <t xml:space="preserve">  Provide sufficient information for judging the prevalence and consequences of the finding, such as relation to universe of costs and/or</t>
    </r>
  </si>
  <si>
    <r>
      <t>13</t>
    </r>
    <r>
      <rPr>
        <sz val="8"/>
        <rFont val="Arial"/>
        <family val="2"/>
      </rPr>
      <t xml:space="preserve">  See Title 2 CFR §200.521 </t>
    </r>
    <r>
      <rPr>
        <i/>
        <sz val="8"/>
        <rFont val="Arial"/>
        <family val="2"/>
      </rPr>
      <t>Management decision</t>
    </r>
    <r>
      <rPr>
        <sz val="8"/>
        <rFont val="Arial"/>
        <family val="2"/>
      </rPr>
      <t xml:space="preserve"> for additional guidance on reporting management's response.</t>
    </r>
  </si>
  <si>
    <t>CORRECTIVE ACTION PLAN FOR CURRENT YEAR AUDIT FINDINGS</t>
  </si>
  <si>
    <t>The District does not have an internal control policy in place over annual financial reporting that would enable management to prepare its annual financial statements and ensure related footnote disclosures are complete and presented in accordance with the regulatory cash basis of accounting.</t>
  </si>
  <si>
    <t>June 30, 2020</t>
  </si>
  <si>
    <t>The District's cash balances should be reconciled to the bank statements on a monthly basis.  Any discrepancies should be identified and any resulting entry to the accounting records should be entered on a timely basis.</t>
  </si>
  <si>
    <t>The District's bank account was not reconciled to the accounting records on a timely basis.</t>
  </si>
  <si>
    <t>District accounting staff performed monthly bank reconciliations but were unable to timely identify the differences between the accounting records and the bank statements.</t>
  </si>
  <si>
    <t>The District's bank account balances recorded in the accounting records were not reconciled to the monthly bank statements on a timely basis.</t>
  </si>
  <si>
    <t>The District accounting staff were not able to timely identify variances between the bank statement and the accounting records of the District.</t>
  </si>
  <si>
    <t>The District accounting staff performed bank reconciliations but could not identify variances between the banking records and accounting records in a timely manner.  The District will implement the auditor's recommendation.</t>
  </si>
  <si>
    <t>In accordance with Internal Revenue Service and Illinois Department of Revenue regulations and the Illinois Unemployment Insurance Act, all employers who pay wages must file payroll tax returns (941, IL-941, Form UI-3/40, etc.) on a quarterly basis and remit the corresponding tax payments on a timely basis. The Illinois Municipal Retirement Fund (IMRF) also requires timely monthly filings and remittances of required retirement contributions.</t>
  </si>
  <si>
    <r>
      <t>5. Context</t>
    </r>
    <r>
      <rPr>
        <b/>
        <vertAlign val="superscript"/>
        <sz val="8"/>
        <rFont val="Arial"/>
        <family val="2"/>
      </rPr>
      <t>12</t>
    </r>
  </si>
  <si>
    <t>Required reports and remittances of taxes and pension contributions were not consistently filed timely.</t>
  </si>
  <si>
    <t>Errors in payroll may not be identified in a timely manner, potentially misstating the financial statements. The District is also exposed to late filing and late payment penalties and interest.</t>
  </si>
  <si>
    <t>The District did not timely prepare, pay or file several payroll tax returns and pension reports.</t>
  </si>
  <si>
    <r>
      <t>13</t>
    </r>
    <r>
      <rPr>
        <sz val="8"/>
        <rFont val="Arial"/>
        <family val="2"/>
      </rPr>
      <t xml:space="preserve">  See §200.521 </t>
    </r>
    <r>
      <rPr>
        <i/>
        <sz val="8"/>
        <rFont val="Arial"/>
        <family val="2"/>
      </rPr>
      <t>Management decision</t>
    </r>
    <r>
      <rPr>
        <sz val="8"/>
        <rFont val="Arial"/>
        <family val="2"/>
      </rPr>
      <t xml:space="preserve"> for additional guidance on reporting management's response.</t>
    </r>
  </si>
  <si>
    <t>The District will implement the auditor's recommendation.</t>
  </si>
  <si>
    <t>Unresolved - See Finding 2019-004</t>
  </si>
  <si>
    <t xml:space="preserve">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 </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</si>
  <si>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</si>
  <si>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The District has not retained an individual to specifically monitor standards promulgated by the American Institute of Certified Public Accountants as they relate to full disclosure financial reporting. Preparation of full disclosure year-end financial statements is not an assigned function for the District accounting staff.</t>
  </si>
  <si>
    <t>Lack of sufficient expertise for full disclosure year-end financial statement preparation could result in controls not being effective in preventing or detecting material misstatements, particularly in the related footnotes to the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</si>
  <si>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</si>
  <si>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 xml:space="preserve">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(whether error or fraud) and safeguard assets. </t>
  </si>
  <si>
    <t>A limited number of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</si>
  <si>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In accordance with prescribed definitions in AU-C 265, it is a strong indication of a significant deficiency in internal control if an entity lacks sufficient controls over a significant account or process. The District has not reconciled the accounting records to supporting documents on a timely basis.</t>
  </si>
  <si>
    <t>The cash balances in the accounting records were also not reconciled to the monthly bank statements on a timely basis.  This can result in the misstatement of the District's accounting records and monthly financial statements.</t>
  </si>
  <si>
    <t>Page 10, Line 74 - Milk Sales</t>
  </si>
  <si>
    <t>Page 10, Line 81 - PE Uniforms and yearbooks</t>
  </si>
  <si>
    <t>Page 11, Line 107 - Misc refunds and reimbursements</t>
  </si>
  <si>
    <t>Page 12, Line 168 - Library grant</t>
  </si>
  <si>
    <t>Page 12, Line 180 - REAP Grant</t>
  </si>
  <si>
    <t>Page 16, Line 73 - Tech consultant salary</t>
  </si>
  <si>
    <t>Page 16, Line 83 - ISBE Pre-K payment refund</t>
  </si>
  <si>
    <t>Part A, Question 2 - See Finding 2019-005
Part C, Question 20 - See Findings 2019-001, 2019-002, 2019-003, 2019-004</t>
  </si>
  <si>
    <t>GORENZ AND ASSOCIATES, LTD.</t>
  </si>
  <si>
    <t>TORT-GENERAL ADMIN-PURCH SERV</t>
  </si>
  <si>
    <t>Page 20, Line 278 - Tech consultant benefits</t>
  </si>
  <si>
    <t>In accordance with prescribed definitions in AU-C 265, it is a strong indication of a significant deficiency in internal control if an entity lacks sufficient controls over the period-end financial reporting process. AU-C 265 provides guidance regarding the extent to which the auditor may be involved in drafting an entity's financial statements.</t>
  </si>
  <si>
    <t>The District did not timely file some of the required payroll tax returns with the taxing agencies.  Additionally, some of the required contributions to the taxing agencies were not made timely.  The District on occasion did not timely file required pension plan reports.</t>
  </si>
  <si>
    <t>All payroll tax returns, and pension reports should be prepared and filed by the required due date.  All payments of taxes and pension contributions should be paid to the respective agencies by the required due date.</t>
  </si>
  <si>
    <t>Expertise to prepare financial statements</t>
  </si>
  <si>
    <t>Segregation of duties</t>
  </si>
  <si>
    <t>An annual review of controls over financial reporting will be made.</t>
  </si>
  <si>
    <t>We are currently confident in the process in which the annual financial statements are prepared.</t>
  </si>
  <si>
    <t>Assignment of tasks and positions will be reviewed on an annual basis and any identified, cost effective changes will be implemented.</t>
  </si>
  <si>
    <t>Task and duties are segregated as much as practical.  An annual review will be performed.</t>
  </si>
  <si>
    <t>The plan will be implemented.</t>
  </si>
  <si>
    <t>A review of the procedures for reconciling the accounting records for cash to the monthly bank statements on a monthly basis. Existing procedures will be updated, or new procedures will potentially be added.</t>
  </si>
  <si>
    <t>A review of the procedures for filing the required payroll tax returns with the taxing agencies. Existing procedures will be updated, or new procedures will potentially be added.</t>
  </si>
  <si>
    <t>105ILCS 5/8-2 Bond of Treasurer requires the school treasurer to post two types of bonds.  The first is a surety bond that every school treasurer must post "before entering upon his duties".  The bond must provide a penalty of 2 percent of "all bonds, notes, mortgages, moneys and effects of which the treasurer has custody at any time".  The bond must be approved by the governing school board and filed with the regional superintendent of schools.  The second bond is required before the treasurer can accept possession of the proceeds of a bond issue and will normally be required before bond counsel will give approval to issuance of bonds.  This bond must be equal to 25% of the amount of bond issue and must be approved by the governing school board.</t>
  </si>
  <si>
    <t>The treasurer's bond did not cover 25% of the highest available cash and investment balance.</t>
  </si>
  <si>
    <t>The district treasurer did not have adequate treasurer's bond coverage.</t>
  </si>
  <si>
    <t>The highest amount of cash and investments under the treasurer's control was greater than anticipated.</t>
  </si>
  <si>
    <t>The treasurer's bond should be increased to an amount which will cover 25% of the anticipated highest amount of cash and investments under the treasurer's control during the year.</t>
  </si>
  <si>
    <t>The treasurer's bond coverage will be adjusted as needed.</t>
  </si>
  <si>
    <t>The highest amount of cash and investments under the treasurer's control was $5,333,054.  The minimum treasure's bond coverage was $1,333,263 (5,333,054 * 25%).  The actual treasurer's bond coverage was $1,100,650.</t>
  </si>
  <si>
    <t>Bradford Community Unit School District No. 1</t>
  </si>
  <si>
    <t>See PDF version</t>
  </si>
  <si>
    <t>Bradford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</si>
</sst>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b/>
      <vertAlign val="superscript"/>
      <sz val="8"/>
      <name val="Arial"/>
      <family val="2"/>
    </font>
    <font>
      <sz val="7"/>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
      <left/>
      <right/>
      <top style="medium">
        <color indexed="55"/>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6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4" fillId="0" borderId="0" xfId="3" applyFont="1" applyAlignment="1" applyProtection="1">
      <alignment horizontal="center" vertical="center"/>
    </xf>
    <xf numFmtId="49" fontId="2" fillId="0" borderId="157" xfId="17" applyNumberFormat="1" applyFont="1" applyBorder="1" applyAlignment="1" applyProtection="1">
      <alignment horizontal="center" vertical="top"/>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49" fontId="13" fillId="0" borderId="0" xfId="3" applyNumberFormat="1" applyFont="1" applyAlignment="1">
      <alignment horizontal="center" vertical="top"/>
    </xf>
    <xf numFmtId="165" fontId="20" fillId="0" borderId="0" xfId="3" applyNumberFormat="1" applyFont="1" applyAlignment="1">
      <alignment horizontal="center" vertical="center"/>
    </xf>
    <xf numFmtId="166" fontId="13" fillId="0" borderId="0" xfId="3" applyNumberFormat="1" applyFont="1" applyAlignment="1">
      <alignment horizontal="center" vertical="top"/>
    </xf>
    <xf numFmtId="0" fontId="20" fillId="0" borderId="0" xfId="3" applyFont="1" applyAlignment="1">
      <alignment horizontal="center" vertical="center"/>
    </xf>
    <xf numFmtId="0" fontId="13" fillId="0" borderId="0" xfId="3" applyFont="1"/>
    <xf numFmtId="0" fontId="10" fillId="0" borderId="0" xfId="3" applyAlignment="1">
      <alignment horizontal="center"/>
    </xf>
    <xf numFmtId="0" fontId="13" fillId="0" borderId="144" xfId="3" applyFont="1" applyBorder="1"/>
    <xf numFmtId="0" fontId="10" fillId="0" borderId="144" xfId="3" applyBorder="1"/>
    <xf numFmtId="0" fontId="10" fillId="0" borderId="144" xfId="3" applyBorder="1" applyAlignment="1">
      <alignment horizontal="center"/>
    </xf>
    <xf numFmtId="0" fontId="16" fillId="0" borderId="0" xfId="3" applyFont="1"/>
    <xf numFmtId="0" fontId="13" fillId="0" borderId="0" xfId="3" applyFont="1" applyAlignment="1">
      <alignment horizontal="centerContinuous"/>
    </xf>
    <xf numFmtId="0" fontId="13" fillId="0" borderId="0" xfId="3" applyFont="1" applyAlignment="1">
      <alignment horizontal="right"/>
    </xf>
    <xf numFmtId="178" fontId="13" fillId="0" borderId="9" xfId="3" applyNumberFormat="1" applyFont="1" applyBorder="1" applyAlignment="1" applyProtection="1">
      <alignment horizontal="left"/>
      <protection locked="0"/>
    </xf>
    <xf numFmtId="0" fontId="10" fillId="0" borderId="22" xfId="3" applyBorder="1" applyAlignment="1" applyProtection="1">
      <alignment horizontal="center" vertical="center"/>
      <protection locked="0"/>
    </xf>
    <xf numFmtId="0" fontId="10" fillId="0" borderId="0" xfId="3" applyAlignment="1">
      <alignment horizontal="left" indent="1"/>
    </xf>
    <xf numFmtId="0" fontId="11" fillId="0" borderId="0" xfId="3" applyFont="1" applyAlignment="1">
      <alignment horizontal="left" indent="1"/>
    </xf>
    <xf numFmtId="0" fontId="10" fillId="0" borderId="9" xfId="3" applyBorder="1" applyProtection="1">
      <protection locked="0"/>
    </xf>
    <xf numFmtId="0" fontId="12" fillId="0" borderId="144" xfId="3" quotePrefix="1" applyFont="1" applyBorder="1" applyAlignment="1">
      <alignment horizontal="left"/>
    </xf>
    <xf numFmtId="0" fontId="16" fillId="0" borderId="144" xfId="3" applyFont="1" applyBorder="1"/>
    <xf numFmtId="0" fontId="16" fillId="0" borderId="144" xfId="3" applyFont="1" applyBorder="1" applyAlignment="1">
      <alignment horizontal="center"/>
    </xf>
    <xf numFmtId="8" fontId="10" fillId="0" borderId="0" xfId="3" applyNumberFormat="1" applyAlignment="1">
      <alignment horizontal="left"/>
    </xf>
    <xf numFmtId="0" fontId="12" fillId="0" borderId="144" xfId="3" applyFont="1" applyBorder="1"/>
    <xf numFmtId="0" fontId="12" fillId="0" borderId="144" xfId="3" applyFont="1" applyBorder="1" applyAlignment="1">
      <alignment horizontal="left"/>
    </xf>
    <xf numFmtId="0" fontId="20" fillId="27" borderId="143" xfId="3" applyFont="1" applyFill="1" applyBorder="1"/>
    <xf numFmtId="0" fontId="20" fillId="27" borderId="144" xfId="3" applyFont="1" applyFill="1" applyBorder="1"/>
    <xf numFmtId="0" fontId="10" fillId="27" borderId="144" xfId="3" applyFill="1" applyBorder="1"/>
    <xf numFmtId="0" fontId="10" fillId="27" borderId="144" xfId="3" applyFill="1" applyBorder="1" applyAlignment="1">
      <alignment horizontal="center"/>
    </xf>
    <xf numFmtId="0" fontId="10" fillId="27" borderId="145" xfId="3" applyFill="1" applyBorder="1"/>
    <xf numFmtId="0" fontId="11" fillId="27" borderId="5" xfId="3" applyFont="1" applyFill="1" applyBorder="1"/>
    <xf numFmtId="0" fontId="11" fillId="27" borderId="165" xfId="3" applyFont="1" applyFill="1" applyBorder="1"/>
    <xf numFmtId="14" fontId="10" fillId="27" borderId="9" xfId="3" applyNumberFormat="1" applyFill="1" applyBorder="1" applyAlignment="1">
      <alignment horizontal="center"/>
    </xf>
    <xf numFmtId="14" fontId="10" fillId="27" borderId="0" xfId="3" applyNumberFormat="1" applyFill="1"/>
    <xf numFmtId="0" fontId="11" fillId="27" borderId="0" xfId="3" applyFont="1" applyFill="1" applyAlignment="1">
      <alignment horizontal="left"/>
    </xf>
    <xf numFmtId="0" fontId="16" fillId="27" borderId="0" xfId="3" applyFont="1" applyFill="1" applyAlignment="1">
      <alignment horizontal="left"/>
    </xf>
    <xf numFmtId="0" fontId="10" fillId="27" borderId="0" xfId="3" applyFill="1"/>
    <xf numFmtId="0" fontId="10" fillId="27" borderId="0" xfId="3" applyFill="1" applyAlignment="1">
      <alignment horizontal="center"/>
    </xf>
    <xf numFmtId="0" fontId="10" fillId="27" borderId="9" xfId="3" applyFill="1" applyBorder="1"/>
    <xf numFmtId="0" fontId="10" fillId="27" borderId="40" xfId="3" applyFill="1" applyBorder="1" applyAlignment="1">
      <alignment horizontal="center"/>
    </xf>
    <xf numFmtId="0" fontId="10" fillId="27" borderId="147" xfId="3" applyFill="1" applyBorder="1" applyAlignment="1">
      <alignment horizontal="center"/>
    </xf>
    <xf numFmtId="0" fontId="11" fillId="27" borderId="0" xfId="3" applyFont="1" applyFill="1"/>
    <xf numFmtId="0" fontId="143" fillId="0" borderId="0" xfId="3" applyFont="1" applyAlignment="1">
      <alignment horizontal="right" vertical="top" textRotation="180"/>
    </xf>
    <xf numFmtId="0" fontId="10" fillId="27" borderId="50" xfId="3" applyFill="1" applyBorder="1"/>
    <xf numFmtId="0" fontId="10" fillId="27" borderId="9" xfId="3" applyFill="1" applyBorder="1" applyAlignment="1">
      <alignment horizontal="center"/>
    </xf>
    <xf numFmtId="0" fontId="10" fillId="27" borderId="59" xfId="3" applyFill="1" applyBorder="1"/>
    <xf numFmtId="0" fontId="141" fillId="0" borderId="166" xfId="3" applyFont="1" applyBorder="1"/>
    <xf numFmtId="0" fontId="10" fillId="0" borderId="166" xfId="3" applyBorder="1"/>
    <xf numFmtId="0" fontId="12" fillId="0" borderId="0" xfId="3" applyFont="1" applyAlignment="1">
      <alignment horizontal="center" vertical="top" textRotation="180"/>
    </xf>
    <xf numFmtId="14" fontId="10" fillId="0" borderId="0" xfId="3" quotePrefix="1" applyNumberFormat="1" applyAlignment="1" applyProtection="1">
      <alignment horizontal="left" indent="2"/>
      <protection locked="0"/>
    </xf>
    <xf numFmtId="0" fontId="10" fillId="0" borderId="0" xfId="3" quotePrefix="1" applyAlignment="1" applyProtection="1">
      <alignment horizontal="left" indent="2"/>
      <protection locked="0"/>
    </xf>
    <xf numFmtId="0" fontId="12" fillId="0" borderId="0" xfId="3" applyFont="1" applyAlignment="1">
      <alignment horizontal="left" indent="1"/>
    </xf>
    <xf numFmtId="0" fontId="12" fillId="0" borderId="0" xfId="3" applyFont="1" applyAlignment="1">
      <alignment horizontal="left"/>
    </xf>
    <xf numFmtId="0" fontId="10" fillId="0" borderId="78" xfId="3" applyBorder="1" applyAlignment="1">
      <alignment horizontal="center"/>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wrapText="1"/>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10" fillId="0" borderId="0" xfId="3"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20" fillId="0" borderId="0" xfId="3" applyFont="1" applyAlignment="1">
      <alignment horizontal="center" vertical="center" wrapText="1"/>
    </xf>
    <xf numFmtId="0" fontId="10" fillId="0" borderId="0" xfId="3" applyAlignment="1">
      <alignment horizontal="center" vertical="center" wrapText="1"/>
    </xf>
    <xf numFmtId="8" fontId="10" fillId="0" borderId="0" xfId="3" applyNumberForma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10" fillId="0" borderId="0" xfId="3" applyAlignment="1" applyProtection="1">
      <alignment horizontal="left" vertical="center"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165" fontId="20" fillId="0" borderId="0" xfId="3" applyNumberFormat="1" applyFont="1" applyAlignment="1">
      <alignment horizontal="center" vertical="center" wrapText="1"/>
    </xf>
    <xf numFmtId="171" fontId="20" fillId="0" borderId="0" xfId="3" applyNumberFormat="1" applyFont="1" applyAlignment="1">
      <alignment horizontal="center" vertical="center" wrapText="1"/>
    </xf>
    <xf numFmtId="0" fontId="10" fillId="0" borderId="0" xfId="3" quotePrefix="1" applyAlignment="1" applyProtection="1">
      <alignment horizontal="left" vertical="top" wrapText="1"/>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AE4BF695-6803-46F8-A3A4-6EE14922EDC2}"/>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1516EDCD-D5B6-4597-8A70-E66E86780ADA}"/>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7E82F4C3-D434-447B-AAD4-E4807A1E3ED2}"/>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A1D2870E-9677-446C-8C67-F722163A0AEA}"/>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39FE75D-97AE-400F-BC79-002DBAB60FEC}"/>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CB7BD5A5-1EC8-4729-B374-9ADDEB367FA5}"/>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A2538FD7-74D0-475B-8E08-F69EAA641EB5}"/>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D1468B9F-71ED-4528-8A35-AA0BFC33A9A8}"/>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614CF137-A817-4404-96A7-591BCC7A544D}"/>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1F4C0071-DDD9-4930-88CA-C500A6F13A54}"/>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3</xdr:row>
          <xdr:rowOff>121228</xdr:rowOff>
        </xdr:from>
        <xdr:to>
          <xdr:col>1</xdr:col>
          <xdr:colOff>1295400</xdr:colOff>
          <xdr:row>7</xdr:row>
          <xdr:rowOff>159328</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1472046</xdr:colOff>
          <xdr:row>3</xdr:row>
          <xdr:rowOff>129887</xdr:rowOff>
        </xdr:from>
        <xdr:to>
          <xdr:col>1</xdr:col>
          <xdr:colOff>2382982</xdr:colOff>
          <xdr:row>8</xdr:row>
          <xdr:rowOff>3464</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CD8EE0E-9A03-4266-AA57-FFA1C4248F9E}"/>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1B6294C-62F6-4A7B-A9EA-99872E4A096B}"/>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662B4762-0743-4703-8AF9-6D5862DA83C8}"/>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5C090386-2612-449D-9842-E22A616650AD}"/>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5F6801B-AB69-4B08-B67C-A8FC12DB2BBF}"/>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67EC23B-4A3B-4D96-A8A7-47D6754A1FC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D77E342A-BE8C-4FC8-AC86-2259FB110E7C}"/>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61CB58BF-5137-4531-B81C-792C8F6A7C8F}"/>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25400</xdr:rowOff>
    </xdr:to>
    <xdr:sp macro="" textlink="">
      <xdr:nvSpPr>
        <xdr:cNvPr id="2" name="Text 1">
          <a:extLst>
            <a:ext uri="{FF2B5EF4-FFF2-40B4-BE49-F238E27FC236}">
              <a16:creationId xmlns:a16="http://schemas.microsoft.com/office/drawing/2014/main" id="{DF6D751B-AF67-448D-8DE3-913F86DB526F}"/>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C6C7D07C-1C9C-4BF3-B619-340AC3E81463}"/>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85" t="s">
        <v>405</v>
      </c>
      <c r="J1" s="2086"/>
      <c r="K1" s="2086"/>
      <c r="L1" s="2086"/>
      <c r="M1" s="2086"/>
      <c r="N1" s="2086"/>
      <c r="O1" s="2086"/>
      <c r="P1" s="2086"/>
      <c r="Q1" s="2086"/>
      <c r="R1" s="2086"/>
      <c r="S1" s="2086"/>
    </row>
    <row r="2" spans="1:28" ht="12" customHeight="1" x14ac:dyDescent="0.2">
      <c r="A2" s="47" t="s">
        <v>1993</v>
      </c>
      <c r="D2" s="48"/>
      <c r="I2" s="2087" t="s">
        <v>979</v>
      </c>
      <c r="J2" s="2086"/>
      <c r="K2" s="2086"/>
      <c r="L2" s="2086"/>
      <c r="M2" s="2086"/>
      <c r="N2" s="2086"/>
      <c r="O2" s="2086"/>
      <c r="P2" s="2086"/>
      <c r="Q2" s="2086"/>
      <c r="R2" s="2086"/>
      <c r="S2" s="2086"/>
    </row>
    <row r="3" spans="1:28" ht="12" customHeight="1" x14ac:dyDescent="0.2">
      <c r="A3" s="155" t="s">
        <v>1945</v>
      </c>
      <c r="B3" s="156"/>
      <c r="C3" s="156"/>
      <c r="D3" s="157"/>
      <c r="I3" s="2087" t="s">
        <v>52</v>
      </c>
      <c r="J3" s="2086"/>
      <c r="K3" s="2086"/>
      <c r="L3" s="2086"/>
      <c r="M3" s="2086"/>
      <c r="N3" s="2086"/>
      <c r="O3" s="2086"/>
      <c r="P3" s="2086"/>
      <c r="Q3" s="2086"/>
      <c r="R3" s="2086"/>
      <c r="S3" s="2086"/>
    </row>
    <row r="4" spans="1:28" ht="12" customHeight="1" x14ac:dyDescent="0.2">
      <c r="A4" s="37"/>
      <c r="I4" s="2087" t="s">
        <v>524</v>
      </c>
      <c r="J4" s="2086"/>
      <c r="K4" s="2086"/>
      <c r="L4" s="2086"/>
      <c r="M4" s="2086"/>
      <c r="N4" s="2086"/>
      <c r="O4" s="2086"/>
      <c r="P4" s="2086"/>
      <c r="Q4" s="2086"/>
      <c r="R4" s="2086"/>
      <c r="S4" s="2086"/>
    </row>
    <row r="5" spans="1:28" ht="14.1" customHeight="1" x14ac:dyDescent="0.2">
      <c r="B5" s="104" t="s">
        <v>2070</v>
      </c>
      <c r="C5" s="26" t="s">
        <v>910</v>
      </c>
      <c r="D5" s="84"/>
      <c r="E5" s="84"/>
      <c r="H5" s="38"/>
      <c r="I5" s="2094" t="s">
        <v>680</v>
      </c>
      <c r="J5" s="2039"/>
      <c r="K5" s="2039"/>
      <c r="L5" s="2039"/>
      <c r="M5" s="2039"/>
      <c r="N5" s="2039"/>
      <c r="O5" s="2039"/>
      <c r="P5" s="2039"/>
      <c r="Q5" s="2039"/>
      <c r="R5" s="2039"/>
      <c r="S5" s="2039"/>
    </row>
    <row r="6" spans="1:28" ht="14.1" customHeight="1" x14ac:dyDescent="0.2">
      <c r="B6" s="104"/>
      <c r="C6" s="26" t="s">
        <v>911</v>
      </c>
      <c r="D6" s="84"/>
      <c r="E6" s="84"/>
      <c r="I6" s="2093" t="s">
        <v>883</v>
      </c>
      <c r="J6" s="2039"/>
      <c r="K6" s="2039"/>
      <c r="L6" s="2039"/>
      <c r="M6" s="2039"/>
      <c r="N6" s="2039"/>
      <c r="O6" s="2039"/>
      <c r="P6" s="2039"/>
      <c r="Q6" s="2039"/>
      <c r="R6" s="2039"/>
      <c r="S6" s="2039"/>
    </row>
    <row r="7" spans="1:28" ht="12.2" customHeight="1" x14ac:dyDescent="0.2">
      <c r="I7" s="2088">
        <v>43646</v>
      </c>
      <c r="J7" s="2089"/>
      <c r="K7" s="2089"/>
      <c r="L7" s="2089"/>
      <c r="M7" s="2089"/>
      <c r="N7" s="2089"/>
      <c r="O7" s="2089"/>
      <c r="P7" s="2089"/>
      <c r="Q7" s="2089"/>
      <c r="R7" s="2089"/>
      <c r="S7" s="20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0" t="s">
        <v>674</v>
      </c>
      <c r="J9" s="2091"/>
      <c r="K9" s="2091"/>
      <c r="L9" s="2091"/>
      <c r="M9" s="2091"/>
      <c r="N9" s="2091"/>
      <c r="O9" s="2091"/>
      <c r="P9" s="2091"/>
      <c r="Q9" s="2091"/>
      <c r="R9" s="2091"/>
      <c r="S9" s="2092"/>
      <c r="T9" s="2035" t="s">
        <v>533</v>
      </c>
      <c r="U9" s="2036"/>
      <c r="V9" s="2036"/>
      <c r="W9" s="2036"/>
      <c r="X9" s="2036"/>
      <c r="Y9" s="2036"/>
      <c r="Z9" s="2036"/>
      <c r="AA9" s="2037"/>
    </row>
    <row r="10" spans="1:28" ht="13.5" customHeight="1" x14ac:dyDescent="0.2">
      <c r="A10" s="2044" t="s">
        <v>675</v>
      </c>
      <c r="B10" s="2045"/>
      <c r="C10" s="2045"/>
      <c r="D10" s="2045"/>
      <c r="E10" s="2045"/>
      <c r="F10" s="2045"/>
      <c r="G10" s="2045"/>
      <c r="H10" s="2046"/>
      <c r="I10" s="29"/>
      <c r="J10" s="30"/>
      <c r="K10" s="28"/>
      <c r="R10" s="30"/>
      <c r="S10" s="30"/>
      <c r="T10" s="2038"/>
      <c r="U10" s="2039"/>
      <c r="V10" s="2039"/>
      <c r="W10" s="2039"/>
      <c r="X10" s="2039"/>
      <c r="Y10" s="2039"/>
      <c r="Z10" s="2039"/>
      <c r="AA10" s="2040"/>
    </row>
    <row r="11" spans="1:28" ht="14.25" customHeight="1" x14ac:dyDescent="0.2">
      <c r="A11" s="2047" t="s">
        <v>955</v>
      </c>
      <c r="B11" s="2048"/>
      <c r="C11" s="2048"/>
      <c r="D11" s="2048"/>
      <c r="E11" s="2048"/>
      <c r="F11" s="2048"/>
      <c r="G11" s="2048"/>
      <c r="H11" s="2049"/>
      <c r="I11" s="27"/>
      <c r="J11" s="74"/>
      <c r="K11" s="27"/>
      <c r="O11" s="148" t="s">
        <v>2070</v>
      </c>
      <c r="P11" s="100" t="s">
        <v>201</v>
      </c>
      <c r="Q11" s="30"/>
      <c r="R11" s="28"/>
      <c r="S11" s="27"/>
      <c r="T11" s="2041"/>
      <c r="U11" s="2042"/>
      <c r="V11" s="2042"/>
      <c r="W11" s="2042"/>
      <c r="X11" s="2042"/>
      <c r="Y11" s="2042"/>
      <c r="Z11" s="2042"/>
      <c r="AA11" s="204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5">
        <v>28088001026</v>
      </c>
      <c r="B13" s="2056"/>
      <c r="C13" s="2056"/>
      <c r="D13" s="2056"/>
      <c r="E13" s="2056"/>
      <c r="F13" s="2056"/>
      <c r="G13" s="2056"/>
      <c r="H13" s="2057"/>
      <c r="I13" s="31"/>
      <c r="J13" s="30"/>
      <c r="K13" s="28"/>
      <c r="L13" s="30"/>
      <c r="M13" s="30"/>
      <c r="N13" s="30"/>
      <c r="O13" s="30"/>
      <c r="P13" s="30"/>
      <c r="Q13" s="30"/>
      <c r="R13" s="30"/>
      <c r="S13" s="30"/>
      <c r="T13" s="2060" t="s">
        <v>2072</v>
      </c>
      <c r="U13" s="2061"/>
      <c r="V13" s="2061"/>
      <c r="W13" s="2061"/>
      <c r="X13" s="2061"/>
      <c r="Y13" s="2062"/>
      <c r="Z13" s="2062"/>
      <c r="AA13" s="206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3" t="s">
        <v>2074</v>
      </c>
      <c r="B15" s="2058"/>
      <c r="C15" s="2058"/>
      <c r="D15" s="2058"/>
      <c r="E15" s="2058"/>
      <c r="F15" s="2058"/>
      <c r="G15" s="2058"/>
      <c r="H15" s="2059"/>
      <c r="T15" s="2021" t="s">
        <v>2078</v>
      </c>
      <c r="U15" s="2022"/>
      <c r="V15" s="2022"/>
      <c r="W15" s="2022"/>
      <c r="X15" s="2022"/>
      <c r="Y15" s="2064"/>
      <c r="Z15" s="2064"/>
      <c r="AA15" s="206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3" t="s">
        <v>2188</v>
      </c>
      <c r="B17" s="2083"/>
      <c r="C17" s="2083"/>
      <c r="D17" s="2083"/>
      <c r="E17" s="2083"/>
      <c r="F17" s="2083"/>
      <c r="G17" s="2083"/>
      <c r="H17" s="2084"/>
      <c r="T17" s="2070" t="s">
        <v>2064</v>
      </c>
      <c r="U17" s="2071"/>
      <c r="V17" s="2071"/>
      <c r="W17" s="2071"/>
      <c r="X17" s="2071"/>
      <c r="Y17" s="2071"/>
      <c r="Z17" s="2071"/>
      <c r="AA17" s="2072"/>
    </row>
    <row r="18" spans="1:27" ht="13.5" customHeight="1" x14ac:dyDescent="0.2">
      <c r="A18" s="85" t="s">
        <v>530</v>
      </c>
      <c r="B18" s="76"/>
      <c r="C18" s="72"/>
      <c r="D18" s="76"/>
      <c r="E18" s="76"/>
      <c r="F18" s="76"/>
      <c r="G18" s="76"/>
      <c r="H18" s="56"/>
      <c r="I18" s="2080" t="s">
        <v>676</v>
      </c>
      <c r="J18" s="2081"/>
      <c r="K18" s="2081"/>
      <c r="L18" s="2081"/>
      <c r="M18" s="2081"/>
      <c r="N18" s="2081"/>
      <c r="O18" s="2081"/>
      <c r="P18" s="2081"/>
      <c r="Q18" s="2081"/>
      <c r="R18" s="2081"/>
      <c r="S18" s="2082"/>
      <c r="T18" s="85" t="s">
        <v>711</v>
      </c>
      <c r="U18" s="51"/>
      <c r="V18" s="72"/>
      <c r="W18" s="50"/>
      <c r="X18" s="85" t="s">
        <v>266</v>
      </c>
      <c r="Y18" s="81"/>
      <c r="Z18" s="159" t="s">
        <v>677</v>
      </c>
      <c r="AA18" s="46"/>
    </row>
    <row r="19" spans="1:27" ht="13.5" customHeight="1" x14ac:dyDescent="0.2">
      <c r="A19" s="2053" t="s">
        <v>2075</v>
      </c>
      <c r="B19" s="2054"/>
      <c r="C19" s="2054"/>
      <c r="D19" s="2054"/>
      <c r="E19" s="2054"/>
      <c r="F19" s="2054"/>
      <c r="G19" s="2054"/>
      <c r="H19" s="2052"/>
      <c r="I19" s="30"/>
      <c r="J19" s="99"/>
      <c r="K19" s="40"/>
      <c r="L19" s="38"/>
      <c r="M19" s="112" t="s">
        <v>315</v>
      </c>
      <c r="P19" s="27"/>
      <c r="Q19" s="27"/>
      <c r="R19" s="27"/>
      <c r="S19" s="31"/>
      <c r="T19" s="2053" t="s">
        <v>2065</v>
      </c>
      <c r="U19" s="2051"/>
      <c r="V19" s="2051"/>
      <c r="W19" s="2052"/>
      <c r="X19" s="2068" t="s">
        <v>2066</v>
      </c>
      <c r="Y19" s="2069"/>
      <c r="Z19" s="2066">
        <v>61614</v>
      </c>
      <c r="AA19" s="206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50" t="s">
        <v>2076</v>
      </c>
      <c r="B21" s="2051"/>
      <c r="C21" s="2051"/>
      <c r="D21" s="2051"/>
      <c r="E21" s="2051"/>
      <c r="F21" s="2051"/>
      <c r="G21" s="2051"/>
      <c r="H21" s="2052"/>
      <c r="I21" s="2076" t="s">
        <v>678</v>
      </c>
      <c r="J21" s="2039"/>
      <c r="K21" s="2039"/>
      <c r="L21" s="2039"/>
      <c r="M21" s="2039"/>
      <c r="N21" s="2039"/>
      <c r="O21" s="2039"/>
      <c r="P21" s="2039"/>
      <c r="Q21" s="2039"/>
      <c r="R21" s="2039"/>
      <c r="S21" s="2040"/>
      <c r="T21" s="2018" t="s">
        <v>2067</v>
      </c>
      <c r="U21" s="2019"/>
      <c r="V21" s="2019"/>
      <c r="W21" s="2019"/>
      <c r="X21" s="2032" t="s">
        <v>2068</v>
      </c>
      <c r="Y21" s="2033"/>
      <c r="Z21" s="2033"/>
      <c r="AA21" s="2034"/>
    </row>
    <row r="22" spans="1:27" ht="13.5" customHeight="1" x14ac:dyDescent="0.2">
      <c r="A22" s="87" t="s">
        <v>531</v>
      </c>
      <c r="B22" s="59"/>
      <c r="C22" s="59"/>
      <c r="D22" s="59"/>
      <c r="E22" s="59"/>
      <c r="F22" s="59"/>
      <c r="G22" s="59"/>
      <c r="H22" s="60"/>
      <c r="I22" s="2077" t="s">
        <v>1429</v>
      </c>
      <c r="J22" s="2078"/>
      <c r="K22" s="2078"/>
      <c r="L22" s="2078"/>
      <c r="M22" s="2078"/>
      <c r="N22" s="2078"/>
      <c r="O22" s="2078"/>
      <c r="P22" s="2078"/>
      <c r="Q22" s="2078"/>
      <c r="R22" s="2078"/>
      <c r="S22" s="2079"/>
      <c r="T22" s="85" t="s">
        <v>1516</v>
      </c>
      <c r="U22" s="51"/>
      <c r="V22" s="72"/>
      <c r="W22" s="51"/>
      <c r="X22" s="160" t="s">
        <v>1318</v>
      </c>
      <c r="Z22" s="45"/>
      <c r="AA22" s="46"/>
    </row>
    <row r="23" spans="1:27" ht="13.5" customHeight="1" x14ac:dyDescent="0.2">
      <c r="A23" s="2073" t="s">
        <v>2077</v>
      </c>
      <c r="B23" s="2074"/>
      <c r="C23" s="2074"/>
      <c r="D23" s="2074"/>
      <c r="E23" s="2074"/>
      <c r="F23" s="2074"/>
      <c r="G23" s="2074"/>
      <c r="H23" s="2075"/>
      <c r="T23" s="2013" t="s">
        <v>2069</v>
      </c>
      <c r="U23" s="2014"/>
      <c r="V23" s="2014"/>
      <c r="W23" s="2014"/>
      <c r="X23" s="2029">
        <v>44501</v>
      </c>
      <c r="Y23" s="2030"/>
      <c r="Z23" s="2030"/>
      <c r="AA23" s="2031"/>
    </row>
    <row r="24" spans="1:27" ht="14.1" customHeight="1" x14ac:dyDescent="0.2">
      <c r="A24" s="88" t="s">
        <v>677</v>
      </c>
      <c r="B24" s="49"/>
      <c r="C24" s="49"/>
      <c r="D24" s="49"/>
      <c r="E24" s="49"/>
      <c r="F24" s="49"/>
      <c r="G24" s="49"/>
      <c r="H24" s="61"/>
      <c r="J24" s="2115">
        <f>IF(B5="x",IF(AUDITCHECK!D29="AFR form Incomplete.","",IF(AUDITCHECK!D29="Deficit reduction plan is required.","School District must complete a deficit reduction plan in the 2019-2020 Budget",)),"")</f>
        <v>0</v>
      </c>
      <c r="K24" s="2115"/>
      <c r="L24" s="2115"/>
      <c r="M24" s="2115"/>
      <c r="N24" s="2115"/>
      <c r="O24" s="2115"/>
      <c r="P24" s="2115"/>
      <c r="Q24" s="2115"/>
      <c r="R24" s="2115"/>
      <c r="S24" s="2116"/>
      <c r="T24" s="105" t="s">
        <v>531</v>
      </c>
      <c r="U24" s="106"/>
      <c r="V24" s="106"/>
      <c r="W24" s="106"/>
      <c r="X24" s="107"/>
      <c r="Y24" s="107"/>
      <c r="Z24" s="107"/>
      <c r="AA24" s="108"/>
    </row>
    <row r="25" spans="1:27" ht="14.1" customHeight="1" x14ac:dyDescent="0.2">
      <c r="A25" s="2050">
        <v>61421</v>
      </c>
      <c r="B25" s="2051"/>
      <c r="C25" s="2051"/>
      <c r="D25" s="2051"/>
      <c r="E25" s="2051"/>
      <c r="F25" s="2051"/>
      <c r="G25" s="2051"/>
      <c r="H25" s="2052"/>
      <c r="I25" s="113"/>
      <c r="J25" s="2117"/>
      <c r="K25" s="2117"/>
      <c r="L25" s="2117"/>
      <c r="M25" s="2117"/>
      <c r="N25" s="2117"/>
      <c r="O25" s="2117"/>
      <c r="P25" s="2117"/>
      <c r="Q25" s="2117"/>
      <c r="R25" s="2117"/>
      <c r="S25" s="2118"/>
      <c r="T25" s="2010" t="s">
        <v>2079</v>
      </c>
      <c r="U25" s="2011"/>
      <c r="V25" s="2011"/>
      <c r="W25" s="2011"/>
      <c r="X25" s="2011"/>
      <c r="Y25" s="2011"/>
      <c r="Z25" s="2011"/>
      <c r="AA25" s="201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08" t="s">
        <v>1511</v>
      </c>
      <c r="J27" s="2081"/>
      <c r="K27" s="2081"/>
      <c r="L27" s="2081"/>
      <c r="M27" s="2081"/>
      <c r="N27" s="2081"/>
      <c r="O27" s="2081"/>
      <c r="P27" s="2081"/>
      <c r="Q27" s="2081"/>
      <c r="R27" s="2081"/>
      <c r="S27" s="208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4"/>
      <c r="Q35" s="2051"/>
      <c r="R35" s="205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3" t="s">
        <v>2080</v>
      </c>
      <c r="B38" s="2083"/>
      <c r="C38" s="2083"/>
      <c r="D38" s="2083"/>
      <c r="E38" s="2083"/>
      <c r="F38" s="2051"/>
      <c r="G38" s="2051"/>
      <c r="H38" s="2052"/>
      <c r="I38" s="2102"/>
      <c r="J38" s="2022"/>
      <c r="K38" s="2022"/>
      <c r="L38" s="2022"/>
      <c r="M38" s="2022"/>
      <c r="N38" s="2022"/>
      <c r="O38" s="2022"/>
      <c r="P38" s="2023"/>
      <c r="Q38" s="2023"/>
      <c r="R38" s="2023"/>
      <c r="S38" s="2024"/>
      <c r="T38" s="2021"/>
      <c r="U38" s="2022"/>
      <c r="V38" s="2022"/>
      <c r="W38" s="2022"/>
      <c r="X38" s="2023"/>
      <c r="Y38" s="2023"/>
      <c r="Z38" s="2023"/>
      <c r="AA38" s="2024"/>
    </row>
    <row r="39" spans="1:27" ht="12" customHeight="1" x14ac:dyDescent="0.2">
      <c r="A39" s="2106" t="s">
        <v>531</v>
      </c>
      <c r="B39" s="2107"/>
      <c r="C39" s="72"/>
      <c r="D39" s="69"/>
      <c r="E39" s="69"/>
      <c r="F39" s="79"/>
      <c r="G39" s="69"/>
      <c r="H39" s="56"/>
      <c r="I39" s="2106" t="s">
        <v>531</v>
      </c>
      <c r="J39" s="2107"/>
      <c r="K39" s="2107"/>
      <c r="L39" s="2107"/>
      <c r="M39" s="2107"/>
      <c r="N39" s="67"/>
      <c r="O39" s="72"/>
      <c r="P39" s="72"/>
      <c r="Q39" s="78"/>
      <c r="R39" s="72"/>
      <c r="S39" s="56"/>
      <c r="T39" s="72" t="s">
        <v>531</v>
      </c>
      <c r="U39" s="51"/>
      <c r="V39" s="72"/>
      <c r="W39" s="50"/>
      <c r="X39" s="78"/>
      <c r="Y39" s="45"/>
      <c r="Z39" s="45"/>
      <c r="AA39" s="46"/>
    </row>
    <row r="40" spans="1:27" ht="13.5" customHeight="1" x14ac:dyDescent="0.2">
      <c r="A40" s="2109" t="s">
        <v>2077</v>
      </c>
      <c r="B40" s="2110"/>
      <c r="C40" s="2111"/>
      <c r="D40" s="2111"/>
      <c r="E40" s="2111"/>
      <c r="F40" s="2112"/>
      <c r="G40" s="2112"/>
      <c r="H40" s="2113"/>
      <c r="I40" s="2025"/>
      <c r="J40" s="2027"/>
      <c r="K40" s="2027"/>
      <c r="L40" s="2027"/>
      <c r="M40" s="2027"/>
      <c r="N40" s="2027"/>
      <c r="O40" s="2027"/>
      <c r="P40" s="2027"/>
      <c r="Q40" s="2027"/>
      <c r="R40" s="2027"/>
      <c r="S40" s="2028"/>
      <c r="T40" s="2025"/>
      <c r="U40" s="2026"/>
      <c r="V40" s="2027"/>
      <c r="W40" s="2027"/>
      <c r="X40" s="2027"/>
      <c r="Y40" s="2027"/>
      <c r="Z40" s="2027"/>
      <c r="AA40" s="202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99" t="s">
        <v>2081</v>
      </c>
      <c r="B42" s="2100"/>
      <c r="C42" s="2101"/>
      <c r="D42" s="2114" t="s">
        <v>2082</v>
      </c>
      <c r="E42" s="2100"/>
      <c r="F42" s="2100"/>
      <c r="G42" s="2100"/>
      <c r="H42" s="2101"/>
      <c r="I42" s="2020"/>
      <c r="J42" s="2016"/>
      <c r="K42" s="2016"/>
      <c r="L42" s="2016"/>
      <c r="M42" s="2016"/>
      <c r="N42" s="2016"/>
      <c r="O42" s="2017"/>
      <c r="P42" s="2015"/>
      <c r="Q42" s="2016"/>
      <c r="R42" s="2016"/>
      <c r="S42" s="2017"/>
      <c r="T42" s="2020"/>
      <c r="U42" s="2016"/>
      <c r="V42" s="2016"/>
      <c r="W42" s="2017"/>
      <c r="X42" s="2015"/>
      <c r="Y42" s="2016"/>
      <c r="Z42" s="2016"/>
      <c r="AA42" s="201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03"/>
      <c r="B44" s="2104"/>
      <c r="C44" s="2104"/>
      <c r="D44" s="2104"/>
      <c r="E44" s="2104"/>
      <c r="F44" s="2104"/>
      <c r="G44" s="2104"/>
      <c r="H44" s="2105"/>
      <c r="I44" s="2095"/>
      <c r="J44" s="2097"/>
      <c r="K44" s="2097"/>
      <c r="L44" s="2097"/>
      <c r="M44" s="2097"/>
      <c r="N44" s="2097"/>
      <c r="O44" s="2097"/>
      <c r="P44" s="2097"/>
      <c r="Q44" s="2097"/>
      <c r="R44" s="2097"/>
      <c r="S44" s="2098"/>
      <c r="T44" s="2095"/>
      <c r="U44" s="2096"/>
      <c r="V44" s="2096"/>
      <c r="W44" s="2096"/>
      <c r="X44" s="2096"/>
      <c r="Y44" s="2096"/>
      <c r="Z44" s="2097"/>
      <c r="AA44" s="209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52" t="s">
        <v>1802</v>
      </c>
      <c r="B2" s="1525" t="s">
        <v>1951</v>
      </c>
      <c r="C2" s="711" t="s">
        <v>1952</v>
      </c>
      <c r="D2" s="711" t="s">
        <v>1953</v>
      </c>
      <c r="E2" s="711" t="s">
        <v>1954</v>
      </c>
      <c r="F2" s="711" t="s">
        <v>1955</v>
      </c>
    </row>
    <row r="3" spans="1:6" ht="12" customHeight="1" x14ac:dyDescent="0.2">
      <c r="A3" s="2253"/>
      <c r="B3" s="1522"/>
      <c r="C3" s="1523"/>
      <c r="D3" s="1524" t="s">
        <v>256</v>
      </c>
      <c r="E3" s="1523"/>
      <c r="F3" s="1524" t="s">
        <v>257</v>
      </c>
    </row>
    <row r="4" spans="1:6" ht="13.7" customHeight="1" x14ac:dyDescent="0.2">
      <c r="A4" s="712" t="s">
        <v>1155</v>
      </c>
      <c r="B4" s="1746">
        <f>'Revenues 9-14'!C5</f>
        <v>1878655</v>
      </c>
      <c r="C4" s="1521">
        <v>0</v>
      </c>
      <c r="D4" s="1749">
        <f>B4-C4</f>
        <v>1878655</v>
      </c>
      <c r="E4" s="1521">
        <v>1912280</v>
      </c>
      <c r="F4" s="1749">
        <f>E4-C4</f>
        <v>1912280</v>
      </c>
    </row>
    <row r="5" spans="1:6" ht="13.7" customHeight="1" x14ac:dyDescent="0.2">
      <c r="A5" s="712" t="s">
        <v>870</v>
      </c>
      <c r="B5" s="1747">
        <f>'Revenues 9-14'!D5</f>
        <v>300105</v>
      </c>
      <c r="C5" s="582">
        <v>0</v>
      </c>
      <c r="D5" s="1750">
        <f t="shared" ref="D5:D18" si="0">B5-C5</f>
        <v>300105</v>
      </c>
      <c r="E5" s="582">
        <v>305476</v>
      </c>
      <c r="F5" s="1750">
        <f>E5-C5</f>
        <v>305476</v>
      </c>
    </row>
    <row r="6" spans="1:6" ht="13.7" customHeight="1" x14ac:dyDescent="0.2">
      <c r="A6" s="712" t="s">
        <v>411</v>
      </c>
      <c r="B6" s="1747">
        <f>'Revenues 9-14'!E5</f>
        <v>54679</v>
      </c>
      <c r="C6" s="582">
        <v>0</v>
      </c>
      <c r="D6" s="1750">
        <f t="shared" si="0"/>
        <v>54679</v>
      </c>
      <c r="E6" s="582">
        <v>0</v>
      </c>
      <c r="F6" s="1750">
        <f t="shared" ref="F6:F18" si="1">E6-C6</f>
        <v>0</v>
      </c>
    </row>
    <row r="7" spans="1:6" ht="13.7" customHeight="1" x14ac:dyDescent="0.2">
      <c r="A7" s="712" t="s">
        <v>155</v>
      </c>
      <c r="B7" s="1747">
        <f>'Revenues 9-14'!F5</f>
        <v>120042</v>
      </c>
      <c r="C7" s="582">
        <v>0</v>
      </c>
      <c r="D7" s="1750">
        <f t="shared" si="0"/>
        <v>120042</v>
      </c>
      <c r="E7" s="582">
        <v>122190</v>
      </c>
      <c r="F7" s="1750">
        <f t="shared" si="1"/>
        <v>122190</v>
      </c>
    </row>
    <row r="8" spans="1:6" ht="13.7" customHeight="1" x14ac:dyDescent="0.2">
      <c r="A8" s="712" t="s">
        <v>1179</v>
      </c>
      <c r="B8" s="1747">
        <f>'Revenues 9-14'!G5</f>
        <v>26229</v>
      </c>
      <c r="C8" s="582">
        <v>0</v>
      </c>
      <c r="D8" s="1750">
        <f t="shared" si="0"/>
        <v>26229</v>
      </c>
      <c r="E8" s="582">
        <v>27004</v>
      </c>
      <c r="F8" s="1750">
        <f t="shared" si="1"/>
        <v>27004</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30010</v>
      </c>
      <c r="C10" s="582">
        <v>0</v>
      </c>
      <c r="D10" s="1750">
        <f t="shared" si="0"/>
        <v>30010</v>
      </c>
      <c r="E10" s="582">
        <v>30548</v>
      </c>
      <c r="F10" s="1750">
        <f t="shared" si="1"/>
        <v>30548</v>
      </c>
    </row>
    <row r="11" spans="1:6" x14ac:dyDescent="0.2">
      <c r="A11" s="712" t="s">
        <v>409</v>
      </c>
      <c r="B11" s="1747">
        <f>'Revenues 9-14'!J5</f>
        <v>191467</v>
      </c>
      <c r="C11" s="582">
        <v>0</v>
      </c>
      <c r="D11" s="1750">
        <f t="shared" si="0"/>
        <v>191467</v>
      </c>
      <c r="E11" s="582">
        <v>200026</v>
      </c>
      <c r="F11" s="1750">
        <f t="shared" si="1"/>
        <v>200026</v>
      </c>
    </row>
    <row r="12" spans="1:6" ht="13.7" customHeight="1" x14ac:dyDescent="0.2">
      <c r="A12" s="712" t="s">
        <v>157</v>
      </c>
      <c r="B12" s="1747">
        <f>'Revenues 9-14'!K5</f>
        <v>30010</v>
      </c>
      <c r="C12" s="582">
        <v>0</v>
      </c>
      <c r="D12" s="1750">
        <f t="shared" si="0"/>
        <v>30010</v>
      </c>
      <c r="E12" s="582">
        <v>30548</v>
      </c>
      <c r="F12" s="1750">
        <f t="shared" si="1"/>
        <v>30548</v>
      </c>
    </row>
    <row r="13" spans="1:6" ht="13.7" customHeight="1" x14ac:dyDescent="0.2">
      <c r="A13" s="712" t="s">
        <v>936</v>
      </c>
      <c r="B13" s="1747">
        <f>SUM('Revenues 9-14'!C6:D6)</f>
        <v>10084</v>
      </c>
      <c r="C13" s="582">
        <v>0</v>
      </c>
      <c r="D13" s="1750">
        <f t="shared" si="0"/>
        <v>10084</v>
      </c>
      <c r="E13" s="582">
        <v>19001</v>
      </c>
      <c r="F13" s="1750">
        <f t="shared" si="1"/>
        <v>19001</v>
      </c>
    </row>
    <row r="14" spans="1:6" ht="13.7" customHeight="1" x14ac:dyDescent="0.2">
      <c r="A14" s="712" t="s">
        <v>410</v>
      </c>
      <c r="B14" s="1747">
        <f>SUM('Revenues 9-14'!C7:D7,'Revenues 9-14'!F7:H7)</f>
        <v>24008</v>
      </c>
      <c r="C14" s="582">
        <v>0</v>
      </c>
      <c r="D14" s="1750">
        <f t="shared" si="0"/>
        <v>24008</v>
      </c>
      <c r="E14" s="582">
        <v>24438</v>
      </c>
      <c r="F14" s="1750">
        <f t="shared" si="1"/>
        <v>24438</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52398</v>
      </c>
      <c r="C16" s="582">
        <v>0</v>
      </c>
      <c r="D16" s="1750">
        <f t="shared" si="0"/>
        <v>52398</v>
      </c>
      <c r="E16" s="582">
        <v>54008</v>
      </c>
      <c r="F16" s="1750">
        <f t="shared" si="1"/>
        <v>54008</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2717687</v>
      </c>
      <c r="C19" s="1748">
        <f>SUM(C4:C18)</f>
        <v>0</v>
      </c>
      <c r="D19" s="1748">
        <f>SUM(D4:D18)</f>
        <v>2717687</v>
      </c>
      <c r="E19" s="1748">
        <f>SUM(E4:E18)</f>
        <v>2725519</v>
      </c>
      <c r="F19" s="1748">
        <f>SUM(F4:F18)</f>
        <v>2725519</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8" t="s">
        <v>629</v>
      </c>
      <c r="B1" s="2259"/>
      <c r="C1" s="718"/>
    </row>
    <row r="2" spans="1:7" ht="33.75" x14ac:dyDescent="0.2">
      <c r="A2" s="2267" t="s">
        <v>1802</v>
      </c>
      <c r="B2" s="2268"/>
      <c r="C2" s="1881" t="s">
        <v>1956</v>
      </c>
      <c r="D2" s="720" t="s">
        <v>1957</v>
      </c>
      <c r="E2" s="720" t="s">
        <v>1958</v>
      </c>
      <c r="F2" s="1881" t="s">
        <v>1959</v>
      </c>
    </row>
    <row r="3" spans="1:7" ht="15.75" customHeight="1" x14ac:dyDescent="0.2">
      <c r="A3" s="2271" t="s">
        <v>1114</v>
      </c>
      <c r="B3" s="2272"/>
      <c r="C3" s="2260"/>
      <c r="D3" s="2261"/>
      <c r="E3" s="2261"/>
      <c r="F3" s="2262"/>
    </row>
    <row r="4" spans="1:7" ht="12.75" customHeight="1" thickBot="1" x14ac:dyDescent="0.25">
      <c r="A4" s="2269" t="s">
        <v>630</v>
      </c>
      <c r="B4" s="2270"/>
      <c r="C4" s="578"/>
      <c r="D4" s="578"/>
      <c r="E4" s="578"/>
      <c r="F4" s="1752">
        <f>SUM(C4+D4)-E4</f>
        <v>0</v>
      </c>
    </row>
    <row r="5" spans="1:7" ht="15.75" customHeight="1" thickTop="1" x14ac:dyDescent="0.2">
      <c r="A5" s="2254" t="s">
        <v>1110</v>
      </c>
      <c r="B5" s="2255"/>
      <c r="C5" s="2263"/>
      <c r="D5" s="2264"/>
      <c r="E5" s="2264"/>
      <c r="F5" s="2265"/>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56" t="s">
        <v>631</v>
      </c>
      <c r="B15" s="2257"/>
      <c r="C15" s="1752">
        <f>SUM(C6:C14)</f>
        <v>0</v>
      </c>
      <c r="D15" s="1752">
        <f>SUM(D6:D14)</f>
        <v>0</v>
      </c>
      <c r="E15" s="1752">
        <f>SUM(E6:E14)</f>
        <v>0</v>
      </c>
      <c r="F15" s="1752">
        <f>SUM(F6:F14)</f>
        <v>0</v>
      </c>
      <c r="G15" s="549"/>
    </row>
    <row r="16" spans="1:7" s="202" customFormat="1" ht="15.75" customHeight="1" thickTop="1" x14ac:dyDescent="0.2">
      <c r="A16" s="2266" t="s">
        <v>1111</v>
      </c>
      <c r="B16" s="2255"/>
      <c r="C16" s="2263"/>
      <c r="D16" s="2264"/>
      <c r="E16" s="2264"/>
      <c r="F16" s="2265"/>
    </row>
    <row r="17" spans="1:11" ht="12.75" customHeight="1" thickBot="1" x14ac:dyDescent="0.25">
      <c r="A17" s="2279" t="s">
        <v>64</v>
      </c>
      <c r="B17" s="2280"/>
      <c r="C17" s="723"/>
      <c r="D17" s="582"/>
      <c r="E17" s="723"/>
      <c r="F17" s="1752">
        <f>SUM(C17+D17)-E17</f>
        <v>0</v>
      </c>
    </row>
    <row r="18" spans="1:11" ht="12.75" customHeight="1" thickTop="1" thickBot="1" x14ac:dyDescent="0.25">
      <c r="A18" s="2279" t="s">
        <v>6</v>
      </c>
      <c r="B18" s="2280"/>
      <c r="C18" s="723"/>
      <c r="D18" s="582"/>
      <c r="E18" s="723"/>
      <c r="F18" s="1752">
        <f>SUM(C18+D18)-E18</f>
        <v>0</v>
      </c>
    </row>
    <row r="19" spans="1:11" ht="12.75" customHeight="1" thickTop="1" thickBot="1" x14ac:dyDescent="0.25">
      <c r="A19" s="2279" t="s">
        <v>388</v>
      </c>
      <c r="B19" s="2280"/>
      <c r="C19" s="723"/>
      <c r="D19" s="582"/>
      <c r="E19" s="723"/>
      <c r="F19" s="1752">
        <f>SUM(C19+D19)-E19</f>
        <v>0</v>
      </c>
    </row>
    <row r="20" spans="1:11" ht="12.75" customHeight="1" thickTop="1" thickBot="1" x14ac:dyDescent="0.25">
      <c r="A20" s="2279" t="s">
        <v>448</v>
      </c>
      <c r="B20" s="2280"/>
      <c r="C20" s="723"/>
      <c r="D20" s="582"/>
      <c r="E20" s="723"/>
      <c r="F20" s="1752">
        <f>SUM(C20+D20)-E20</f>
        <v>0</v>
      </c>
    </row>
    <row r="21" spans="1:11" ht="14.25" thickTop="1" thickBot="1" x14ac:dyDescent="0.25">
      <c r="A21" s="2256" t="s">
        <v>632</v>
      </c>
      <c r="B21" s="2257"/>
      <c r="C21" s="1752">
        <f>SUM(C17:C20)</f>
        <v>0</v>
      </c>
      <c r="D21" s="1752">
        <f>SUM(D17:D20)</f>
        <v>0</v>
      </c>
      <c r="E21" s="1752">
        <f>SUM(E17:E20)</f>
        <v>0</v>
      </c>
      <c r="F21" s="1752">
        <f>SUM(F17:F20)</f>
        <v>0</v>
      </c>
      <c r="G21" s="549"/>
    </row>
    <row r="22" spans="1:11" ht="15.75" customHeight="1" thickTop="1" x14ac:dyDescent="0.2">
      <c r="A22" s="2281" t="s">
        <v>1112</v>
      </c>
      <c r="B22" s="2255"/>
      <c r="C22" s="2263"/>
      <c r="D22" s="2264"/>
      <c r="E22" s="2264"/>
      <c r="F22" s="2265"/>
    </row>
    <row r="23" spans="1:11" ht="13.5" thickBot="1" x14ac:dyDescent="0.25">
      <c r="A23" s="2269" t="s">
        <v>633</v>
      </c>
      <c r="B23" s="2270"/>
      <c r="C23" s="578"/>
      <c r="D23" s="578"/>
      <c r="E23" s="578"/>
      <c r="F23" s="1752">
        <f>SUM(C23+D23)-E23</f>
        <v>0</v>
      </c>
      <c r="G23" s="549"/>
    </row>
    <row r="24" spans="1:11" ht="15.75" customHeight="1" thickTop="1" x14ac:dyDescent="0.2">
      <c r="A24" s="2281" t="s">
        <v>1113</v>
      </c>
      <c r="B24" s="2255"/>
      <c r="C24" s="2263"/>
      <c r="D24" s="2264"/>
      <c r="E24" s="2264"/>
      <c r="F24" s="2265"/>
    </row>
    <row r="25" spans="1:11" ht="13.5" thickBot="1" x14ac:dyDescent="0.25">
      <c r="A25" s="2269" t="s">
        <v>634</v>
      </c>
      <c r="B25" s="2270"/>
      <c r="C25" s="578"/>
      <c r="D25" s="578"/>
      <c r="E25" s="578"/>
      <c r="F25" s="1752">
        <f>SUM(C25+D25)-E25</f>
        <v>0</v>
      </c>
      <c r="G25" s="549"/>
    </row>
    <row r="26" spans="1:11" ht="15.75" customHeight="1" thickTop="1" x14ac:dyDescent="0.2">
      <c r="A26" s="2254" t="s">
        <v>657</v>
      </c>
      <c r="B26" s="2255"/>
      <c r="C26" s="724"/>
      <c r="D26" s="724"/>
      <c r="E26" s="724"/>
      <c r="F26" s="725"/>
    </row>
    <row r="27" spans="1:11" ht="13.5" thickBot="1" x14ac:dyDescent="0.25">
      <c r="A27" s="2256" t="s">
        <v>1070</v>
      </c>
      <c r="B27" s="2257"/>
      <c r="C27" s="582"/>
      <c r="D27" s="582"/>
      <c r="E27" s="582"/>
      <c r="F27" s="1752">
        <f>SUM(C27+D27)-E27</f>
        <v>0</v>
      </c>
      <c r="G27" s="549"/>
    </row>
    <row r="28" spans="1:11" ht="7.5" customHeight="1" thickTop="1" x14ac:dyDescent="0.2">
      <c r="A28" s="590"/>
    </row>
    <row r="29" spans="1:11" ht="23.25" customHeight="1" x14ac:dyDescent="0.2">
      <c r="A29" s="2282" t="s">
        <v>582</v>
      </c>
      <c r="B29" s="2259"/>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2083</v>
      </c>
      <c r="B31" s="730">
        <v>42417</v>
      </c>
      <c r="C31" s="731">
        <v>150000</v>
      </c>
      <c r="D31" s="732">
        <v>1</v>
      </c>
      <c r="E31" s="731">
        <v>53000</v>
      </c>
      <c r="F31" s="731"/>
      <c r="G31" s="731"/>
      <c r="H31" s="731">
        <v>53000</v>
      </c>
      <c r="I31" s="1753">
        <f>((E31+F31)-H31)+G31</f>
        <v>0</v>
      </c>
      <c r="J31" s="731">
        <v>-494</v>
      </c>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150000</v>
      </c>
      <c r="D49" s="742"/>
      <c r="E49" s="1753">
        <f t="shared" ref="E49:J49" si="2">SUM(E31:E48)</f>
        <v>53000</v>
      </c>
      <c r="F49" s="1753">
        <f t="shared" si="2"/>
        <v>0</v>
      </c>
      <c r="G49" s="1753">
        <f t="shared" si="2"/>
        <v>0</v>
      </c>
      <c r="H49" s="1753">
        <f t="shared" si="2"/>
        <v>53000</v>
      </c>
      <c r="I49" s="1753">
        <f t="shared" si="2"/>
        <v>0</v>
      </c>
      <c r="J49" s="1753">
        <f t="shared" si="2"/>
        <v>-494</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73" t="s">
        <v>584</v>
      </c>
      <c r="C52" s="2274"/>
      <c r="D52" s="2274"/>
      <c r="E52" s="746" t="s">
        <v>845</v>
      </c>
      <c r="F52" s="2275"/>
      <c r="G52" s="2276"/>
      <c r="H52" s="733"/>
      <c r="I52" s="733"/>
      <c r="J52" s="743"/>
    </row>
    <row r="53" spans="1:11" ht="11.25" customHeight="1" x14ac:dyDescent="0.2">
      <c r="A53" s="747" t="s">
        <v>913</v>
      </c>
      <c r="B53" s="748" t="s">
        <v>951</v>
      </c>
      <c r="C53" s="743"/>
      <c r="D53" s="734"/>
      <c r="E53" s="746" t="s">
        <v>497</v>
      </c>
      <c r="F53" s="2277"/>
      <c r="G53" s="2278"/>
      <c r="H53" s="733"/>
      <c r="I53" s="733"/>
      <c r="J53" s="743"/>
    </row>
    <row r="54" spans="1:11" ht="11.25" customHeight="1" x14ac:dyDescent="0.2">
      <c r="A54" s="749" t="s">
        <v>914</v>
      </c>
      <c r="B54" s="744" t="s">
        <v>952</v>
      </c>
      <c r="C54" s="743"/>
      <c r="D54" s="734"/>
      <c r="E54" s="746" t="s">
        <v>498</v>
      </c>
      <c r="F54" s="2277"/>
      <c r="G54" s="227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7" t="s">
        <v>856</v>
      </c>
      <c r="B1" s="2308"/>
      <c r="C1" s="2308"/>
      <c r="D1" s="2308"/>
      <c r="E1" s="2308"/>
      <c r="F1" s="2308"/>
      <c r="G1" s="2309"/>
      <c r="H1" s="1527"/>
      <c r="I1" s="757"/>
      <c r="J1" s="433"/>
    </row>
    <row r="2" spans="1:11" ht="26.25" x14ac:dyDescent="0.2">
      <c r="A2" s="2286" t="s">
        <v>1677</v>
      </c>
      <c r="B2" s="2287"/>
      <c r="C2" s="2287"/>
      <c r="D2" s="2287"/>
      <c r="E2" s="2288"/>
      <c r="F2" s="758" t="s">
        <v>904</v>
      </c>
      <c r="G2" s="759" t="s">
        <v>1674</v>
      </c>
      <c r="H2" s="759" t="s">
        <v>410</v>
      </c>
      <c r="I2" s="759" t="s">
        <v>1158</v>
      </c>
      <c r="J2" s="759" t="s">
        <v>1812</v>
      </c>
      <c r="K2" s="759" t="s">
        <v>138</v>
      </c>
    </row>
    <row r="3" spans="1:11" x14ac:dyDescent="0.2">
      <c r="A3" s="2289" t="s">
        <v>1964</v>
      </c>
      <c r="B3" s="2290"/>
      <c r="C3" s="2290"/>
      <c r="D3" s="2290"/>
      <c r="E3" s="2291"/>
      <c r="F3" s="760"/>
      <c r="G3" s="761"/>
      <c r="H3" s="761"/>
      <c r="I3" s="761"/>
      <c r="J3" s="762"/>
      <c r="K3" s="762"/>
    </row>
    <row r="4" spans="1:11" x14ac:dyDescent="0.2">
      <c r="A4" s="2292" t="s">
        <v>369</v>
      </c>
      <c r="B4" s="2293"/>
      <c r="C4" s="2293"/>
      <c r="D4" s="2293"/>
      <c r="E4" s="2274"/>
      <c r="F4" s="763"/>
      <c r="G4" s="764"/>
      <c r="H4" s="765"/>
      <c r="I4" s="764"/>
      <c r="J4" s="766"/>
      <c r="K4" s="766"/>
    </row>
    <row r="5" spans="1:11" x14ac:dyDescent="0.2">
      <c r="A5" s="2310" t="s">
        <v>1069</v>
      </c>
      <c r="B5" s="2283"/>
      <c r="C5" s="2283"/>
      <c r="D5" s="2283"/>
      <c r="E5" s="2311"/>
      <c r="F5" s="767" t="s">
        <v>848</v>
      </c>
      <c r="G5" s="768"/>
      <c r="H5" s="761">
        <v>24008</v>
      </c>
      <c r="I5" s="769"/>
      <c r="J5" s="770"/>
      <c r="K5" s="770"/>
    </row>
    <row r="6" spans="1:11" x14ac:dyDescent="0.2">
      <c r="A6" s="771" t="s">
        <v>720</v>
      </c>
      <c r="B6" s="772"/>
      <c r="C6" s="772"/>
      <c r="D6" s="772"/>
      <c r="E6" s="773"/>
      <c r="F6" s="774" t="s">
        <v>849</v>
      </c>
      <c r="G6" s="761"/>
      <c r="H6" s="761">
        <v>3</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310" t="s">
        <v>1813</v>
      </c>
      <c r="B10" s="2283"/>
      <c r="C10" s="2283"/>
      <c r="D10" s="2283"/>
      <c r="E10" s="2312"/>
      <c r="F10" s="780" t="s">
        <v>862</v>
      </c>
      <c r="G10" s="779"/>
      <c r="H10" s="781"/>
      <c r="I10" s="761"/>
      <c r="J10" s="762"/>
      <c r="K10" s="762"/>
    </row>
    <row r="11" spans="1:11" x14ac:dyDescent="0.2">
      <c r="A11" s="2310" t="s">
        <v>160</v>
      </c>
      <c r="B11" s="2283"/>
      <c r="C11" s="2283"/>
      <c r="D11" s="2283"/>
      <c r="E11" s="2311"/>
      <c r="F11" s="767" t="s">
        <v>852</v>
      </c>
      <c r="G11" s="768"/>
      <c r="H11" s="761"/>
      <c r="I11" s="761"/>
      <c r="J11" s="762"/>
      <c r="K11" s="770"/>
    </row>
    <row r="12" spans="1:11" ht="13.5" thickBot="1" x14ac:dyDescent="0.25">
      <c r="A12" s="2300" t="s">
        <v>905</v>
      </c>
      <c r="B12" s="2301"/>
      <c r="C12" s="2301"/>
      <c r="D12" s="2301"/>
      <c r="E12" s="2302"/>
      <c r="F12" s="1754"/>
      <c r="G12" s="1755">
        <f>SUM(G5:G11)</f>
        <v>0</v>
      </c>
      <c r="H12" s="1755">
        <f>SUM(H5:H11)</f>
        <v>24011</v>
      </c>
      <c r="I12" s="1755">
        <f>SUM(I5:I11)</f>
        <v>0</v>
      </c>
      <c r="J12" s="1755">
        <f>SUM(J5:J11)</f>
        <v>0</v>
      </c>
      <c r="K12" s="1755">
        <f>SUM(K5:K11)</f>
        <v>0</v>
      </c>
    </row>
    <row r="13" spans="1:11" ht="13.5" thickTop="1" x14ac:dyDescent="0.2">
      <c r="A13" s="2294" t="s">
        <v>370</v>
      </c>
      <c r="B13" s="2295"/>
      <c r="C13" s="2295"/>
      <c r="D13" s="2295"/>
      <c r="E13" s="2296"/>
      <c r="F13" s="782"/>
      <c r="G13" s="783"/>
      <c r="H13" s="784"/>
      <c r="I13" s="785"/>
      <c r="J13" s="785"/>
      <c r="K13" s="785"/>
    </row>
    <row r="14" spans="1:11" x14ac:dyDescent="0.2">
      <c r="A14" s="2316" t="s">
        <v>456</v>
      </c>
      <c r="B14" s="2316"/>
      <c r="C14" s="2316"/>
      <c r="D14" s="2316"/>
      <c r="E14" s="2317"/>
      <c r="F14" s="786" t="s">
        <v>854</v>
      </c>
      <c r="G14" s="779"/>
      <c r="H14" s="761">
        <v>24011</v>
      </c>
      <c r="I14" s="768"/>
      <c r="J14" s="770"/>
      <c r="K14" s="762"/>
    </row>
    <row r="15" spans="1:11" x14ac:dyDescent="0.2">
      <c r="A15" s="2283" t="s">
        <v>4</v>
      </c>
      <c r="B15" s="2283"/>
      <c r="C15" s="2283"/>
      <c r="D15" s="2283"/>
      <c r="E15" s="2311"/>
      <c r="F15" s="786" t="s">
        <v>855</v>
      </c>
      <c r="G15" s="768"/>
      <c r="H15" s="761"/>
      <c r="I15" s="761"/>
      <c r="J15" s="762"/>
      <c r="K15" s="762"/>
    </row>
    <row r="16" spans="1:11" x14ac:dyDescent="0.2">
      <c r="A16" s="2283" t="s">
        <v>298</v>
      </c>
      <c r="B16" s="2283"/>
      <c r="C16" s="2283"/>
      <c r="D16" s="2283"/>
      <c r="E16" s="2311"/>
      <c r="F16" s="786" t="s">
        <v>923</v>
      </c>
      <c r="G16" s="769"/>
      <c r="H16" s="764"/>
      <c r="I16" s="764"/>
      <c r="J16" s="766"/>
      <c r="K16" s="766"/>
    </row>
    <row r="17" spans="1:11" x14ac:dyDescent="0.2">
      <c r="A17" s="2305" t="s">
        <v>935</v>
      </c>
      <c r="B17" s="2305"/>
      <c r="C17" s="2305"/>
      <c r="D17" s="2305"/>
      <c r="E17" s="2306"/>
      <c r="F17" s="787"/>
      <c r="G17" s="788"/>
      <c r="H17" s="789"/>
      <c r="I17" s="789"/>
      <c r="J17" s="790"/>
      <c r="K17" s="791"/>
    </row>
    <row r="18" spans="1:11" x14ac:dyDescent="0.2">
      <c r="A18" s="2297" t="s">
        <v>368</v>
      </c>
      <c r="B18" s="2298"/>
      <c r="C18" s="2298"/>
      <c r="D18" s="2298"/>
      <c r="E18" s="2299"/>
      <c r="F18" s="786" t="s">
        <v>932</v>
      </c>
      <c r="G18" s="779"/>
      <c r="H18" s="779"/>
      <c r="I18" s="779"/>
      <c r="J18" s="762"/>
      <c r="K18" s="792"/>
    </row>
    <row r="19" spans="1:11" ht="21.75" customHeight="1" x14ac:dyDescent="0.2">
      <c r="A19" s="2318" t="s">
        <v>1809</v>
      </c>
      <c r="B19" s="2318"/>
      <c r="C19" s="2318"/>
      <c r="D19" s="2318"/>
      <c r="E19" s="2319"/>
      <c r="F19" s="786" t="s">
        <v>933</v>
      </c>
      <c r="G19" s="779"/>
      <c r="H19" s="779"/>
      <c r="I19" s="779"/>
      <c r="J19" s="762"/>
      <c r="K19" s="792"/>
    </row>
    <row r="20" spans="1:11" x14ac:dyDescent="0.2">
      <c r="A20" s="2297" t="s">
        <v>1814</v>
      </c>
      <c r="B20" s="2298"/>
      <c r="C20" s="2298"/>
      <c r="D20" s="2298"/>
      <c r="E20" s="2299"/>
      <c r="F20" s="786" t="s">
        <v>934</v>
      </c>
      <c r="G20" s="779"/>
      <c r="H20" s="779"/>
      <c r="I20" s="779"/>
      <c r="J20" s="762"/>
      <c r="K20" s="792"/>
    </row>
    <row r="21" spans="1:11" ht="13.5" thickBot="1" x14ac:dyDescent="0.25">
      <c r="A21" s="2303" t="s">
        <v>638</v>
      </c>
      <c r="B21" s="2303"/>
      <c r="C21" s="2303"/>
      <c r="D21" s="2303"/>
      <c r="E21" s="2303"/>
      <c r="F21" s="1756"/>
      <c r="G21" s="789"/>
      <c r="H21" s="793"/>
      <c r="I21" s="793"/>
      <c r="J21" s="1757">
        <f>SUM(J18:J20)</f>
        <v>0</v>
      </c>
      <c r="K21" s="790"/>
    </row>
    <row r="22" spans="1:11" ht="13.5" thickTop="1" x14ac:dyDescent="0.2">
      <c r="A22" s="2283" t="s">
        <v>1815</v>
      </c>
      <c r="B22" s="2283"/>
      <c r="C22" s="2283"/>
      <c r="D22" s="2283"/>
      <c r="E22" s="2311"/>
      <c r="F22" s="786" t="s">
        <v>862</v>
      </c>
      <c r="G22" s="779"/>
      <c r="H22" s="761"/>
      <c r="I22" s="761"/>
      <c r="J22" s="794"/>
      <c r="K22" s="762"/>
    </row>
    <row r="23" spans="1:11" ht="13.5" thickBot="1" x14ac:dyDescent="0.25">
      <c r="A23" s="2304" t="s">
        <v>906</v>
      </c>
      <c r="B23" s="2303"/>
      <c r="C23" s="2303"/>
      <c r="D23" s="2303"/>
      <c r="E23" s="2303"/>
      <c r="F23" s="1758"/>
      <c r="G23" s="1755">
        <f>SUM(G14:G16,G21,G22)</f>
        <v>0</v>
      </c>
      <c r="H23" s="1755">
        <f>SUM(H14:H16,H21,H22)</f>
        <v>24011</v>
      </c>
      <c r="I23" s="1755">
        <f>SUM(I14:I16,I21,I22)</f>
        <v>0</v>
      </c>
      <c r="J23" s="1755">
        <f>SUM(J14:J16,J21,J22)</f>
        <v>0</v>
      </c>
      <c r="K23" s="1755">
        <f>SUM(K14:K16,K21,K22)</f>
        <v>0</v>
      </c>
    </row>
    <row r="24" spans="1:11" ht="14.25" thickTop="1" thickBot="1" x14ac:dyDescent="0.25">
      <c r="A24" s="2304" t="s">
        <v>1965</v>
      </c>
      <c r="B24" s="2303"/>
      <c r="C24" s="2303"/>
      <c r="D24" s="2303"/>
      <c r="E24" s="2303"/>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13"/>
      <c r="I31" s="2314"/>
      <c r="J31" s="2314"/>
      <c r="K31" s="2314"/>
    </row>
    <row r="32" spans="1:11" x14ac:dyDescent="0.2">
      <c r="A32" s="806"/>
      <c r="B32" s="237"/>
      <c r="C32" s="237"/>
      <c r="D32" s="237"/>
      <c r="E32" s="802"/>
      <c r="F32" s="808" t="s">
        <v>540</v>
      </c>
      <c r="G32" s="761"/>
      <c r="H32" s="2315"/>
      <c r="I32" s="2314"/>
      <c r="J32" s="2314"/>
      <c r="K32" s="2314"/>
    </row>
    <row r="33" spans="1:11" ht="1.5" customHeight="1" x14ac:dyDescent="0.2">
      <c r="A33" s="809" t="s">
        <v>1169</v>
      </c>
      <c r="B33" s="364"/>
      <c r="C33" s="364"/>
      <c r="D33" s="364"/>
      <c r="E33" s="364"/>
      <c r="F33" s="364"/>
      <c r="G33" s="810"/>
      <c r="H33" s="2315"/>
      <c r="I33" s="2314"/>
      <c r="J33" s="2314"/>
      <c r="K33" s="2314"/>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83" t="s">
        <v>541</v>
      </c>
      <c r="B41" s="2284"/>
      <c r="C41" s="2284"/>
      <c r="D41" s="2284"/>
      <c r="E41" s="2284"/>
      <c r="F41" s="2285"/>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2" t="s">
        <v>1909</v>
      </c>
      <c r="B1" s="2323"/>
      <c r="C1" s="2324"/>
      <c r="D1" s="823"/>
      <c r="E1" s="824"/>
      <c r="F1" s="824"/>
      <c r="G1" s="825"/>
      <c r="H1" s="826"/>
      <c r="I1" s="827"/>
      <c r="J1" s="2320"/>
      <c r="K1" s="2321"/>
      <c r="L1" s="2321"/>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277145</v>
      </c>
      <c r="D5" s="838">
        <v>0</v>
      </c>
      <c r="E5" s="838">
        <v>0</v>
      </c>
      <c r="F5" s="1757">
        <f>(C5+D5)-E5</f>
        <v>277145</v>
      </c>
      <c r="G5" s="834"/>
      <c r="H5" s="839"/>
      <c r="I5" s="839"/>
      <c r="J5" s="839"/>
      <c r="K5" s="790"/>
      <c r="L5" s="1766">
        <f>F5-K5</f>
        <v>277145</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4030039</v>
      </c>
      <c r="D8" s="841">
        <v>0</v>
      </c>
      <c r="E8" s="841">
        <v>0</v>
      </c>
      <c r="F8" s="1757">
        <f>(C8+D8)-E8</f>
        <v>4030039</v>
      </c>
      <c r="G8" s="840">
        <v>50</v>
      </c>
      <c r="H8" s="762">
        <v>2085365</v>
      </c>
      <c r="I8" s="762">
        <v>56750</v>
      </c>
      <c r="J8" s="762">
        <v>0</v>
      </c>
      <c r="K8" s="1766">
        <f>(H8+I8)-J8</f>
        <v>2142115</v>
      </c>
      <c r="L8" s="1766">
        <f>F8-K8</f>
        <v>1887924</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35316</v>
      </c>
      <c r="D10" s="843">
        <v>4565</v>
      </c>
      <c r="E10" s="843">
        <v>0</v>
      </c>
      <c r="F10" s="1761">
        <f>(C10+D10)-E10</f>
        <v>39881</v>
      </c>
      <c r="G10" s="840">
        <v>20</v>
      </c>
      <c r="H10" s="844">
        <v>13545</v>
      </c>
      <c r="I10" s="844">
        <v>1994</v>
      </c>
      <c r="J10" s="844">
        <v>0</v>
      </c>
      <c r="K10" s="1766">
        <f>(H10+I10)-J10</f>
        <v>15539</v>
      </c>
      <c r="L10" s="1766">
        <f>F10-K10</f>
        <v>24342</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96162</v>
      </c>
      <c r="D12" s="841">
        <v>44377</v>
      </c>
      <c r="E12" s="841">
        <v>35463</v>
      </c>
      <c r="F12" s="1757">
        <f>(C12+D12)-E12</f>
        <v>105076</v>
      </c>
      <c r="G12" s="840">
        <v>10</v>
      </c>
      <c r="H12" s="762">
        <v>71636</v>
      </c>
      <c r="I12" s="762">
        <v>10492</v>
      </c>
      <c r="J12" s="762">
        <v>35463</v>
      </c>
      <c r="K12" s="1766">
        <f>(H12+I12)-J12</f>
        <v>46665</v>
      </c>
      <c r="L12" s="1766">
        <f>F12-K12</f>
        <v>58411</v>
      </c>
    </row>
    <row r="13" spans="1:14" ht="14.25" thickTop="1" thickBot="1" x14ac:dyDescent="0.25">
      <c r="A13" s="845" t="s">
        <v>1122</v>
      </c>
      <c r="B13" s="837">
        <v>252</v>
      </c>
      <c r="C13" s="841">
        <v>139352</v>
      </c>
      <c r="D13" s="841">
        <v>0</v>
      </c>
      <c r="E13" s="841">
        <v>0</v>
      </c>
      <c r="F13" s="1757">
        <f>(C13+D13)-E13</f>
        <v>139352</v>
      </c>
      <c r="G13" s="840">
        <v>5</v>
      </c>
      <c r="H13" s="762">
        <v>101454</v>
      </c>
      <c r="I13" s="762">
        <v>11492</v>
      </c>
      <c r="J13" s="762">
        <v>0</v>
      </c>
      <c r="K13" s="1766">
        <f>(H13+I13)-J13</f>
        <v>112946</v>
      </c>
      <c r="L13" s="1766">
        <f>F13-K13</f>
        <v>26406</v>
      </c>
    </row>
    <row r="14" spans="1:14" ht="14.25" thickTop="1" thickBot="1" x14ac:dyDescent="0.25">
      <c r="A14" s="845" t="s">
        <v>1123</v>
      </c>
      <c r="B14" s="837">
        <v>253</v>
      </c>
      <c r="C14" s="762">
        <v>2900</v>
      </c>
      <c r="D14" s="762">
        <v>0</v>
      </c>
      <c r="E14" s="762">
        <v>0</v>
      </c>
      <c r="F14" s="1757">
        <f>(C14+D14)-E14</f>
        <v>2900</v>
      </c>
      <c r="G14" s="840">
        <v>3</v>
      </c>
      <c r="H14" s="762">
        <v>2900</v>
      </c>
      <c r="I14" s="762">
        <v>0</v>
      </c>
      <c r="J14" s="762">
        <v>0</v>
      </c>
      <c r="K14" s="1766">
        <f>(H14+I14)-J14</f>
        <v>2900</v>
      </c>
      <c r="L14" s="1766">
        <f>F14-K14</f>
        <v>0</v>
      </c>
    </row>
    <row r="15" spans="1:14" ht="15" customHeight="1" thickTop="1" thickBot="1" x14ac:dyDescent="0.25">
      <c r="A15" s="1628" t="s">
        <v>528</v>
      </c>
      <c r="B15" s="1627">
        <v>260</v>
      </c>
      <c r="C15" s="841">
        <v>0</v>
      </c>
      <c r="D15" s="841">
        <v>20000</v>
      </c>
      <c r="E15" s="841">
        <v>0</v>
      </c>
      <c r="F15" s="1757">
        <f>(C15+D15)-E15</f>
        <v>20000</v>
      </c>
      <c r="G15" s="846" t="s">
        <v>862</v>
      </c>
      <c r="H15" s="778"/>
      <c r="I15" s="778"/>
      <c r="J15" s="778"/>
      <c r="K15" s="778"/>
      <c r="L15" s="1766">
        <f>F15-K15</f>
        <v>20000</v>
      </c>
    </row>
    <row r="16" spans="1:14" ht="15" customHeight="1" thickTop="1" thickBot="1" x14ac:dyDescent="0.25">
      <c r="A16" s="1762" t="s">
        <v>643</v>
      </c>
      <c r="B16" s="1763">
        <v>200</v>
      </c>
      <c r="C16" s="1757">
        <f>SUM(C3,C5:C6,C8:C10,C12:C15)</f>
        <v>4580914</v>
      </c>
      <c r="D16" s="1757">
        <f>SUM(D3,D5:D6,D8:D10,D12:D15)</f>
        <v>68942</v>
      </c>
      <c r="E16" s="1757">
        <f>SUM(E3,E5:E6,E8:E10,E12:E15)</f>
        <v>35463</v>
      </c>
      <c r="F16" s="1757">
        <f>SUM(F3,F5:F6,F8:F10,F12:F15)</f>
        <v>4614393</v>
      </c>
      <c r="G16" s="840"/>
      <c r="H16" s="1757">
        <f>SUM(H3,H6,H8:H10,H12:H14,)</f>
        <v>2274900</v>
      </c>
      <c r="I16" s="1757">
        <f>SUM(I3,I6,I8:I10,I12:I14,)</f>
        <v>80728</v>
      </c>
      <c r="J16" s="1757">
        <f>SUM(J3,J6,J8:J10,J12:J14,)</f>
        <v>35463</v>
      </c>
      <c r="K16" s="1757">
        <f>(H16+I16)-J16</f>
        <v>2320165</v>
      </c>
      <c r="L16" s="1757">
        <f>F16-K16</f>
        <v>2294228</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80728</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E20" sqref="AE20"/>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28" t="s">
        <v>1975</v>
      </c>
      <c r="B1" s="2329"/>
      <c r="C1" s="2329"/>
      <c r="D1" s="2329"/>
      <c r="E1" s="2329"/>
      <c r="F1" s="2330"/>
      <c r="G1" s="852"/>
    </row>
    <row r="2" spans="1:7" ht="15" customHeight="1" thickBot="1" x14ac:dyDescent="0.25">
      <c r="A2" s="2331" t="s">
        <v>477</v>
      </c>
      <c r="B2" s="2332"/>
      <c r="C2" s="2332"/>
      <c r="D2" s="2332"/>
      <c r="E2" s="2332"/>
      <c r="F2" s="2333"/>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34"/>
      <c r="B5" s="2335"/>
      <c r="C5" s="2335"/>
      <c r="D5" s="2335"/>
      <c r="E5" s="2335"/>
      <c r="F5" s="2335"/>
    </row>
    <row r="6" spans="1:7" ht="13.5" customHeight="1" thickBot="1" x14ac:dyDescent="0.25">
      <c r="A6" s="2325" t="s">
        <v>1104</v>
      </c>
      <c r="B6" s="2326"/>
      <c r="C6" s="2326"/>
      <c r="D6" s="2326"/>
      <c r="E6" s="2326"/>
      <c r="F6" s="2327"/>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2007313</v>
      </c>
      <c r="G8" s="862"/>
    </row>
    <row r="9" spans="1:7" x14ac:dyDescent="0.2">
      <c r="A9" s="866" t="s">
        <v>460</v>
      </c>
      <c r="B9" s="867" t="s">
        <v>1877</v>
      </c>
      <c r="C9" s="868"/>
      <c r="D9" s="866" t="s">
        <v>501</v>
      </c>
      <c r="E9" s="865"/>
      <c r="F9" s="1906">
        <f>'Expenditures 15-22'!K151</f>
        <v>193239</v>
      </c>
      <c r="G9" s="869"/>
    </row>
    <row r="10" spans="1:7" x14ac:dyDescent="0.2">
      <c r="A10" s="866" t="s">
        <v>499</v>
      </c>
      <c r="B10" s="867" t="s">
        <v>1878</v>
      </c>
      <c r="C10" s="868"/>
      <c r="D10" s="866" t="s">
        <v>501</v>
      </c>
      <c r="E10" s="865"/>
      <c r="F10" s="1906">
        <f>'Expenditures 15-22'!K174</f>
        <v>54272</v>
      </c>
      <c r="G10" s="869"/>
    </row>
    <row r="11" spans="1:7" x14ac:dyDescent="0.2">
      <c r="A11" s="866" t="s">
        <v>461</v>
      </c>
      <c r="B11" s="867" t="s">
        <v>1879</v>
      </c>
      <c r="C11" s="868"/>
      <c r="D11" s="866" t="s">
        <v>501</v>
      </c>
      <c r="E11" s="865"/>
      <c r="F11" s="1906">
        <f>'Expenditures 15-22'!K210</f>
        <v>164013</v>
      </c>
      <c r="G11" s="869"/>
    </row>
    <row r="12" spans="1:7" x14ac:dyDescent="0.2">
      <c r="A12" s="866" t="s">
        <v>462</v>
      </c>
      <c r="B12" s="867" t="s">
        <v>1880</v>
      </c>
      <c r="C12" s="868"/>
      <c r="D12" s="866" t="s">
        <v>501</v>
      </c>
      <c r="E12" s="865"/>
      <c r="F12" s="1906">
        <f>'Expenditures 15-22'!K295</f>
        <v>65780</v>
      </c>
      <c r="G12" s="869"/>
    </row>
    <row r="13" spans="1:7" x14ac:dyDescent="0.2">
      <c r="A13" s="866" t="s">
        <v>106</v>
      </c>
      <c r="B13" s="867" t="s">
        <v>1881</v>
      </c>
      <c r="C13" s="868"/>
      <c r="D13" s="866" t="s">
        <v>501</v>
      </c>
      <c r="E13" s="865"/>
      <c r="F13" s="1906">
        <f>'Expenditures 15-22'!K342</f>
        <v>164931</v>
      </c>
      <c r="G13" s="870"/>
    </row>
    <row r="14" spans="1:7" ht="12" customHeight="1" thickBot="1" x14ac:dyDescent="0.25">
      <c r="A14" s="1767"/>
      <c r="B14" s="1768"/>
      <c r="C14" s="1769"/>
      <c r="D14" s="1770" t="s">
        <v>501</v>
      </c>
      <c r="E14" s="1771" t="s">
        <v>958</v>
      </c>
      <c r="F14" s="1772">
        <f>SUM(F8:F13)</f>
        <v>2649548</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77364</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59065</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135</v>
      </c>
      <c r="G52" s="862"/>
    </row>
    <row r="53" spans="1:7" x14ac:dyDescent="0.2">
      <c r="A53" s="866" t="s">
        <v>459</v>
      </c>
      <c r="B53" s="866" t="s">
        <v>1475</v>
      </c>
      <c r="C53" s="886">
        <f>'Expenditures 15-22'!B102</f>
        <v>4000</v>
      </c>
      <c r="D53" s="885" t="str">
        <f>'Expenditures 15-22'!A102</f>
        <v>Total Payments to Other Govt Units</v>
      </c>
      <c r="E53" s="865"/>
      <c r="F53" s="1910">
        <f>'Expenditures 15-22'!K102</f>
        <v>748676</v>
      </c>
      <c r="G53" s="862"/>
    </row>
    <row r="54" spans="1:7" x14ac:dyDescent="0.2">
      <c r="A54" s="866" t="s">
        <v>459</v>
      </c>
      <c r="B54" s="866" t="s">
        <v>1476</v>
      </c>
      <c r="C54" s="886" t="s">
        <v>982</v>
      </c>
      <c r="D54" s="882" t="s">
        <v>1095</v>
      </c>
      <c r="E54" s="865"/>
      <c r="F54" s="1910">
        <f>'Expenditures 15-22'!G114</f>
        <v>44377</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24565</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53000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614</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5527</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1013323</v>
      </c>
      <c r="G76" s="862"/>
    </row>
    <row r="77" spans="1:8" s="890" customFormat="1" ht="12" customHeight="1" thickTop="1" thickBot="1" x14ac:dyDescent="0.25">
      <c r="A77" s="1776"/>
      <c r="B77" s="1773"/>
      <c r="C77" s="1769"/>
      <c r="D77" s="1774" t="s">
        <v>1900</v>
      </c>
      <c r="E77" s="1771"/>
      <c r="F77" s="1777">
        <f>(F14-F76)</f>
        <v>1636225</v>
      </c>
      <c r="G77" s="866"/>
    </row>
    <row r="78" spans="1:8" s="890" customFormat="1" ht="12" customHeight="1" thickTop="1" x14ac:dyDescent="0.2">
      <c r="A78" s="1778"/>
      <c r="B78" s="1773"/>
      <c r="C78" s="1769"/>
      <c r="D78" s="1774" t="s">
        <v>2062</v>
      </c>
      <c r="E78" s="1771"/>
      <c r="F78" s="895">
        <v>140.19999999999999</v>
      </c>
      <c r="G78" s="896"/>
      <c r="H78" s="866"/>
    </row>
    <row r="79" spans="1:8" s="890" customFormat="1" ht="12" customHeight="1" thickBot="1" x14ac:dyDescent="0.25">
      <c r="A79" s="1779"/>
      <c r="B79" s="1773"/>
      <c r="C79" s="1769"/>
      <c r="D79" s="1774" t="s">
        <v>1901</v>
      </c>
      <c r="E79" s="1771" t="s">
        <v>958</v>
      </c>
      <c r="F79" s="1780">
        <f>IF(F78&gt;0,F77/F78," Complete Line 78")</f>
        <v>11670.649072753211</v>
      </c>
      <c r="G79" s="866"/>
    </row>
    <row r="80" spans="1:8" s="890" customFormat="1" ht="8.25" customHeight="1" thickTop="1" x14ac:dyDescent="0.2">
      <c r="A80" s="897"/>
      <c r="B80" s="866"/>
      <c r="C80" s="868"/>
      <c r="D80" s="898"/>
      <c r="E80" s="865"/>
      <c r="F80" s="899"/>
      <c r="G80" s="866"/>
    </row>
    <row r="81" spans="1:7" s="890" customFormat="1" ht="12" thickBot="1" x14ac:dyDescent="0.25">
      <c r="A81" s="2325" t="s">
        <v>1105</v>
      </c>
      <c r="B81" s="2326"/>
      <c r="C81" s="2326"/>
      <c r="D81" s="2326"/>
      <c r="E81" s="2326"/>
      <c r="F81" s="2327"/>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13936</v>
      </c>
      <c r="G94" s="909"/>
    </row>
    <row r="95" spans="1:7" x14ac:dyDescent="0.2">
      <c r="A95" s="905" t="s">
        <v>140</v>
      </c>
      <c r="B95" s="905" t="s">
        <v>175</v>
      </c>
      <c r="C95" s="907">
        <v>1700</v>
      </c>
      <c r="D95" s="915" t="str">
        <f>'Revenues 9-14'!A82</f>
        <v>Total District/School Activity Income</v>
      </c>
      <c r="E95" s="903"/>
      <c r="F95" s="1786">
        <f>SUM('Revenues 9-14'!C82,'Revenues 9-14'!D82)</f>
        <v>3403</v>
      </c>
      <c r="G95" s="909"/>
    </row>
    <row r="96" spans="1:7" x14ac:dyDescent="0.2">
      <c r="A96" s="905" t="s">
        <v>459</v>
      </c>
      <c r="B96" s="905" t="s">
        <v>176</v>
      </c>
      <c r="C96" s="907">
        <f>'Revenues 9-14'!B84</f>
        <v>1811</v>
      </c>
      <c r="D96" s="908" t="str">
        <f>'Revenues 9-14'!A84</f>
        <v>Rentals - Regular Textbooks</v>
      </c>
      <c r="E96" s="903"/>
      <c r="F96" s="1786">
        <f>'Revenues 9-14'!C84</f>
        <v>2095</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70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350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16740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34350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570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115826</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49686</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41514</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109743</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3133</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848</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7665</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61436.72</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462115.72</v>
      </c>
    </row>
    <row r="175" spans="1:7" ht="12" customHeight="1" x14ac:dyDescent="0.2">
      <c r="A175" s="1767"/>
      <c r="B175" s="1781"/>
      <c r="C175" s="1782"/>
      <c r="D175" s="1783" t="s">
        <v>2057</v>
      </c>
      <c r="E175" s="1784"/>
      <c r="F175" s="1786">
        <f>'PCTC-OEPP 27-28'!F77-F174</f>
        <v>1174109.28</v>
      </c>
    </row>
    <row r="176" spans="1:7" ht="12" customHeight="1" x14ac:dyDescent="0.2">
      <c r="A176" s="1767"/>
      <c r="B176" s="1781"/>
      <c r="C176" s="1782"/>
      <c r="D176" s="1783" t="s">
        <v>1817</v>
      </c>
      <c r="E176" s="1784"/>
      <c r="F176" s="1786">
        <f>'Cap Outlay Deprec 26'!I18</f>
        <v>80728</v>
      </c>
    </row>
    <row r="177" spans="1:7" ht="12" customHeight="1" x14ac:dyDescent="0.2">
      <c r="A177" s="1767"/>
      <c r="B177" s="1781"/>
      <c r="C177" s="1782"/>
      <c r="D177" s="1783" t="s">
        <v>2058</v>
      </c>
      <c r="E177" s="1784"/>
      <c r="F177" s="1786">
        <f>F175+F176</f>
        <v>1254837.28</v>
      </c>
    </row>
    <row r="178" spans="1:7" ht="12" customHeight="1" x14ac:dyDescent="0.2">
      <c r="A178" s="1767"/>
      <c r="B178" s="1787"/>
      <c r="C178" s="1782"/>
      <c r="D178" s="1783" t="str">
        <f>D78</f>
        <v>9 Month ADA from District Average Daily Attendance/Prior General State Aid Inquiry 2018-2019</v>
      </c>
      <c r="E178" s="1784"/>
      <c r="F178" s="1788">
        <f>'PCTC-OEPP 27-28'!F78</f>
        <v>140.19999999999999</v>
      </c>
      <c r="G178" s="927"/>
    </row>
    <row r="179" spans="1:7" ht="12" customHeight="1" thickBot="1" x14ac:dyDescent="0.25">
      <c r="A179" s="1767"/>
      <c r="B179" s="1787"/>
      <c r="C179" s="1782"/>
      <c r="D179" s="1783" t="s">
        <v>2059</v>
      </c>
      <c r="E179" s="1784" t="s">
        <v>1545</v>
      </c>
      <c r="F179" s="1789">
        <f>F177/F178</f>
        <v>8950.3372325249657</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39" t="s">
        <v>1818</v>
      </c>
      <c r="B4" s="2340"/>
      <c r="C4" s="2340"/>
      <c r="D4" s="2340"/>
      <c r="E4" s="2340"/>
      <c r="F4" s="2340"/>
      <c r="G4" s="2341"/>
    </row>
    <row r="5" spans="1:7" x14ac:dyDescent="0.25">
      <c r="A5" s="2342"/>
      <c r="B5" s="2343"/>
      <c r="C5" s="2343"/>
      <c r="D5" s="2343"/>
      <c r="E5" s="2343"/>
      <c r="F5" s="2343"/>
      <c r="G5" s="2344"/>
    </row>
    <row r="6" spans="1:7" ht="18.75" x14ac:dyDescent="0.25">
      <c r="A6" s="1531" t="s">
        <v>1819</v>
      </c>
      <c r="B6" s="1532"/>
      <c r="C6" s="1532"/>
      <c r="D6" s="1532"/>
      <c r="E6" s="1532"/>
      <c r="F6" s="1532"/>
      <c r="G6" s="1533"/>
    </row>
    <row r="7" spans="1:7" ht="30.75" customHeight="1" x14ac:dyDescent="0.25">
      <c r="A7" s="2345" t="s">
        <v>1932</v>
      </c>
      <c r="B7" s="2346"/>
      <c r="C7" s="2346"/>
      <c r="D7" s="2346"/>
      <c r="E7" s="2346"/>
      <c r="F7" s="2346"/>
      <c r="G7" s="2347"/>
    </row>
    <row r="8" spans="1:7" ht="15.75" customHeight="1" x14ac:dyDescent="0.25">
      <c r="A8" s="2348" t="s">
        <v>1907</v>
      </c>
      <c r="B8" s="2349"/>
      <c r="C8" s="2349"/>
      <c r="D8" s="2349"/>
      <c r="E8" s="2349"/>
      <c r="F8" s="2349"/>
      <c r="G8" s="2350"/>
    </row>
    <row r="9" spans="1:7" ht="35.25" customHeight="1" x14ac:dyDescent="0.25">
      <c r="A9" s="2345" t="s">
        <v>1935</v>
      </c>
      <c r="B9" s="2346"/>
      <c r="C9" s="2346"/>
      <c r="D9" s="2346"/>
      <c r="E9" s="2346"/>
      <c r="F9" s="2346"/>
      <c r="G9" s="2347"/>
    </row>
    <row r="10" spans="1:7" ht="15" customHeight="1" x14ac:dyDescent="0.25">
      <c r="A10" s="1534" t="s">
        <v>1820</v>
      </c>
      <c r="B10" s="1535"/>
      <c r="C10" s="1535"/>
      <c r="D10" s="1535"/>
      <c r="E10" s="1535"/>
      <c r="F10" s="1535"/>
      <c r="G10" s="1536"/>
    </row>
    <row r="11" spans="1:7" ht="17.25" customHeight="1" x14ac:dyDescent="0.25">
      <c r="A11" s="2345" t="s">
        <v>1934</v>
      </c>
      <c r="B11" s="2346"/>
      <c r="C11" s="2346"/>
      <c r="D11" s="2346"/>
      <c r="E11" s="2346"/>
      <c r="F11" s="2346"/>
      <c r="G11" s="2347"/>
    </row>
    <row r="12" spans="1:7" ht="15" customHeight="1" x14ac:dyDescent="0.25">
      <c r="A12" s="1534" t="s">
        <v>1825</v>
      </c>
      <c r="B12" s="1535"/>
      <c r="C12" s="1535"/>
      <c r="D12" s="1535"/>
      <c r="E12" s="1535"/>
      <c r="F12" s="1535"/>
      <c r="G12" s="1536"/>
    </row>
    <row r="13" spans="1:7" ht="32.25" customHeight="1" x14ac:dyDescent="0.25">
      <c r="A13" s="2336" t="s">
        <v>1976</v>
      </c>
      <c r="B13" s="2337"/>
      <c r="C13" s="2337"/>
      <c r="D13" s="2337"/>
      <c r="E13" s="2337"/>
      <c r="F13" s="2337"/>
      <c r="G13" s="2338"/>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009" t="s">
        <v>2165</v>
      </c>
      <c r="B17" s="1935" t="s">
        <v>2100</v>
      </c>
      <c r="C17" s="1653"/>
      <c r="D17" s="1841">
        <v>29896</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4896</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29896</v>
      </c>
      <c r="E141" s="1538">
        <f t="shared" si="0"/>
        <v>25000</v>
      </c>
      <c r="F141" s="1930">
        <f>SUM(F17:F140)</f>
        <v>25000</v>
      </c>
      <c r="G141" s="1792">
        <f>SUM(G17:G140)</f>
        <v>4896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51" t="s">
        <v>1679</v>
      </c>
      <c r="B5" s="2352"/>
      <c r="C5" s="2352"/>
      <c r="D5" s="2352"/>
      <c r="E5" s="2352"/>
      <c r="F5" s="2352"/>
      <c r="G5" s="2353"/>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29850.87</v>
      </c>
      <c r="F10" s="971"/>
      <c r="G10" s="972"/>
      <c r="H10" s="162"/>
      <c r="I10" s="162"/>
    </row>
    <row r="11" spans="1:9" s="665" customFormat="1" ht="22.5" customHeight="1" x14ac:dyDescent="0.2">
      <c r="A11" s="2356" t="s">
        <v>1977</v>
      </c>
      <c r="B11" s="2357"/>
      <c r="C11" s="2357"/>
      <c r="D11" s="2358"/>
      <c r="E11" s="974">
        <v>4975.1899999999996</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872074</v>
      </c>
      <c r="F19" s="1796"/>
      <c r="G19" s="1798">
        <f>'Expenditures 15-22'!K33-SUM('Expenditures 15-22'!G33,'Expenditures 15-22'!I33)+'Expenditures 15-22'!D229</f>
        <v>872074</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5197</v>
      </c>
      <c r="F21" s="1799"/>
      <c r="G21" s="1802">
        <f>'Expenditures 15-22'!K42-SUM('Expenditures 15-22'!G42,'Expenditures 15-22'!I42)+'Expenditures 15-22'!K120-SUM('Expenditures 15-22'!G120,'Expenditures 15-22'!I120)+'Expenditures 15-22'!K180-SUM('Expenditures 15-22'!G180,'Expenditures 15-22'!I180)+'Expenditures 15-22'!D238</f>
        <v>5197</v>
      </c>
      <c r="H21" s="984"/>
      <c r="I21" s="162"/>
    </row>
    <row r="22" spans="1:9" s="665" customFormat="1" ht="12" customHeight="1" x14ac:dyDescent="0.2">
      <c r="A22" s="991" t="s">
        <v>564</v>
      </c>
      <c r="B22" s="992"/>
      <c r="C22" s="990">
        <v>2200</v>
      </c>
      <c r="D22" s="1799"/>
      <c r="E22" s="1801">
        <f>'Expenditures 15-22'!K47-SUM('Expenditures 15-22'!G47,'Expenditures 15-22'!I47)+'Expenditures 15-22'!D243</f>
        <v>62798</v>
      </c>
      <c r="F22" s="1799"/>
      <c r="G22" s="1802">
        <f>'Expenditures 15-22'!K47-SUM('Expenditures 15-22'!G47,'Expenditures 15-22'!I47)+'Expenditures 15-22'!D243</f>
        <v>62798</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276543</v>
      </c>
      <c r="F23" s="1799"/>
      <c r="G23" s="1801">
        <f>'Expenditures 15-22'!K53-SUM('Expenditures 15-22'!G53,'Expenditures 15-22'!I53)+'Expenditures 15-22'!D257+'Expenditures 15-22'!K330-SUM('Expenditures 15-22'!G330,'Expenditures 15-22'!I330)</f>
        <v>276543</v>
      </c>
      <c r="H23" s="984"/>
      <c r="I23" s="162"/>
    </row>
    <row r="24" spans="1:9" s="665" customFormat="1" ht="12" customHeight="1" x14ac:dyDescent="0.2">
      <c r="A24" s="991" t="s">
        <v>566</v>
      </c>
      <c r="B24" s="992"/>
      <c r="C24" s="990">
        <v>2400</v>
      </c>
      <c r="D24" s="1799"/>
      <c r="E24" s="1801">
        <f>'Expenditures 15-22'!K57-SUM('Expenditures 15-22'!G57,'Expenditures 15-22'!I57)+'Expenditures 15-22'!D261</f>
        <v>61241</v>
      </c>
      <c r="F24" s="1799"/>
      <c r="G24" s="1802">
        <f>'Expenditures 15-22'!K57-SUM('Expenditures 15-22'!G57,'Expenditures 15-22'!I57)+'Expenditures 15-22'!D261</f>
        <v>61241</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63674</v>
      </c>
      <c r="E27" s="1801">
        <f>E8</f>
        <v>0</v>
      </c>
      <c r="F27" s="1801">
        <f>'Expenditures 15-22'!K60-SUM('Expenditures 15-22'!G60,'Expenditures 15-22'!I60)+'Expenditures 15-22'!D264-E8</f>
        <v>63674</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175966</v>
      </c>
      <c r="F28" s="1803">
        <f>'Expenditures 15-22'!K61-SUM('Expenditures 15-22'!G61,'Expenditures 15-22'!I61)+'Expenditures 15-22'!K124-SUM('Expenditures 15-22'!G124,'Expenditures 15-22'!I124)+'Expenditures 15-22'!D266-E9</f>
        <v>175966</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177488</v>
      </c>
      <c r="F29" s="1799"/>
      <c r="G29" s="1802">
        <f>'Expenditures 15-22'!K62-SUM('Expenditures 15-22'!G62,'Expenditures 15-22'!I62)+'Expenditures 15-22'!K125-SUM('Expenditures 15-22'!G125,'Expenditures 15-22'!I125)+'Expenditures 15-22'!K182-SUM('Expenditures 15-22'!G182,'Expenditures 15-22'!I182)+'Expenditures 15-22'!D267</f>
        <v>177488</v>
      </c>
      <c r="H29" s="982"/>
    </row>
    <row r="30" spans="1:9" ht="12" customHeight="1" x14ac:dyDescent="0.2">
      <c r="A30" s="991" t="s">
        <v>100</v>
      </c>
      <c r="B30" s="994"/>
      <c r="C30" s="990">
        <v>2560</v>
      </c>
      <c r="D30" s="1799"/>
      <c r="E30" s="1801">
        <f>'Expenditures 15-22'!K63-SUM('Expenditures 15-22'!G63,'Expenditures 15-22'!I63)+'Expenditures 15-22'!D268-E10</f>
        <v>35767.130000000005</v>
      </c>
      <c r="F30" s="1799"/>
      <c r="G30" s="1801">
        <f>'Expenditures 15-22'!K63-SUM('Expenditures 15-22'!G63,'Expenditures 15-22'!I63)+'Expenditures 15-22'!D268-E10</f>
        <v>35767.130000000005</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11397</v>
      </c>
      <c r="F38" s="1799"/>
      <c r="G38" s="1801">
        <f>'Expenditures 15-22'!K73-SUM('Expenditures 15-22'!G73,'Expenditures 15-22'!I73)+'Expenditures 15-22'!K128-SUM('Expenditures 15-22'!G128,'Expenditures 15-22'!I128)+'Expenditures 15-22'!K183-SUM('Expenditures 15-22'!G183,'Expenditures 15-22'!I183)+'Expenditures 15-22'!D278</f>
        <v>11397</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135</v>
      </c>
      <c r="F39" s="1799"/>
      <c r="G39" s="1801">
        <f>'Expenditures 15-22'!K75-SUM('Expenditures 15-22'!G75,'Expenditures 15-22'!I75)+'Expenditures 15-22'!K130-SUM('Expenditures 15-22'!G130,'Expenditures 15-22'!I130)+'Expenditures 15-22'!K185-SUM('Expenditures 15-22'!G185,'Expenditures 15-22'!I185)+'Expenditures 15-22'!D280</f>
        <v>135</v>
      </c>
    </row>
    <row r="40" spans="1:7" ht="12" customHeight="1" x14ac:dyDescent="0.2">
      <c r="A40" s="987" t="s">
        <v>1823</v>
      </c>
      <c r="B40" s="988"/>
      <c r="C40" s="990"/>
      <c r="D40" s="1799"/>
      <c r="E40" s="1803">
        <f>-'Contracts Paid in CY 29'!G141</f>
        <v>-4896</v>
      </c>
      <c r="F40" s="1799"/>
      <c r="G40" s="1803">
        <f>-'Contracts Paid in CY 29'!G141</f>
        <v>-4896</v>
      </c>
    </row>
    <row r="41" spans="1:7" ht="12" customHeight="1" x14ac:dyDescent="0.2">
      <c r="A41" s="995" t="s">
        <v>156</v>
      </c>
      <c r="B41" s="996"/>
      <c r="C41" s="997"/>
      <c r="D41" s="1803">
        <f>SUM(D19:D39)</f>
        <v>63674</v>
      </c>
      <c r="E41" s="1803">
        <f>SUM(E19:E40)</f>
        <v>1673710.13</v>
      </c>
      <c r="F41" s="1803">
        <f>SUM(F19:F39)</f>
        <v>239640</v>
      </c>
      <c r="G41" s="1803">
        <f>SUM(G19:G40)</f>
        <v>1497744.13</v>
      </c>
    </row>
    <row r="42" spans="1:7" x14ac:dyDescent="0.2">
      <c r="A42" s="984"/>
      <c r="B42" s="162"/>
      <c r="C42" s="998"/>
      <c r="D42" s="2354" t="s">
        <v>522</v>
      </c>
      <c r="E42" s="2355"/>
      <c r="F42" s="999" t="s">
        <v>523</v>
      </c>
      <c r="G42" s="1000"/>
    </row>
    <row r="43" spans="1:7" ht="12" customHeight="1" x14ac:dyDescent="0.2">
      <c r="A43" s="984"/>
      <c r="B43" s="162"/>
      <c r="C43" s="998"/>
      <c r="D43" s="1804" t="s">
        <v>473</v>
      </c>
      <c r="E43" s="1805">
        <f>D41</f>
        <v>63674</v>
      </c>
      <c r="F43" s="1804" t="s">
        <v>473</v>
      </c>
      <c r="G43" s="1805">
        <f>F41</f>
        <v>239640</v>
      </c>
    </row>
    <row r="44" spans="1:7" ht="12" customHeight="1" x14ac:dyDescent="0.2">
      <c r="A44" s="984"/>
      <c r="B44" s="162"/>
      <c r="C44" s="998"/>
      <c r="D44" s="1804" t="s">
        <v>474</v>
      </c>
      <c r="E44" s="1805">
        <f>E41</f>
        <v>1673710.13</v>
      </c>
      <c r="F44" s="1804" t="s">
        <v>474</v>
      </c>
      <c r="G44" s="1805">
        <f>G41</f>
        <v>1497744.13</v>
      </c>
    </row>
    <row r="45" spans="1:7" ht="12" customHeight="1" x14ac:dyDescent="0.2">
      <c r="A45" s="984"/>
      <c r="B45" s="162"/>
      <c r="C45" s="162"/>
      <c r="D45" s="1806" t="s">
        <v>1006</v>
      </c>
      <c r="E45" s="1807">
        <f>(E43/E44)</f>
        <v>3.8043624674721901E-2</v>
      </c>
      <c r="F45" s="1806" t="s">
        <v>1006</v>
      </c>
      <c r="G45" s="1807">
        <f>(G43/G44)</f>
        <v>0.16000062707640192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E20" sqref="AE20"/>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62" t="s">
        <v>1379</v>
      </c>
      <c r="B1" s="2362"/>
      <c r="C1" s="2362"/>
      <c r="D1" s="2362"/>
      <c r="E1" s="2362"/>
      <c r="F1" s="2362"/>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63" t="s">
        <v>1546</v>
      </c>
      <c r="B5" s="2364"/>
      <c r="C5" s="2365"/>
      <c r="D5" s="2365"/>
      <c r="E5" s="2365"/>
      <c r="F5" s="2365"/>
    </row>
    <row r="6" spans="1:10" ht="12" customHeight="1" x14ac:dyDescent="0.25">
      <c r="A6" s="1847"/>
      <c r="B6" s="1848"/>
      <c r="C6" s="2366" t="str">
        <f>COVER!A17</f>
        <v>Bradford CUSD 1</v>
      </c>
      <c r="D6" s="2366"/>
      <c r="E6" s="2366"/>
      <c r="F6" s="1849"/>
    </row>
    <row r="7" spans="1:10" ht="11.25" customHeight="1" thickBot="1" x14ac:dyDescent="0.3">
      <c r="A7" s="1847"/>
      <c r="B7" s="1848"/>
      <c r="C7" s="2367">
        <f>COVER!A13</f>
        <v>28088001026</v>
      </c>
      <c r="D7" s="2367"/>
      <c r="E7" s="2367"/>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2070</v>
      </c>
      <c r="D15" s="1862" t="s">
        <v>2070</v>
      </c>
      <c r="E15" s="1865"/>
      <c r="F15" s="1864" t="s">
        <v>2084</v>
      </c>
      <c r="H15" s="1875">
        <f t="shared" si="0"/>
        <v>5</v>
      </c>
      <c r="I15" s="1875">
        <f t="shared" si="1"/>
        <v>5</v>
      </c>
      <c r="J15" s="1875">
        <f t="shared" si="2"/>
        <v>0</v>
      </c>
    </row>
    <row r="16" spans="1:10" ht="12" customHeight="1" x14ac:dyDescent="0.2">
      <c r="A16" s="1860" t="s">
        <v>1388</v>
      </c>
      <c r="B16" s="1861"/>
      <c r="C16" s="1862" t="s">
        <v>2070</v>
      </c>
      <c r="D16" s="1862" t="s">
        <v>2070</v>
      </c>
      <c r="E16" s="1865"/>
      <c r="F16" s="1864" t="s">
        <v>2085</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2070</v>
      </c>
      <c r="D19" s="1862" t="s">
        <v>2070</v>
      </c>
      <c r="E19" s="1865"/>
      <c r="F19" s="1864" t="s">
        <v>2086</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2070</v>
      </c>
      <c r="D24" s="1862" t="s">
        <v>2070</v>
      </c>
      <c r="E24" s="1865"/>
      <c r="F24" s="1864" t="s">
        <v>2087</v>
      </c>
      <c r="H24" s="1875">
        <f t="shared" si="0"/>
        <v>5</v>
      </c>
      <c r="I24" s="1875">
        <f t="shared" si="1"/>
        <v>5</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2088</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2070</v>
      </c>
      <c r="D28" s="1862" t="s">
        <v>2070</v>
      </c>
      <c r="E28" s="1865"/>
      <c r="F28" s="1864" t="s">
        <v>2089</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30</v>
      </c>
      <c r="I34" s="1875">
        <f>SUM(I11:I32)</f>
        <v>30</v>
      </c>
      <c r="J34" s="1875">
        <f>SUM(J11:J32)</f>
        <v>0</v>
      </c>
      <c r="K34" s="1875">
        <f>SUM(H34:J34)</f>
        <v>60</v>
      </c>
    </row>
    <row r="35" spans="1:11" ht="12" customHeight="1" x14ac:dyDescent="0.2">
      <c r="A35" s="1868" t="s">
        <v>1392</v>
      </c>
      <c r="B35" s="1869"/>
      <c r="C35" s="2368"/>
      <c r="D35" s="2368"/>
      <c r="E35" s="2368"/>
      <c r="F35" s="2369"/>
    </row>
    <row r="36" spans="1:11" ht="12" customHeight="1" x14ac:dyDescent="0.2">
      <c r="A36" s="2359"/>
      <c r="B36" s="2360"/>
      <c r="C36" s="2360"/>
      <c r="D36" s="2360"/>
      <c r="E36" s="2360"/>
      <c r="F36" s="2361"/>
    </row>
    <row r="37" spans="1:11" ht="12" customHeight="1" x14ac:dyDescent="0.2">
      <c r="A37" s="2359"/>
      <c r="B37" s="2360"/>
      <c r="C37" s="2360"/>
      <c r="D37" s="2360"/>
      <c r="E37" s="2360"/>
      <c r="F37" s="2361"/>
    </row>
    <row r="38" spans="1:11" ht="12" customHeight="1" x14ac:dyDescent="0.2">
      <c r="A38" s="2373"/>
      <c r="B38" s="2374"/>
      <c r="C38" s="2374"/>
      <c r="D38" s="2374"/>
      <c r="E38" s="2374"/>
      <c r="F38" s="2375"/>
    </row>
    <row r="39" spans="1:11" ht="4.5" hidden="1" customHeight="1" x14ac:dyDescent="0.2">
      <c r="A39" s="1870"/>
      <c r="B39" s="1870"/>
      <c r="C39" s="1870"/>
      <c r="D39" s="1870"/>
      <c r="E39" s="1870"/>
      <c r="F39" s="1870"/>
    </row>
    <row r="40" spans="1:11" s="1867" customFormat="1" ht="12" customHeight="1" x14ac:dyDescent="0.25">
      <c r="A40" s="1871" t="s">
        <v>1391</v>
      </c>
      <c r="B40" s="1872"/>
      <c r="C40" s="2376"/>
      <c r="D40" s="2376"/>
      <c r="E40" s="2376"/>
      <c r="F40" s="2377"/>
      <c r="H40" s="1876"/>
      <c r="I40" s="1876"/>
      <c r="J40" s="1876"/>
      <c r="K40" s="1876"/>
    </row>
    <row r="41" spans="1:11" s="1867" customFormat="1" ht="12" customHeight="1" x14ac:dyDescent="0.25">
      <c r="A41" s="2378"/>
      <c r="B41" s="2379"/>
      <c r="C41" s="2379"/>
      <c r="D41" s="2379"/>
      <c r="E41" s="2379"/>
      <c r="F41" s="2380"/>
      <c r="H41" s="1876"/>
      <c r="I41" s="1876"/>
      <c r="J41" s="1876"/>
      <c r="K41" s="1876"/>
    </row>
    <row r="42" spans="1:11" s="1867" customFormat="1" ht="12" customHeight="1" x14ac:dyDescent="0.25">
      <c r="A42" s="2378"/>
      <c r="B42" s="2379"/>
      <c r="C42" s="2379"/>
      <c r="D42" s="2379"/>
      <c r="E42" s="2379"/>
      <c r="F42" s="2380"/>
      <c r="H42" s="1876"/>
      <c r="I42" s="1876"/>
      <c r="J42" s="1876"/>
      <c r="K42" s="1876"/>
    </row>
    <row r="43" spans="1:11" s="1867" customFormat="1" ht="15" x14ac:dyDescent="0.25">
      <c r="A43" s="2370"/>
      <c r="B43" s="2371"/>
      <c r="C43" s="2371"/>
      <c r="D43" s="2371"/>
      <c r="E43" s="2371"/>
      <c r="F43" s="2372"/>
      <c r="H43" s="1876"/>
      <c r="I43" s="1876"/>
      <c r="J43" s="1876"/>
      <c r="K43" s="1876"/>
    </row>
    <row r="44" spans="1:11" s="1867" customFormat="1" ht="12" hidden="1" customHeight="1" x14ac:dyDescent="0.25">
      <c r="A44" s="2370"/>
      <c r="B44" s="2371"/>
      <c r="C44" s="2371"/>
      <c r="D44" s="2371"/>
      <c r="E44" s="2371"/>
      <c r="F44" s="237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86" t="str">
        <f>COVER!A17</f>
        <v>Bradford CUSD 1</v>
      </c>
      <c r="J6" s="2387"/>
      <c r="Q6" s="1661"/>
    </row>
    <row r="7" spans="1:17" x14ac:dyDescent="0.2">
      <c r="A7" s="2388" t="s">
        <v>869</v>
      </c>
      <c r="B7" s="2389"/>
      <c r="C7" s="2389"/>
      <c r="D7" s="2389"/>
      <c r="E7" s="2390"/>
      <c r="F7" s="1014"/>
      <c r="G7" s="1006"/>
      <c r="H7" s="1013" t="s">
        <v>372</v>
      </c>
      <c r="I7" s="2391">
        <f>COVER!A13</f>
        <v>28088001026</v>
      </c>
      <c r="J7" s="2391"/>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92" t="s">
        <v>481</v>
      </c>
      <c r="B11" s="2393"/>
      <c r="C11" s="2394"/>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72085</v>
      </c>
      <c r="F12" s="1036"/>
      <c r="G12" s="1808">
        <f t="shared" ref="G12:G18" si="0">SUM(E12:F12)</f>
        <v>72085</v>
      </c>
      <c r="H12" s="1037">
        <v>74200</v>
      </c>
      <c r="I12" s="1036"/>
      <c r="J12" s="1808">
        <f t="shared" ref="J12:J18" si="1">SUM(H12:I12)</f>
        <v>74200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95" t="s">
        <v>7</v>
      </c>
      <c r="C18" s="2396"/>
      <c r="D18" s="2397"/>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72085</v>
      </c>
      <c r="F19" s="1810">
        <f t="shared" si="2"/>
        <v>0</v>
      </c>
      <c r="G19" s="1810">
        <f t="shared" si="2"/>
        <v>72085</v>
      </c>
      <c r="H19" s="1810">
        <f t="shared" si="2"/>
        <v>74200</v>
      </c>
      <c r="I19" s="1810">
        <f t="shared" si="2"/>
        <v>0</v>
      </c>
      <c r="J19" s="1810">
        <f t="shared" si="2"/>
        <v>74200</v>
      </c>
    </row>
    <row r="20" spans="1:10" ht="13.5" thickTop="1" x14ac:dyDescent="0.2">
      <c r="A20" s="1032">
        <v>9</v>
      </c>
      <c r="B20" s="2398" t="s">
        <v>1981</v>
      </c>
      <c r="C20" s="2398"/>
      <c r="D20" s="2399"/>
      <c r="E20" s="1043"/>
      <c r="F20" s="1043"/>
      <c r="G20" s="1043"/>
      <c r="H20" s="1043"/>
      <c r="I20" s="1043"/>
      <c r="J20" s="1811">
        <f>IF(AND(G19&gt;0,J19&gt;0),(((J19-G19)/G19)),"Enter Budget Data")</f>
        <v>2.9340362072553236E-2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404"/>
      <c r="D26" s="2404"/>
      <c r="E26" s="1047"/>
      <c r="F26" s="2403"/>
      <c r="G26" s="2403"/>
    </row>
    <row r="27" spans="1:10" x14ac:dyDescent="0.2">
      <c r="B27" s="1044"/>
      <c r="C27" s="1048" t="s">
        <v>1033</v>
      </c>
      <c r="D27" s="1049"/>
      <c r="E27" s="1050"/>
      <c r="F27" s="2400" t="s">
        <v>1509</v>
      </c>
      <c r="G27" s="2400"/>
    </row>
    <row r="28" spans="1:10" ht="28.5" customHeight="1" x14ac:dyDescent="0.2">
      <c r="B28" s="1044"/>
      <c r="C28" s="2402"/>
      <c r="D28" s="2402"/>
      <c r="E28" s="1051"/>
      <c r="F28" s="2402"/>
      <c r="G28" s="2402"/>
    </row>
    <row r="29" spans="1:10" x14ac:dyDescent="0.2">
      <c r="B29" s="1044"/>
      <c r="C29" s="1052" t="s">
        <v>1561</v>
      </c>
      <c r="E29" s="1053"/>
      <c r="F29" s="2401" t="s">
        <v>1510</v>
      </c>
      <c r="G29" s="2401"/>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83" t="s">
        <v>132</v>
      </c>
      <c r="D33" s="2384"/>
      <c r="E33" s="2384"/>
      <c r="F33" s="2384"/>
      <c r="G33" s="2384"/>
      <c r="H33" s="2384"/>
      <c r="I33" s="2384"/>
    </row>
    <row r="34" spans="1:10" ht="10.35" customHeight="1" x14ac:dyDescent="0.2">
      <c r="C34" s="2384"/>
      <c r="D34" s="2384"/>
      <c r="E34" s="2384"/>
      <c r="F34" s="2384"/>
      <c r="G34" s="2384"/>
      <c r="H34" s="2384"/>
      <c r="I34" s="2384"/>
    </row>
    <row r="35" spans="1:10" ht="7.5" customHeight="1" x14ac:dyDescent="0.2">
      <c r="C35" s="1059"/>
    </row>
    <row r="36" spans="1:10" ht="13.5" customHeight="1" x14ac:dyDescent="0.2">
      <c r="B36" s="1058"/>
      <c r="C36" s="2385" t="s">
        <v>1983</v>
      </c>
      <c r="D36" s="2384"/>
      <c r="E36" s="2384"/>
      <c r="F36" s="2384"/>
      <c r="G36" s="2384"/>
      <c r="H36" s="2384"/>
      <c r="I36" s="2384"/>
      <c r="J36" s="1060"/>
    </row>
    <row r="37" spans="1:10" ht="22.5" customHeight="1" x14ac:dyDescent="0.2">
      <c r="C37" s="2384"/>
      <c r="D37" s="2384"/>
      <c r="E37" s="2384"/>
      <c r="F37" s="2384"/>
      <c r="G37" s="2384"/>
      <c r="H37" s="2384"/>
      <c r="I37" s="2384"/>
      <c r="J37" s="1060"/>
    </row>
    <row r="38" spans="1:10" ht="7.5" customHeight="1" x14ac:dyDescent="0.2">
      <c r="C38" s="1059"/>
      <c r="D38" s="1061"/>
      <c r="E38" s="1062"/>
      <c r="F38" s="1063"/>
      <c r="G38" s="1062"/>
    </row>
    <row r="39" spans="1:10" ht="13.5" customHeight="1" x14ac:dyDescent="0.2">
      <c r="B39" s="1058"/>
      <c r="C39" s="2381" t="s">
        <v>882</v>
      </c>
      <c r="D39" s="2382"/>
      <c r="E39" s="2382"/>
      <c r="F39" s="2382"/>
      <c r="G39" s="2382"/>
      <c r="H39" s="2382"/>
      <c r="I39" s="2382"/>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2156</v>
      </c>
    </row>
    <row r="6" spans="1:2" x14ac:dyDescent="0.2">
      <c r="A6" s="1065">
        <v>2</v>
      </c>
      <c r="B6" s="329" t="s">
        <v>2157</v>
      </c>
    </row>
    <row r="7" spans="1:2" x14ac:dyDescent="0.2">
      <c r="A7" s="1065">
        <v>3</v>
      </c>
      <c r="B7" s="329" t="s">
        <v>2158</v>
      </c>
    </row>
    <row r="8" spans="1:2" x14ac:dyDescent="0.2">
      <c r="A8" s="1065">
        <v>4</v>
      </c>
      <c r="B8" s="329" t="s">
        <v>2159</v>
      </c>
    </row>
    <row r="9" spans="1:2" x14ac:dyDescent="0.2">
      <c r="A9" s="1065">
        <v>5</v>
      </c>
      <c r="B9" s="329" t="s">
        <v>2160</v>
      </c>
    </row>
    <row r="10" spans="1:2" x14ac:dyDescent="0.2">
      <c r="A10" s="1065">
        <v>6</v>
      </c>
      <c r="B10" s="329" t="s">
        <v>2161</v>
      </c>
    </row>
    <row r="11" spans="1:2" x14ac:dyDescent="0.2">
      <c r="A11" s="1065">
        <v>7</v>
      </c>
      <c r="B11" s="329" t="s">
        <v>2162</v>
      </c>
    </row>
    <row r="12" spans="1:2" x14ac:dyDescent="0.2">
      <c r="A12" s="1066">
        <v>8</v>
      </c>
      <c r="B12" s="329" t="s">
        <v>2166</v>
      </c>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Bradford CUSD 1</v>
      </c>
    </row>
    <row r="65" spans="2:2" x14ac:dyDescent="0.2">
      <c r="B65" s="1067">
        <f>COVER!A13</f>
        <v>28088001026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2" t="s">
        <v>1065</v>
      </c>
      <c r="B35" s="2122"/>
      <c r="C35" s="2122"/>
      <c r="D35" s="2122"/>
      <c r="E35" s="212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9" t="s">
        <v>691</v>
      </c>
      <c r="B40" s="2119"/>
      <c r="C40" s="2119"/>
      <c r="D40" s="2119"/>
      <c r="E40" s="2119"/>
    </row>
    <row r="41" spans="1:5" x14ac:dyDescent="0.2">
      <c r="A41" s="2120" t="s">
        <v>1608</v>
      </c>
      <c r="B41" s="2120"/>
      <c r="C41" s="2120"/>
      <c r="D41" s="2120"/>
      <c r="E41" s="2120"/>
    </row>
    <row r="42" spans="1:5" ht="12.75" customHeight="1" x14ac:dyDescent="0.2">
      <c r="A42" s="2121" t="s">
        <v>1022</v>
      </c>
      <c r="B42" s="2121"/>
      <c r="C42" s="2121"/>
      <c r="D42" s="2121"/>
      <c r="E42" s="212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05" t="s">
        <v>1685</v>
      </c>
      <c r="B18" s="240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381000</xdr:colOff>
                <xdr:row>3</xdr:row>
                <xdr:rowOff>123825</xdr:rowOff>
              </from>
              <to>
                <xdr:col>1</xdr:col>
                <xdr:colOff>1295400</xdr:colOff>
                <xdr:row>8</xdr:row>
                <xdr:rowOff>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1476375</xdr:colOff>
                <xdr:row>3</xdr:row>
                <xdr:rowOff>133350</xdr:rowOff>
              </from>
              <to>
                <xdr:col>1</xdr:col>
                <xdr:colOff>2381250</xdr:colOff>
                <xdr:row>8</xdr:row>
                <xdr:rowOff>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6" t="s">
        <v>1690</v>
      </c>
      <c r="B1" s="2407"/>
      <c r="C1" s="2407"/>
      <c r="D1" s="2407"/>
      <c r="E1" s="2407"/>
      <c r="F1" s="2408"/>
    </row>
    <row r="2" spans="1:8" ht="45" customHeight="1" x14ac:dyDescent="0.2">
      <c r="A2" s="2416" t="s">
        <v>1987</v>
      </c>
      <c r="B2" s="2417"/>
      <c r="C2" s="2417"/>
      <c r="D2" s="2417"/>
      <c r="E2" s="2417"/>
      <c r="F2" s="2418"/>
      <c r="G2" s="1071"/>
      <c r="H2" s="1071"/>
    </row>
    <row r="3" spans="1:8" ht="57" customHeight="1" x14ac:dyDescent="0.2">
      <c r="A3" s="2419" t="s">
        <v>1686</v>
      </c>
      <c r="B3" s="2420"/>
      <c r="C3" s="2420"/>
      <c r="D3" s="2420"/>
      <c r="E3" s="2420"/>
      <c r="F3" s="2421"/>
      <c r="G3" s="1071"/>
      <c r="H3" s="1071"/>
    </row>
    <row r="4" spans="1:8" ht="14.25" customHeight="1" x14ac:dyDescent="0.2">
      <c r="A4" s="2425" t="s">
        <v>1988</v>
      </c>
      <c r="B4" s="2426"/>
      <c r="C4" s="2426"/>
      <c r="D4" s="2426"/>
      <c r="E4" s="2426"/>
      <c r="F4" s="2427"/>
      <c r="G4" s="1071"/>
      <c r="H4" s="1071"/>
    </row>
    <row r="5" spans="1:8" ht="14.25" customHeight="1" x14ac:dyDescent="0.2">
      <c r="A5" s="2428" t="s">
        <v>1984</v>
      </c>
      <c r="B5" s="2429"/>
      <c r="C5" s="2429"/>
      <c r="D5" s="2429"/>
      <c r="E5" s="2429"/>
      <c r="F5" s="2430"/>
      <c r="G5" s="1071"/>
      <c r="H5" s="1071"/>
    </row>
    <row r="6" spans="1:8" s="1072" customFormat="1" ht="41.25" customHeight="1" x14ac:dyDescent="0.2">
      <c r="A6" s="2422" t="s">
        <v>1691</v>
      </c>
      <c r="B6" s="2423"/>
      <c r="C6" s="2423"/>
      <c r="D6" s="2423"/>
      <c r="E6" s="2423"/>
      <c r="F6" s="2424"/>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2615950</v>
      </c>
      <c r="C8" s="1812">
        <f>'Acct Summary 7-8'!D8</f>
        <v>311021</v>
      </c>
      <c r="D8" s="1812">
        <f>'Acct Summary 7-8'!F8</f>
        <v>241709</v>
      </c>
      <c r="E8" s="1812">
        <f>'Acct Summary 7-8'!I8</f>
        <v>31863</v>
      </c>
      <c r="F8" s="1812">
        <f>SUM(B8:E8)</f>
        <v>3200543</v>
      </c>
    </row>
    <row r="9" spans="1:8" s="1076" customFormat="1" ht="14.25" customHeight="1" thickBot="1" x14ac:dyDescent="0.25">
      <c r="A9" s="1075" t="s">
        <v>1369</v>
      </c>
      <c r="B9" s="1813">
        <f>'Acct Summary 7-8'!C17</f>
        <v>2007313</v>
      </c>
      <c r="C9" s="1813">
        <f>'Acct Summary 7-8'!D17</f>
        <v>193239</v>
      </c>
      <c r="D9" s="1813">
        <f>'Acct Summary 7-8'!F17</f>
        <v>164013</v>
      </c>
      <c r="E9" s="1812"/>
      <c r="F9" s="1812">
        <f>SUM(B9:E9)</f>
        <v>2364565</v>
      </c>
    </row>
    <row r="10" spans="1:8" s="1076" customFormat="1" ht="14.25" thickTop="1" thickBot="1" x14ac:dyDescent="0.25">
      <c r="A10" s="1077" t="s">
        <v>1370</v>
      </c>
      <c r="B10" s="1814">
        <f>(B8-B9)</f>
        <v>608637</v>
      </c>
      <c r="C10" s="1814">
        <f>(C8-C9)</f>
        <v>117782</v>
      </c>
      <c r="D10" s="1814">
        <f>(D8-D9)</f>
        <v>77696</v>
      </c>
      <c r="E10" s="1813">
        <f>(E8-E9)</f>
        <v>31863</v>
      </c>
      <c r="F10" s="1815">
        <f>SUM(F8-F9)</f>
        <v>835978</v>
      </c>
    </row>
    <row r="11" spans="1:8" s="1076" customFormat="1" ht="14.25" thickTop="1" thickBot="1" x14ac:dyDescent="0.25">
      <c r="A11" s="1078" t="s">
        <v>1985</v>
      </c>
      <c r="B11" s="1816">
        <f>'Acct Summary 7-8'!C81</f>
        <v>1791300</v>
      </c>
      <c r="C11" s="1816">
        <f>'Acct Summary 7-8'!D81</f>
        <v>836474</v>
      </c>
      <c r="D11" s="1816">
        <f>'Acct Summary 7-8'!F81</f>
        <v>687262</v>
      </c>
      <c r="E11" s="1816">
        <f>'Acct Summary 7-8'!I81</f>
        <v>238830</v>
      </c>
      <c r="F11" s="1817">
        <f>SUM(B11:E11)</f>
        <v>3553866</v>
      </c>
    </row>
    <row r="12" spans="1:8" ht="16.5" customHeight="1" thickTop="1" x14ac:dyDescent="0.2">
      <c r="A12" s="1079"/>
      <c r="B12" s="1080"/>
      <c r="C12" s="2410" t="str">
        <f>IF(AND(F10&lt;0,F11&gt;=0,ABS(F10*3)&gt;ABS(F11)),A16,IF(AND(F10&lt;0,F11&gt;0,ABS(F10*3)&lt;=ABS(F11)),A17,IF(AND(F10&lt;0,F11&lt;0),A16,IF(F11=0,A19,A18))))</f>
        <v>Balanced - no deficit reduction plan is required.</v>
      </c>
      <c r="D12" s="2411"/>
      <c r="E12" s="2411"/>
      <c r="F12" s="2412"/>
    </row>
    <row r="13" spans="1:8" ht="19.5" customHeight="1" x14ac:dyDescent="0.2">
      <c r="A13" s="1081"/>
      <c r="B13" s="1082"/>
      <c r="C13" s="2410"/>
      <c r="D13" s="2411"/>
      <c r="E13" s="2411"/>
      <c r="F13" s="2412"/>
      <c r="H13" s="1071"/>
    </row>
    <row r="14" spans="1:8" ht="19.5" customHeight="1" x14ac:dyDescent="0.2">
      <c r="A14" s="1081"/>
      <c r="B14" s="1082"/>
      <c r="C14" s="2410"/>
      <c r="D14" s="2411"/>
      <c r="E14" s="2411"/>
      <c r="F14" s="2412"/>
      <c r="H14" s="1071"/>
    </row>
    <row r="15" spans="1:8" ht="17.25" customHeight="1" x14ac:dyDescent="0.2">
      <c r="A15" s="1081"/>
      <c r="B15" s="1082"/>
      <c r="C15" s="2413"/>
      <c r="D15" s="2414"/>
      <c r="E15" s="2414"/>
      <c r="F15" s="2415"/>
      <c r="H15" s="1071"/>
    </row>
    <row r="16" spans="1:8" s="310" customFormat="1" ht="51.75" hidden="1" customHeight="1" x14ac:dyDescent="0.2">
      <c r="A16" s="2409" t="s">
        <v>1687</v>
      </c>
      <c r="B16" s="2409"/>
      <c r="C16" s="2409"/>
      <c r="D16" s="2409"/>
      <c r="E16" s="2409"/>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31" t="s">
        <v>665</v>
      </c>
      <c r="B3" s="2432"/>
      <c r="C3" s="2432"/>
      <c r="D3" s="2433"/>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42" t="s">
        <v>1504</v>
      </c>
      <c r="D7" s="2443"/>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34" t="s">
        <v>1008</v>
      </c>
      <c r="B15" s="2435"/>
      <c r="C15" s="2435"/>
      <c r="D15" s="2436"/>
    </row>
    <row r="16" spans="1:4" s="665" customFormat="1" ht="24" customHeight="1" x14ac:dyDescent="0.2">
      <c r="A16" s="2437" t="s">
        <v>663</v>
      </c>
      <c r="B16" s="2438"/>
      <c r="C16" s="2438"/>
      <c r="D16" s="2439"/>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46" t="s">
        <v>314</v>
      </c>
      <c r="D21" s="2447"/>
    </row>
    <row r="22" spans="1:10" ht="12.75" x14ac:dyDescent="0.2">
      <c r="A22" s="1136"/>
      <c r="B22" s="1137">
        <v>2</v>
      </c>
      <c r="C22" s="2444" t="s">
        <v>1524</v>
      </c>
      <c r="D22" s="2445"/>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48" t="s">
        <v>536</v>
      </c>
      <c r="D43" s="2449"/>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40" t="s">
        <v>784</v>
      </c>
      <c r="D56" s="2441"/>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40" t="s">
        <v>1696</v>
      </c>
      <c r="D70" s="2441"/>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28088001026</v>
      </c>
    </row>
    <row r="3" spans="1:2" x14ac:dyDescent="0.2">
      <c r="A3" t="s">
        <v>956</v>
      </c>
      <c r="B3" s="138" t="str">
        <f>COVER!A15</f>
        <v>Stark</v>
      </c>
    </row>
    <row r="4" spans="1:2" x14ac:dyDescent="0.2">
      <c r="A4" t="s">
        <v>1007</v>
      </c>
      <c r="B4" s="138" t="str">
        <f>COVER!A17</f>
        <v>Bradford CUSD 1</v>
      </c>
    </row>
    <row r="5" spans="1:2" x14ac:dyDescent="0.2">
      <c r="A5" t="s">
        <v>704</v>
      </c>
      <c r="B5" s="138" t="str">
        <f>COVER!A38</f>
        <v>Chad Gripp</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1791300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1693322</v>
      </c>
      <c r="D92" s="2" t="str">
        <f t="shared" si="0"/>
        <v>Error?</v>
      </c>
    </row>
    <row r="93" spans="1:4" x14ac:dyDescent="0.2">
      <c r="A93" s="5">
        <v>32</v>
      </c>
      <c r="B93" s="138">
        <f>'Assets-Liab 5-6'!C41</f>
        <v>1791300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836474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836474</v>
      </c>
      <c r="D123" s="2" t="str">
        <f t="shared" si="0"/>
        <v>Error?</v>
      </c>
    </row>
    <row r="124" spans="1:4" x14ac:dyDescent="0.2">
      <c r="A124" s="5">
        <v>63</v>
      </c>
      <c r="B124" s="138">
        <f>'Assets-Liab 5-6'!D41</f>
        <v>836474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494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494</v>
      </c>
      <c r="D140" s="2" t="str">
        <f t="shared" si="1"/>
        <v>Error?</v>
      </c>
    </row>
    <row r="141" spans="1:4" x14ac:dyDescent="0.2">
      <c r="A141" s="5">
        <v>80</v>
      </c>
      <c r="B141" s="138">
        <f>'Assets-Liab 5-6'!E41</f>
        <v>494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687262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687262</v>
      </c>
      <c r="D170" s="2" t="str">
        <f t="shared" si="1"/>
        <v>Error?</v>
      </c>
    </row>
    <row r="171" spans="1:4" x14ac:dyDescent="0.2">
      <c r="A171" s="5">
        <v>110</v>
      </c>
      <c r="B171" s="138">
        <f>'Assets-Liab 5-6'!F41</f>
        <v>687262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69381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36230</v>
      </c>
      <c r="D189" s="2" t="str">
        <f t="shared" si="1"/>
        <v>Error?</v>
      </c>
    </row>
    <row r="190" spans="1:4" x14ac:dyDescent="0.2">
      <c r="A190" s="5">
        <v>129</v>
      </c>
      <c r="B190" s="138">
        <f>'Assets-Liab 5-6'!G41</f>
        <v>69381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277145</v>
      </c>
      <c r="D273" s="2" t="str">
        <f t="shared" si="3"/>
        <v>Error?</v>
      </c>
    </row>
    <row r="274" spans="1:4" x14ac:dyDescent="0.2">
      <c r="A274" s="5">
        <v>213</v>
      </c>
      <c r="B274" s="138">
        <f>'Assets-Liab 5-6'!M17</f>
        <v>4030039</v>
      </c>
      <c r="D274" s="2" t="str">
        <f t="shared" si="3"/>
        <v>Error?</v>
      </c>
    </row>
    <row r="275" spans="1:4" x14ac:dyDescent="0.2">
      <c r="A275" s="5">
        <v>214</v>
      </c>
      <c r="B275" s="138">
        <f>'Assets-Liab 5-6'!M18</f>
        <v>39881</v>
      </c>
      <c r="D275" s="2" t="str">
        <f t="shared" si="3"/>
        <v>Error?</v>
      </c>
    </row>
    <row r="276" spans="1:4" x14ac:dyDescent="0.2">
      <c r="A276" s="5">
        <v>215</v>
      </c>
      <c r="B276" s="138">
        <f>'Assets-Liab 5-6'!M19</f>
        <v>247328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4614393</v>
      </c>
      <c r="C279" s="2" t="s">
        <v>573</v>
      </c>
      <c r="D279" s="2" t="str">
        <f t="shared" si="3"/>
        <v>Error?</v>
      </c>
    </row>
    <row r="280" spans="1:4" x14ac:dyDescent="0.2">
      <c r="A280" s="5">
        <v>219</v>
      </c>
      <c r="B280" s="138">
        <f>'Assets-Liab 5-6'!M40</f>
        <v>4614393</v>
      </c>
      <c r="D280" s="2" t="str">
        <f t="shared" si="3"/>
        <v>Error?</v>
      </c>
    </row>
    <row r="281" spans="1:4" x14ac:dyDescent="0.2">
      <c r="A281" s="5">
        <v>220</v>
      </c>
      <c r="B281" s="138">
        <f>'Assets-Liab 5-6'!M41</f>
        <v>4614393</v>
      </c>
      <c r="C281" s="2" t="s">
        <v>573</v>
      </c>
      <c r="D281" s="2" t="str">
        <f t="shared" si="3"/>
        <v>Error?</v>
      </c>
    </row>
    <row r="282" spans="1:4" x14ac:dyDescent="0.2">
      <c r="A282" s="5">
        <v>221</v>
      </c>
      <c r="B282" s="138">
        <f>'Assets-Liab 5-6'!N21</f>
        <v>494</v>
      </c>
      <c r="D282" s="2" t="str">
        <f t="shared" si="3"/>
        <v>Error?</v>
      </c>
    </row>
    <row r="283" spans="1:4" x14ac:dyDescent="0.2">
      <c r="A283" s="5">
        <v>222</v>
      </c>
      <c r="B283" s="138">
        <f>'Assets-Liab 5-6'!N22</f>
        <v>-494</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336513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17001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530607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3866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3866</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28290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28290</v>
      </c>
      <c r="C731" s="2" t="s">
        <v>573</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58013</v>
      </c>
      <c r="D733" s="2" t="str">
        <f t="shared" si="10"/>
        <v>Error?</v>
      </c>
    </row>
    <row r="734" spans="1:4" x14ac:dyDescent="0.2">
      <c r="A734" s="5">
        <v>673</v>
      </c>
      <c r="B734" s="138">
        <f>'Expenditures 15-22'!C53</f>
        <v>60013</v>
      </c>
      <c r="C734" s="2" t="s">
        <v>573</v>
      </c>
      <c r="D734" s="2" t="str">
        <f t="shared" si="10"/>
        <v>Error?</v>
      </c>
    </row>
    <row r="735" spans="1:4" x14ac:dyDescent="0.2">
      <c r="A735" s="5">
        <v>674</v>
      </c>
      <c r="B735" s="138">
        <f>'Expenditures 15-22'!C55</f>
        <v>51214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51214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31094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29797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60891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10587</v>
      </c>
      <c r="D754" s="2" t="str">
        <f t="shared" si="10"/>
        <v>Error?</v>
      </c>
    </row>
    <row r="755" spans="1:4" x14ac:dyDescent="0.2">
      <c r="A755" s="5">
        <v>694</v>
      </c>
      <c r="B755" s="138">
        <f>'Expenditures 15-22'!C74</f>
        <v>214861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745468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78440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115064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10464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10464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13952</v>
      </c>
      <c r="D791" s="2" t="str">
        <f t="shared" si="11"/>
        <v>Error?</v>
      </c>
    </row>
    <row r="792" spans="1:4" x14ac:dyDescent="0.2">
      <c r="A792" s="5">
        <v>731</v>
      </c>
      <c r="B792" s="138">
        <f>'Expenditures 15-22'!D53</f>
        <v>13952</v>
      </c>
      <c r="C792" s="2" t="s">
        <v>573</v>
      </c>
      <c r="D792" s="2" t="str">
        <f t="shared" si="11"/>
        <v>Error?</v>
      </c>
    </row>
    <row r="793" spans="1:4" x14ac:dyDescent="0.2">
      <c r="A793" s="5">
        <v>732</v>
      </c>
      <c r="B793" s="138">
        <f>'Expenditures 15-22'!D55</f>
        <v>5750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5750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6851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1751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8602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38768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153832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41854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47385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3200</v>
      </c>
      <c r="D844" s="2" t="str">
        <f t="shared" si="12"/>
        <v>Error?</v>
      </c>
    </row>
    <row r="845" spans="1:4" x14ac:dyDescent="0.2">
      <c r="A845" s="5">
        <v>784</v>
      </c>
      <c r="B845" s="138">
        <f>'Expenditures 15-22'!E45</f>
        <v>966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4166</v>
      </c>
      <c r="C847" s="2" t="s">
        <v>573</v>
      </c>
      <c r="D847" s="2" t="str">
        <f t="shared" si="12"/>
        <v>Error?</v>
      </c>
    </row>
    <row r="848" spans="1:4" x14ac:dyDescent="0.2">
      <c r="A848" s="5">
        <v>787</v>
      </c>
      <c r="B848" s="138">
        <f>'Expenditures 15-22'!E49</f>
        <v>26578</v>
      </c>
      <c r="D848" s="2" t="str">
        <f t="shared" si="12"/>
        <v>Error?</v>
      </c>
    </row>
    <row r="849" spans="1:4" x14ac:dyDescent="0.2">
      <c r="A849" s="5">
        <v>788</v>
      </c>
      <c r="B849" s="138">
        <f>'Expenditures 15-22'!E50</f>
        <v>120</v>
      </c>
      <c r="D849" s="2" t="str">
        <f t="shared" si="12"/>
        <v>Error?</v>
      </c>
    </row>
    <row r="850" spans="1:4" x14ac:dyDescent="0.2">
      <c r="A850" s="5">
        <v>789</v>
      </c>
      <c r="B850" s="138">
        <f>'Expenditures 15-22'!E53</f>
        <v>26698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v>
      </c>
      <c r="D855" s="2" t="str">
        <f t="shared" si="12"/>
        <v>Error?</v>
      </c>
    </row>
    <row r="856" spans="1:4" x14ac:dyDescent="0.2">
      <c r="A856" s="5">
        <v>795</v>
      </c>
      <c r="B856" s="138">
        <f>'Expenditures 15-22'!E61</f>
        <v>550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31429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78814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68395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2054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91534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742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742</v>
      </c>
      <c r="C901" s="2" t="s">
        <v>573</v>
      </c>
      <c r="D901" s="2" t="str">
        <f t="shared" si="13"/>
        <v>Error?</v>
      </c>
    </row>
    <row r="902" spans="1:4" x14ac:dyDescent="0.2">
      <c r="A902" s="5">
        <v>841</v>
      </c>
      <c r="B902" s="138">
        <f>'Expenditures 15-22'!F44</f>
        <v>18076</v>
      </c>
      <c r="D902" s="2" t="str">
        <f t="shared" si="13"/>
        <v>Error?</v>
      </c>
    </row>
    <row r="903" spans="1:4" x14ac:dyDescent="0.2">
      <c r="A903" s="5">
        <v>842</v>
      </c>
      <c r="B903" s="138">
        <f>'Expenditures 15-22'!F45</f>
        <v>742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18818</v>
      </c>
      <c r="C905" s="2" t="s">
        <v>573</v>
      </c>
      <c r="D905" s="2" t="str">
        <f t="shared" si="13"/>
        <v>Error?</v>
      </c>
    </row>
    <row r="906" spans="1:4" x14ac:dyDescent="0.2">
      <c r="A906" s="5">
        <v>845</v>
      </c>
      <c r="B906" s="138">
        <f>'Expenditures 15-22'!F49</f>
        <v>423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423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21255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29851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51106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71089</v>
      </c>
      <c r="C929" s="2" t="s">
        <v>573</v>
      </c>
      <c r="D929" s="2" t="str">
        <f t="shared" si="13"/>
        <v>Error?</v>
      </c>
    </row>
    <row r="930" spans="1:4" x14ac:dyDescent="0.2">
      <c r="A930" s="5">
        <v>869</v>
      </c>
      <c r="B930" s="138">
        <f>'Expenditures 15-22'!F75</f>
        <v>135</v>
      </c>
      <c r="D930" s="2" t="str">
        <f t="shared" si="13"/>
        <v>Error?</v>
      </c>
    </row>
    <row r="931" spans="1:4" x14ac:dyDescent="0.2">
      <c r="A931" s="5">
        <v>870</v>
      </c>
      <c r="B931" s="138">
        <f>'Expenditures 15-22'!F114</f>
        <v>162758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39570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39570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4807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4807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4807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44377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7997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2107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69169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659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659</v>
      </c>
      <c r="C1021" s="2" t="s">
        <v>573</v>
      </c>
      <c r="D1021" s="2" t="str">
        <f t="shared" si="14"/>
        <v>Error?</v>
      </c>
    </row>
    <row r="1022" spans="1:4" x14ac:dyDescent="0.2">
      <c r="A1022" s="5">
        <v>961</v>
      </c>
      <c r="B1022" s="138">
        <f>'Expenditures 15-22'!H49</f>
        <v>3165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3165</v>
      </c>
      <c r="C1024" s="2" t="s">
        <v>573</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4219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748676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822064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572769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26179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893329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4608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4608</v>
      </c>
      <c r="C1115" s="2" t="s">
        <v>573</v>
      </c>
      <c r="D1115" s="2" t="str">
        <f t="shared" si="16"/>
        <v>Error?</v>
      </c>
    </row>
    <row r="1116" spans="1:4" x14ac:dyDescent="0.2">
      <c r="A1116" s="5">
        <v>1055</v>
      </c>
      <c r="B1116" s="138">
        <f>'Expenditures 15-22'!K44</f>
        <v>21276</v>
      </c>
      <c r="C1116" s="2" t="s">
        <v>573</v>
      </c>
      <c r="D1116" s="2" t="str">
        <f t="shared" si="16"/>
        <v>Error?</v>
      </c>
    </row>
    <row r="1117" spans="1:4" x14ac:dyDescent="0.2">
      <c r="A1117" s="5">
        <v>1056</v>
      </c>
      <c r="B1117" s="138">
        <f>'Expenditures 15-22'!K45</f>
        <v>41121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62397</v>
      </c>
      <c r="C1119" s="2" t="s">
        <v>573</v>
      </c>
      <c r="D1119" s="2" t="str">
        <f t="shared" si="16"/>
        <v>Error?</v>
      </c>
    </row>
    <row r="1120" spans="1:4" x14ac:dyDescent="0.2">
      <c r="A1120" s="5">
        <v>1059</v>
      </c>
      <c r="B1120" s="138">
        <f>'Expenditures 15-22'!K49</f>
        <v>32166</v>
      </c>
      <c r="C1120" s="2" t="s">
        <v>573</v>
      </c>
      <c r="D1120" s="2" t="str">
        <f t="shared" si="16"/>
        <v>Error?</v>
      </c>
    </row>
    <row r="1121" spans="1:4" x14ac:dyDescent="0.2">
      <c r="A1121" s="5">
        <v>1060</v>
      </c>
      <c r="B1121" s="138">
        <f>'Expenditures 15-22'!K50</f>
        <v>72085</v>
      </c>
      <c r="C1121" s="2" t="s">
        <v>573</v>
      </c>
      <c r="D1121" s="2" t="str">
        <f t="shared" si="16"/>
        <v>Error?</v>
      </c>
    </row>
    <row r="1122" spans="1:4" x14ac:dyDescent="0.2">
      <c r="A1122" s="5">
        <v>1061</v>
      </c>
      <c r="B1122" s="138">
        <f>'Expenditures 15-22'!K53</f>
        <v>104251</v>
      </c>
      <c r="C1122" s="2" t="s">
        <v>573</v>
      </c>
      <c r="D1122" s="2" t="str">
        <f t="shared" si="16"/>
        <v>Error?</v>
      </c>
    </row>
    <row r="1123" spans="1:4" x14ac:dyDescent="0.2">
      <c r="A1123" s="5">
        <v>1062</v>
      </c>
      <c r="B1123" s="138">
        <f>'Expenditures 15-22'!K55</f>
        <v>57359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57359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59215</v>
      </c>
      <c r="C1127" s="2" t="s">
        <v>573</v>
      </c>
      <c r="D1127" s="2" t="str">
        <f t="shared" si="16"/>
        <v>Error?</v>
      </c>
    </row>
    <row r="1128" spans="1:4" x14ac:dyDescent="0.2">
      <c r="A1128" s="5">
        <v>1067</v>
      </c>
      <c r="B1128" s="138">
        <f>'Expenditures 15-22'!K61</f>
        <v>550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66206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125971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10587</v>
      </c>
      <c r="C1142" s="2" t="s">
        <v>573</v>
      </c>
      <c r="D1142" s="2" t="str">
        <f t="shared" si="16"/>
        <v>Error?</v>
      </c>
    </row>
    <row r="1143" spans="1:4" x14ac:dyDescent="0.2">
      <c r="A1143" s="5">
        <v>1082</v>
      </c>
      <c r="B1143" s="138">
        <f>'Expenditures 15-22'!K74</f>
        <v>365173</v>
      </c>
      <c r="C1143" s="2" t="s">
        <v>573</v>
      </c>
      <c r="D1143" s="2" t="str">
        <f t="shared" si="16"/>
        <v>Error?</v>
      </c>
    </row>
    <row r="1144" spans="1:4" x14ac:dyDescent="0.2">
      <c r="A1144" s="5">
        <v>1083</v>
      </c>
      <c r="B1144" s="138">
        <f>'Expenditures 15-22'!K75</f>
        <v>135</v>
      </c>
      <c r="C1144" s="2" t="s">
        <v>573</v>
      </c>
      <c r="D1144" s="2" t="str">
        <f t="shared" si="16"/>
        <v>Error?</v>
      </c>
    </row>
    <row r="1145" spans="1:4" x14ac:dyDescent="0.2">
      <c r="A1145" s="5">
        <v>1084</v>
      </c>
      <c r="B1145" s="138">
        <f>'Expenditures 15-22'!K102</f>
        <v>748676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2007313</v>
      </c>
      <c r="C1152" s="2" t="s">
        <v>573</v>
      </c>
      <c r="D1152" s="2" t="str">
        <f t="shared" si="17"/>
        <v>Error?</v>
      </c>
    </row>
    <row r="1153" spans="1:4" x14ac:dyDescent="0.2">
      <c r="A1153" s="5">
        <v>1092</v>
      </c>
      <c r="B1153" s="138">
        <f>'Expenditures 15-22'!K115</f>
        <v>608637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47607</v>
      </c>
      <c r="D1221" s="2" t="str">
        <f t="shared" si="18"/>
        <v>Error?</v>
      </c>
    </row>
    <row r="1222" spans="1:4" x14ac:dyDescent="0.2">
      <c r="A1222" s="10">
        <v>1161</v>
      </c>
      <c r="D1222" s="2" t="str">
        <f t="shared" si="18"/>
        <v>OK</v>
      </c>
    </row>
    <row r="1223" spans="1:4" x14ac:dyDescent="0.2">
      <c r="A1223" s="5">
        <v>1162</v>
      </c>
      <c r="B1223" s="138">
        <f>'Expenditures 15-22'!C127</f>
        <v>47607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47607</v>
      </c>
      <c r="C1225" s="2" t="s">
        <v>573</v>
      </c>
      <c r="D1225" s="2" t="str">
        <f t="shared" si="18"/>
        <v>Error?</v>
      </c>
    </row>
    <row r="1226" spans="1:4" x14ac:dyDescent="0.2">
      <c r="A1226" s="5">
        <v>1165</v>
      </c>
      <c r="B1226" s="138">
        <f>'Expenditures 15-22'!C151</f>
        <v>47607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12076</v>
      </c>
      <c r="D1229" s="2" t="str">
        <f t="shared" si="18"/>
        <v>Error?</v>
      </c>
    </row>
    <row r="1230" spans="1:4" x14ac:dyDescent="0.2">
      <c r="A1230" s="10">
        <v>1169</v>
      </c>
      <c r="D1230" s="2" t="str">
        <f t="shared" si="18"/>
        <v>OK</v>
      </c>
    </row>
    <row r="1231" spans="1:4" x14ac:dyDescent="0.2">
      <c r="A1231" s="5">
        <v>1170</v>
      </c>
      <c r="B1231" s="138">
        <f>'Expenditures 15-22'!D127</f>
        <v>12076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12076</v>
      </c>
      <c r="C1233" s="2" t="s">
        <v>573</v>
      </c>
      <c r="D1233" s="2" t="str">
        <f t="shared" si="18"/>
        <v>Error?</v>
      </c>
    </row>
    <row r="1234" spans="1:4" x14ac:dyDescent="0.2">
      <c r="A1234" s="5">
        <v>1173</v>
      </c>
      <c r="B1234" s="138">
        <f>'Expenditures 15-22'!D151</f>
        <v>12076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86731</v>
      </c>
      <c r="D1237" s="2" t="str">
        <f t="shared" si="18"/>
        <v>Error?</v>
      </c>
    </row>
    <row r="1238" spans="1:4" x14ac:dyDescent="0.2">
      <c r="A1238" s="10">
        <v>1177</v>
      </c>
      <c r="D1238" s="2" t="str">
        <f t="shared" si="18"/>
        <v>OK</v>
      </c>
    </row>
    <row r="1239" spans="1:4" x14ac:dyDescent="0.2">
      <c r="A1239" s="5">
        <v>1178</v>
      </c>
      <c r="B1239" s="138">
        <f>'Expenditures 15-22'!E127</f>
        <v>86731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86731</v>
      </c>
      <c r="C1241" s="2" t="s">
        <v>573</v>
      </c>
      <c r="D1241" s="2" t="str">
        <f t="shared" si="18"/>
        <v>Error?</v>
      </c>
    </row>
    <row r="1242" spans="1:4" x14ac:dyDescent="0.2">
      <c r="A1242" s="5">
        <v>1181</v>
      </c>
      <c r="B1242" s="138">
        <f>'Expenditures 15-22'!E151</f>
        <v>86731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22260</v>
      </c>
      <c r="D1245" s="2" t="str">
        <f t="shared" si="18"/>
        <v>Error?</v>
      </c>
    </row>
    <row r="1246" spans="1:4" x14ac:dyDescent="0.2">
      <c r="A1246" s="10">
        <v>1185</v>
      </c>
      <c r="D1246" s="2" t="str">
        <f t="shared" si="18"/>
        <v>OK</v>
      </c>
    </row>
    <row r="1247" spans="1:4" x14ac:dyDescent="0.2">
      <c r="A1247" s="5">
        <v>1186</v>
      </c>
      <c r="B1247" s="138">
        <f>'Expenditures 15-22'!F127</f>
        <v>22260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22260</v>
      </c>
      <c r="C1249" s="2" t="s">
        <v>573</v>
      </c>
      <c r="D1249" s="2" t="str">
        <f t="shared" si="18"/>
        <v>Error?</v>
      </c>
    </row>
    <row r="1250" spans="1:4" x14ac:dyDescent="0.2">
      <c r="A1250" s="5">
        <v>1189</v>
      </c>
      <c r="B1250" s="138">
        <f>'Expenditures 15-22'!F151</f>
        <v>22260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24565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24565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24565</v>
      </c>
      <c r="C1258" s="2" t="s">
        <v>573</v>
      </c>
      <c r="D1258" s="2" t="str">
        <f t="shared" si="18"/>
        <v>Error?</v>
      </c>
    </row>
    <row r="1259" spans="1:4" x14ac:dyDescent="0.2">
      <c r="A1259" s="5">
        <v>1198</v>
      </c>
      <c r="B1259" s="138">
        <f>'Expenditures 15-22'!G151</f>
        <v>24565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193239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193239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193239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193239</v>
      </c>
      <c r="C1288" s="2" t="s">
        <v>573</v>
      </c>
      <c r="D1288" s="2" t="str">
        <f t="shared" si="19"/>
        <v>Error?</v>
      </c>
    </row>
    <row r="1289" spans="1:4" x14ac:dyDescent="0.2">
      <c r="A1289" s="5">
        <v>1228</v>
      </c>
      <c r="B1289" s="138">
        <f>'Expenditures 15-22'!K152</f>
        <v>117782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53000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54272</v>
      </c>
      <c r="C1317" s="2" t="s">
        <v>573</v>
      </c>
      <c r="D1317" s="2" t="str">
        <f t="shared" si="19"/>
        <v>Error?</v>
      </c>
    </row>
    <row r="1318" spans="1:4" x14ac:dyDescent="0.2">
      <c r="A1318" s="5">
        <v>1257</v>
      </c>
      <c r="B1318" s="138">
        <f>'Expenditures 15-22'!H174</f>
        <v>54272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1272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53000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54272</v>
      </c>
      <c r="C1331" s="2" t="s">
        <v>573</v>
      </c>
      <c r="D1331" s="2" t="str">
        <f t="shared" si="19"/>
        <v>Error?</v>
      </c>
    </row>
    <row r="1332" spans="1:4" x14ac:dyDescent="0.2">
      <c r="A1332" s="5">
        <v>1271</v>
      </c>
      <c r="B1332" s="138">
        <f>'Expenditures 15-22'!K174</f>
        <v>54272</v>
      </c>
      <c r="C1332" s="2" t="s">
        <v>573</v>
      </c>
      <c r="D1332" s="2" t="str">
        <f t="shared" si="19"/>
        <v>Error?</v>
      </c>
    </row>
    <row r="1333" spans="1:4" x14ac:dyDescent="0.2">
      <c r="A1333" s="5">
        <v>1272</v>
      </c>
      <c r="B1333" s="138">
        <f>'Expenditures 15-22'!K175</f>
        <v>494</v>
      </c>
      <c r="C1333" s="2" t="s">
        <v>573</v>
      </c>
      <c r="D1333" s="2" t="str">
        <f t="shared" si="19"/>
        <v>Error?</v>
      </c>
    </row>
    <row r="1334" spans="1:4" x14ac:dyDescent="0.2">
      <c r="A1334" s="10">
        <v>1273</v>
      </c>
      <c r="D1334" s="2" t="str">
        <f t="shared" si="19"/>
        <v>OK</v>
      </c>
    </row>
    <row r="1335" spans="1:4" x14ac:dyDescent="0.2">
      <c r="A1335" s="5">
        <v>1274</v>
      </c>
      <c r="B1335" s="138">
        <f>'Expenditures 15-22'!C182</f>
        <v>106071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106071</v>
      </c>
      <c r="C1339" s="2" t="s">
        <v>573</v>
      </c>
      <c r="D1339" s="2" t="str">
        <f t="shared" si="19"/>
        <v>Error?</v>
      </c>
    </row>
    <row r="1340" spans="1:4" x14ac:dyDescent="0.2">
      <c r="A1340" s="5">
        <v>1279</v>
      </c>
      <c r="B1340" s="138">
        <f>'Expenditures 15-22'!C210</f>
        <v>106071</v>
      </c>
      <c r="C1340" s="2" t="s">
        <v>573</v>
      </c>
      <c r="D1340" s="2" t="str">
        <f t="shared" si="19"/>
        <v>Error?</v>
      </c>
    </row>
    <row r="1341" spans="1:4" x14ac:dyDescent="0.2">
      <c r="A1341" s="5">
        <v>1280</v>
      </c>
      <c r="B1341" s="138">
        <f>'Expenditures 15-22'!D182</f>
        <v>6050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6050</v>
      </c>
      <c r="C1345" s="2" t="s">
        <v>573</v>
      </c>
      <c r="D1345" s="2" t="str">
        <f t="shared" si="20"/>
        <v>Error?</v>
      </c>
    </row>
    <row r="1346" spans="1:4" x14ac:dyDescent="0.2">
      <c r="A1346" s="5">
        <v>1285</v>
      </c>
      <c r="B1346" s="138">
        <f>'Expenditures 15-22'!D210</f>
        <v>6050</v>
      </c>
      <c r="C1346" s="2" t="s">
        <v>573</v>
      </c>
      <c r="D1346" s="2" t="str">
        <f t="shared" si="20"/>
        <v>Error?</v>
      </c>
    </row>
    <row r="1347" spans="1:4" x14ac:dyDescent="0.2">
      <c r="A1347" s="5">
        <v>1286</v>
      </c>
      <c r="B1347" s="138">
        <f>'Expenditures 15-22'!E182</f>
        <v>34730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34730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34730</v>
      </c>
      <c r="C1353" s="2" t="s">
        <v>573</v>
      </c>
      <c r="D1353" s="2" t="str">
        <f t="shared" si="20"/>
        <v>Error?</v>
      </c>
    </row>
    <row r="1354" spans="1:4" x14ac:dyDescent="0.2">
      <c r="A1354" s="5">
        <v>1293</v>
      </c>
      <c r="B1354" s="138">
        <f>'Expenditures 15-22'!F182</f>
        <v>17162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17162</v>
      </c>
      <c r="C1358" s="2" t="s">
        <v>573</v>
      </c>
      <c r="D1358" s="2" t="str">
        <f t="shared" si="20"/>
        <v>Error?</v>
      </c>
    </row>
    <row r="1359" spans="1:4" x14ac:dyDescent="0.2">
      <c r="A1359" s="5">
        <v>1298</v>
      </c>
      <c r="B1359" s="138">
        <f>'Expenditures 15-22'!F210</f>
        <v>17162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164013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164013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164013</v>
      </c>
      <c r="C1388" s="2" t="s">
        <v>573</v>
      </c>
      <c r="D1388" s="2" t="str">
        <f t="shared" si="20"/>
        <v>Error?</v>
      </c>
    </row>
    <row r="1389" spans="1:4" x14ac:dyDescent="0.2">
      <c r="A1389" s="5">
        <v>1328</v>
      </c>
      <c r="B1389" s="138">
        <f>'Expenditures 15-22'!K211</f>
        <v>77696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18315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589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589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401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401</v>
      </c>
      <c r="C1421" s="2" t="s">
        <v>573</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841</v>
      </c>
      <c r="D1423" s="2" t="str">
        <f t="shared" si="21"/>
        <v>Error?</v>
      </c>
    </row>
    <row r="1424" spans="1:4" x14ac:dyDescent="0.2">
      <c r="A1424" s="5">
        <v>1363</v>
      </c>
      <c r="B1424" s="138">
        <f>'Expenditures 15-22'!D257</f>
        <v>7361</v>
      </c>
      <c r="C1424" s="2" t="s">
        <v>573</v>
      </c>
      <c r="D1424" s="2" t="str">
        <f t="shared" si="21"/>
        <v>Error?</v>
      </c>
    </row>
    <row r="1425" spans="1:4" x14ac:dyDescent="0.2">
      <c r="A1425" s="5">
        <v>1364</v>
      </c>
      <c r="B1425" s="138">
        <f>'Expenditures 15-22'!D259</f>
        <v>3882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3882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6742</v>
      </c>
      <c r="D1431" s="2" t="str">
        <f t="shared" si="21"/>
        <v>Error?</v>
      </c>
    </row>
    <row r="1432" spans="1:4" x14ac:dyDescent="0.2">
      <c r="A1432" s="5">
        <v>1371</v>
      </c>
      <c r="B1432" s="138">
        <f>'Expenditures 15-22'!D267</f>
        <v>13475</v>
      </c>
      <c r="D1432" s="2" t="str">
        <f t="shared" si="21"/>
        <v>Error?</v>
      </c>
    </row>
    <row r="1433" spans="1:4" x14ac:dyDescent="0.2">
      <c r="A1433" s="5">
        <v>1372</v>
      </c>
      <c r="B1433" s="138">
        <f>'Expenditures 15-22'!D268</f>
        <v>4219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28895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810</v>
      </c>
      <c r="D1445" s="2" t="str">
        <f t="shared" si="21"/>
        <v>Error?</v>
      </c>
    </row>
    <row r="1446" spans="1:4" x14ac:dyDescent="0.2">
      <c r="A1446" s="5">
        <v>1385</v>
      </c>
      <c r="B1446" s="138">
        <f>'Expenditures 15-22'!D279</f>
        <v>41938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65780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560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18315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589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589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401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401</v>
      </c>
      <c r="C1485" s="2" t="s">
        <v>573</v>
      </c>
      <c r="D1485" s="2" t="str">
        <f t="shared" si="22"/>
        <v>Error?</v>
      </c>
    </row>
    <row r="1486" spans="1:4" x14ac:dyDescent="0.2">
      <c r="A1486" s="5">
        <v>1425</v>
      </c>
      <c r="B1486" s="138">
        <f>'Expenditures 15-22'!K245</f>
        <v>153</v>
      </c>
      <c r="C1486" s="2" t="s">
        <v>573</v>
      </c>
      <c r="D1486" s="2" t="str">
        <f t="shared" si="22"/>
        <v>Error?</v>
      </c>
    </row>
    <row r="1487" spans="1:4" x14ac:dyDescent="0.2">
      <c r="A1487" s="5">
        <v>1426</v>
      </c>
      <c r="B1487" s="138">
        <f>'Expenditures 15-22'!K246</f>
        <v>841</v>
      </c>
      <c r="C1487" s="2" t="s">
        <v>573</v>
      </c>
      <c r="D1487" s="2" t="str">
        <f t="shared" si="22"/>
        <v>Error?</v>
      </c>
    </row>
    <row r="1488" spans="1:4" x14ac:dyDescent="0.2">
      <c r="A1488" s="5">
        <v>1427</v>
      </c>
      <c r="B1488" s="138">
        <f>'Expenditures 15-22'!K257</f>
        <v>7361</v>
      </c>
      <c r="C1488" s="2" t="s">
        <v>573</v>
      </c>
      <c r="D1488" s="2" t="str">
        <f t="shared" si="22"/>
        <v>Error?</v>
      </c>
    </row>
    <row r="1489" spans="1:4" x14ac:dyDescent="0.2">
      <c r="A1489" s="5">
        <v>1428</v>
      </c>
      <c r="B1489" s="138">
        <f>'Expenditures 15-22'!K259</f>
        <v>3882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3882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4459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6742</v>
      </c>
      <c r="C1495" s="2" t="s">
        <v>573</v>
      </c>
      <c r="D1495" s="2" t="str">
        <f t="shared" si="22"/>
        <v>Error?</v>
      </c>
    </row>
    <row r="1496" spans="1:4" x14ac:dyDescent="0.2">
      <c r="A1496" s="5">
        <v>1435</v>
      </c>
      <c r="B1496" s="138">
        <f>'Expenditures 15-22'!K267</f>
        <v>13475</v>
      </c>
      <c r="C1496" s="2" t="s">
        <v>573</v>
      </c>
      <c r="D1496" s="2" t="str">
        <f t="shared" si="22"/>
        <v>Error?</v>
      </c>
    </row>
    <row r="1497" spans="1:4" x14ac:dyDescent="0.2">
      <c r="A1497" s="5">
        <v>1436</v>
      </c>
      <c r="B1497" s="138">
        <f>'Expenditures 15-22'!K268</f>
        <v>4219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28895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810</v>
      </c>
      <c r="C1509" s="2" t="s">
        <v>573</v>
      </c>
      <c r="D1509" s="2" t="str">
        <f t="shared" si="22"/>
        <v>Error?</v>
      </c>
    </row>
    <row r="1510" spans="1:4" x14ac:dyDescent="0.2">
      <c r="A1510" s="5">
        <v>1449</v>
      </c>
      <c r="B1510" s="138">
        <f>'Expenditures 15-22'!K279</f>
        <v>41938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65780</v>
      </c>
      <c r="C1517" s="2" t="s">
        <v>573</v>
      </c>
      <c r="D1517" s="2" t="str">
        <f t="shared" si="22"/>
        <v>Error?</v>
      </c>
    </row>
    <row r="1518" spans="1:4" x14ac:dyDescent="0.2">
      <c r="A1518" s="5">
        <v>1457</v>
      </c>
      <c r="B1518" s="138">
        <f>'Expenditures 15-22'!K296</f>
        <v>15637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1182663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1791300</v>
      </c>
      <c r="C1630" s="2" t="s">
        <v>573</v>
      </c>
      <c r="D1630" s="2" t="str">
        <f t="shared" si="24"/>
        <v>Error?</v>
      </c>
    </row>
    <row r="1631" spans="1:4" x14ac:dyDescent="0.2">
      <c r="A1631" s="5">
        <v>1570</v>
      </c>
      <c r="B1631" s="138">
        <f>'Acct Summary 7-8'!D79</f>
        <v>718692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836474</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494</v>
      </c>
      <c r="C1658" s="2" t="s">
        <v>573</v>
      </c>
      <c r="D1658" s="2" t="str">
        <f t="shared" si="24"/>
        <v>Error?</v>
      </c>
    </row>
    <row r="1659" spans="1:4" x14ac:dyDescent="0.2">
      <c r="A1659" s="5">
        <v>1598</v>
      </c>
      <c r="B1659" s="138">
        <f>'Acct Summary 7-8'!F79</f>
        <v>609566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687262</v>
      </c>
      <c r="C1672" s="2" t="s">
        <v>573</v>
      </c>
      <c r="D1672" s="2" t="str">
        <f t="shared" si="25"/>
        <v>Error?</v>
      </c>
    </row>
    <row r="1673" spans="1:4" x14ac:dyDescent="0.2">
      <c r="A1673" s="5">
        <v>1612</v>
      </c>
      <c r="B1673" s="138">
        <f>'Acct Summary 7-8'!G79</f>
        <v>53744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69381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1878655</v>
      </c>
      <c r="C1744" s="2" t="s">
        <v>573</v>
      </c>
      <c r="D1744" s="2" t="str">
        <f t="shared" si="26"/>
        <v>Error?</v>
      </c>
    </row>
    <row r="1745" spans="1:5" x14ac:dyDescent="0.2">
      <c r="A1745" s="5">
        <v>1684</v>
      </c>
      <c r="B1745" s="138">
        <f>'Tax Sched 23'!B5</f>
        <v>300105</v>
      </c>
      <c r="C1745" s="2" t="s">
        <v>573</v>
      </c>
      <c r="D1745" s="2" t="str">
        <f t="shared" si="26"/>
        <v>Error?</v>
      </c>
    </row>
    <row r="1746" spans="1:5" x14ac:dyDescent="0.2">
      <c r="A1746" s="5">
        <v>1685</v>
      </c>
      <c r="B1746" s="138">
        <f>'Tax Sched 23'!B6</f>
        <v>54679</v>
      </c>
      <c r="C1746" s="2" t="s">
        <v>573</v>
      </c>
      <c r="D1746" s="2" t="str">
        <f t="shared" si="26"/>
        <v>Error?</v>
      </c>
    </row>
    <row r="1747" spans="1:5" x14ac:dyDescent="0.2">
      <c r="A1747" s="5">
        <v>1686</v>
      </c>
      <c r="B1747" s="138">
        <f>'Tax Sched 23'!B7</f>
        <v>120042</v>
      </c>
      <c r="C1747" s="2" t="s">
        <v>573</v>
      </c>
      <c r="D1747" s="2" t="str">
        <f t="shared" si="26"/>
        <v>Error?</v>
      </c>
    </row>
    <row r="1748" spans="1:5" x14ac:dyDescent="0.2">
      <c r="A1748" s="5">
        <v>1687</v>
      </c>
      <c r="B1748" s="138">
        <f>'Tax Sched 23'!B8</f>
        <v>26229</v>
      </c>
      <c r="C1748" s="2" t="s">
        <v>573</v>
      </c>
      <c r="D1748" s="2" t="str">
        <f t="shared" si="26"/>
        <v>Error?</v>
      </c>
    </row>
    <row r="1749" spans="1:5" x14ac:dyDescent="0.2">
      <c r="A1749" s="5">
        <v>1688</v>
      </c>
      <c r="B1749" s="138">
        <f>'Tax Sched 23'!B10</f>
        <v>30010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191467</v>
      </c>
      <c r="C1752" s="2" t="s">
        <v>573</v>
      </c>
      <c r="D1752" s="2" t="str">
        <f t="shared" si="26"/>
        <v>Error?</v>
      </c>
    </row>
    <row r="1753" spans="1:5" x14ac:dyDescent="0.2">
      <c r="A1753" s="5">
        <v>1692</v>
      </c>
      <c r="B1753" s="138">
        <f>'Tax Sched 23'!B12</f>
        <v>30010</v>
      </c>
      <c r="C1753" s="2" t="s">
        <v>573</v>
      </c>
      <c r="D1753" s="2" t="str">
        <f t="shared" si="26"/>
        <v>Error?</v>
      </c>
    </row>
    <row r="1754" spans="1:5" x14ac:dyDescent="0.2">
      <c r="A1754" s="5">
        <v>1693</v>
      </c>
      <c r="B1754" s="138">
        <f>'Tax Sched 23'!B14</f>
        <v>24008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2717687</v>
      </c>
      <c r="C1759" s="2" t="s">
        <v>573</v>
      </c>
      <c r="D1759" s="2" t="str">
        <f t="shared" si="26"/>
        <v>Error?</v>
      </c>
    </row>
    <row r="1760" spans="1:5" x14ac:dyDescent="0.2">
      <c r="A1760" s="5">
        <v>1699</v>
      </c>
      <c r="B1760" s="138">
        <f>'Tax Sched 23'!D4</f>
        <v>1878655</v>
      </c>
      <c r="C1760" s="2" t="s">
        <v>573</v>
      </c>
      <c r="D1760" s="2" t="str">
        <f t="shared" si="26"/>
        <v>Error?</v>
      </c>
    </row>
    <row r="1761" spans="1:5" x14ac:dyDescent="0.2">
      <c r="A1761" s="5">
        <v>1700</v>
      </c>
      <c r="B1761" s="138">
        <f>'Tax Sched 23'!D5</f>
        <v>300105</v>
      </c>
      <c r="C1761" s="2" t="s">
        <v>573</v>
      </c>
      <c r="D1761" s="2" t="str">
        <f t="shared" si="26"/>
        <v>Error?</v>
      </c>
    </row>
    <row r="1762" spans="1:5" s="8" customFormat="1" x14ac:dyDescent="0.2">
      <c r="A1762" s="5">
        <v>1701</v>
      </c>
      <c r="B1762" s="138">
        <f>'Tax Sched 23'!D6</f>
        <v>54679</v>
      </c>
      <c r="C1762" s="2" t="s">
        <v>573</v>
      </c>
      <c r="D1762" s="2" t="str">
        <f t="shared" si="26"/>
        <v>Error?</v>
      </c>
      <c r="E1762" s="9"/>
    </row>
    <row r="1763" spans="1:5" x14ac:dyDescent="0.2">
      <c r="A1763" s="5">
        <v>1702</v>
      </c>
      <c r="B1763" s="138">
        <f>'Tax Sched 23'!D7</f>
        <v>120042</v>
      </c>
      <c r="C1763" s="2" t="s">
        <v>573</v>
      </c>
      <c r="D1763" s="2" t="str">
        <f t="shared" si="26"/>
        <v>Error?</v>
      </c>
    </row>
    <row r="1764" spans="1:5" x14ac:dyDescent="0.2">
      <c r="A1764" s="5">
        <v>1703</v>
      </c>
      <c r="B1764" s="138">
        <f>'Tax Sched 23'!D8</f>
        <v>26229</v>
      </c>
      <c r="C1764" s="2" t="s">
        <v>573</v>
      </c>
      <c r="D1764" s="2" t="str">
        <f t="shared" si="26"/>
        <v>Error?</v>
      </c>
    </row>
    <row r="1765" spans="1:5" x14ac:dyDescent="0.2">
      <c r="A1765" s="5">
        <v>1704</v>
      </c>
      <c r="B1765" s="138">
        <f>'Tax Sched 23'!D10</f>
        <v>30010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191467</v>
      </c>
      <c r="C1768" s="2" t="s">
        <v>573</v>
      </c>
      <c r="D1768" s="2" t="str">
        <f t="shared" si="26"/>
        <v>Error?</v>
      </c>
    </row>
    <row r="1769" spans="1:5" x14ac:dyDescent="0.2">
      <c r="A1769" s="5">
        <v>1708</v>
      </c>
      <c r="B1769" s="138">
        <f>'Tax Sched 23'!D12</f>
        <v>30010</v>
      </c>
      <c r="C1769" s="2" t="s">
        <v>573</v>
      </c>
      <c r="D1769" s="2" t="str">
        <f t="shared" si="26"/>
        <v>Error?</v>
      </c>
    </row>
    <row r="1770" spans="1:5" x14ac:dyDescent="0.2">
      <c r="A1770" s="5">
        <v>1709</v>
      </c>
      <c r="B1770" s="138">
        <f>'Tax Sched 23'!D14</f>
        <v>24008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2717687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1912280</v>
      </c>
      <c r="C1792" s="2" t="s">
        <v>573</v>
      </c>
      <c r="D1792" s="2" t="str">
        <f t="shared" si="27"/>
        <v>Error?</v>
      </c>
    </row>
    <row r="1793" spans="1:4" x14ac:dyDescent="0.2">
      <c r="A1793" s="5">
        <v>1732</v>
      </c>
      <c r="B1793" s="138">
        <f>'Tax Sched 23'!F5</f>
        <v>305476</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122190</v>
      </c>
      <c r="C1795" s="2" t="s">
        <v>573</v>
      </c>
      <c r="D1795" s="2" t="str">
        <f t="shared" si="27"/>
        <v>Error?</v>
      </c>
    </row>
    <row r="1796" spans="1:4" x14ac:dyDescent="0.2">
      <c r="A1796" s="5">
        <v>1735</v>
      </c>
      <c r="B1796" s="138">
        <f>'Tax Sched 23'!F8</f>
        <v>27004</v>
      </c>
      <c r="C1796" s="2" t="s">
        <v>573</v>
      </c>
      <c r="D1796" s="2" t="str">
        <f t="shared" si="27"/>
        <v>Error?</v>
      </c>
    </row>
    <row r="1797" spans="1:4" x14ac:dyDescent="0.2">
      <c r="A1797" s="5">
        <v>1736</v>
      </c>
      <c r="B1797" s="138">
        <f>'Tax Sched 23'!F10</f>
        <v>30548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200026</v>
      </c>
      <c r="C1800" s="2" t="s">
        <v>573</v>
      </c>
      <c r="D1800" s="2" t="str">
        <f t="shared" si="27"/>
        <v>Error?</v>
      </c>
    </row>
    <row r="1801" spans="1:4" x14ac:dyDescent="0.2">
      <c r="A1801" s="5">
        <v>1740</v>
      </c>
      <c r="B1801" s="138">
        <f>'Tax Sched 23'!F12</f>
        <v>30548</v>
      </c>
      <c r="C1801" s="2" t="s">
        <v>573</v>
      </c>
      <c r="D1801" s="2" t="str">
        <f t="shared" si="27"/>
        <v>Error?</v>
      </c>
    </row>
    <row r="1802" spans="1:4" x14ac:dyDescent="0.2">
      <c r="A1802" s="5">
        <v>1741</v>
      </c>
      <c r="B1802" s="138">
        <f>'Tax Sched 23'!F14</f>
        <v>24438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2725519</v>
      </c>
      <c r="C1807" s="2" t="s">
        <v>573</v>
      </c>
      <c r="D1807" s="2" t="str">
        <f t="shared" si="27"/>
        <v>Error?</v>
      </c>
    </row>
    <row r="1808" spans="1:4" x14ac:dyDescent="0.2">
      <c r="A1808" s="5">
        <v>1747</v>
      </c>
      <c r="B1808" s="138">
        <f>'Tax Sched 23'!E4</f>
        <v>1912280</v>
      </c>
      <c r="D1808" s="2" t="str">
        <f t="shared" si="27"/>
        <v>Error?</v>
      </c>
    </row>
    <row r="1809" spans="1:4" x14ac:dyDescent="0.2">
      <c r="A1809" s="5">
        <v>1748</v>
      </c>
      <c r="B1809" s="138">
        <f>'Tax Sched 23'!E5</f>
        <v>305476</v>
      </c>
      <c r="D1809" s="2" t="str">
        <f t="shared" si="27"/>
        <v>Error?</v>
      </c>
    </row>
    <row r="1810" spans="1:4" x14ac:dyDescent="0.2">
      <c r="A1810" s="5">
        <v>1749</v>
      </c>
      <c r="B1810" s="138">
        <f>'Tax Sched 23'!E6</f>
        <v>0</v>
      </c>
      <c r="D1810" s="2" t="str">
        <f t="shared" si="27"/>
        <v>Error?</v>
      </c>
    </row>
    <row r="1811" spans="1:4" x14ac:dyDescent="0.2">
      <c r="A1811" s="5">
        <v>1750</v>
      </c>
      <c r="B1811" s="138">
        <f>'Tax Sched 23'!E7</f>
        <v>122190</v>
      </c>
      <c r="D1811" s="2" t="str">
        <f t="shared" si="27"/>
        <v>Error?</v>
      </c>
    </row>
    <row r="1812" spans="1:4" x14ac:dyDescent="0.2">
      <c r="A1812" s="5">
        <v>1751</v>
      </c>
      <c r="B1812" s="138">
        <f>'Tax Sched 23'!E8</f>
        <v>27004</v>
      </c>
      <c r="D1812" s="2" t="str">
        <f t="shared" si="27"/>
        <v>Error?</v>
      </c>
    </row>
    <row r="1813" spans="1:4" x14ac:dyDescent="0.2">
      <c r="A1813" s="5">
        <v>1752</v>
      </c>
      <c r="B1813" s="138">
        <f>'Tax Sched 23'!E10</f>
        <v>30548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200026</v>
      </c>
      <c r="D1816" s="2" t="str">
        <f t="shared" si="27"/>
        <v>Error?</v>
      </c>
    </row>
    <row r="1817" spans="1:4" x14ac:dyDescent="0.2">
      <c r="A1817" s="5">
        <v>1756</v>
      </c>
      <c r="B1817" s="138">
        <f>'Tax Sched 23'!E12</f>
        <v>30548</v>
      </c>
      <c r="D1817" s="2" t="str">
        <f t="shared" si="27"/>
        <v>Error?</v>
      </c>
    </row>
    <row r="1818" spans="1:4" x14ac:dyDescent="0.2">
      <c r="A1818" s="5">
        <v>1757</v>
      </c>
      <c r="B1818" s="138">
        <f>'Tax Sched 23'!E14</f>
        <v>24438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2725519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53000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24008</v>
      </c>
      <c r="D1972" s="2" t="str">
        <f t="shared" si="29"/>
        <v>Error?</v>
      </c>
    </row>
    <row r="1973" spans="1:5" x14ac:dyDescent="0.2">
      <c r="A1973" s="5">
        <v>1912</v>
      </c>
      <c r="B1973" s="138">
        <f>'Rest Tax Levies-Tort Im 25'!H6</f>
        <v>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24011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24011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277145</v>
      </c>
      <c r="D2008" s="2" t="str">
        <f t="shared" si="30"/>
        <v>Error?</v>
      </c>
    </row>
    <row r="2009" spans="1:4" x14ac:dyDescent="0.2">
      <c r="A2009" s="5">
        <v>1948</v>
      </c>
      <c r="B2009" s="138">
        <f>'Cap Outlay Deprec 26'!C8</f>
        <v>4030039</v>
      </c>
      <c r="D2009" s="2" t="str">
        <f t="shared" si="30"/>
        <v>Error?</v>
      </c>
    </row>
    <row r="2010" spans="1:4" x14ac:dyDescent="0.2">
      <c r="A2010" s="5">
        <v>1949</v>
      </c>
      <c r="B2010" s="138">
        <f>'Cap Outlay Deprec 26'!C10</f>
        <v>35316</v>
      </c>
      <c r="D2010" s="2" t="str">
        <f t="shared" si="30"/>
        <v>Error?</v>
      </c>
    </row>
    <row r="2011" spans="1:4" x14ac:dyDescent="0.2">
      <c r="A2011" s="5">
        <v>1950</v>
      </c>
      <c r="B2011" s="138">
        <f>'Cap Outlay Deprec 26'!C12</f>
        <v>96162</v>
      </c>
      <c r="D2011" s="2" t="str">
        <f t="shared" si="30"/>
        <v>Error?</v>
      </c>
    </row>
    <row r="2012" spans="1:4" x14ac:dyDescent="0.2">
      <c r="A2012" s="5">
        <v>1951</v>
      </c>
      <c r="B2012" s="138">
        <f>'Cap Outlay Deprec 26'!C13</f>
        <v>139352</v>
      </c>
      <c r="D2012" s="2" t="str">
        <f t="shared" si="30"/>
        <v>Error?</v>
      </c>
    </row>
    <row r="2013" spans="1:4" x14ac:dyDescent="0.2">
      <c r="A2013" s="5">
        <v>1952</v>
      </c>
      <c r="B2013" s="138">
        <f>'Cap Outlay Deprec 26'!C16</f>
        <v>4580914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4565</v>
      </c>
      <c r="D2016" s="2" t="str">
        <f t="shared" si="30"/>
        <v>Error?</v>
      </c>
    </row>
    <row r="2017" spans="1:4" x14ac:dyDescent="0.2">
      <c r="A2017" s="5">
        <v>1956</v>
      </c>
      <c r="B2017" s="138">
        <f>'Cap Outlay Deprec 26'!D12</f>
        <v>44377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68942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35463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35463</v>
      </c>
      <c r="C2025" s="2" t="s">
        <v>573</v>
      </c>
      <c r="D2025" s="2" t="str">
        <f t="shared" si="30"/>
        <v>Error?</v>
      </c>
    </row>
    <row r="2026" spans="1:4" x14ac:dyDescent="0.2">
      <c r="A2026" s="5">
        <v>1965</v>
      </c>
      <c r="B2026" s="138">
        <f>'Cap Outlay Deprec 26'!F5</f>
        <v>277145</v>
      </c>
      <c r="C2026" s="2" t="s">
        <v>573</v>
      </c>
      <c r="D2026" s="2" t="str">
        <f t="shared" si="30"/>
        <v>Error?</v>
      </c>
    </row>
    <row r="2027" spans="1:4" x14ac:dyDescent="0.2">
      <c r="A2027" s="5">
        <v>1966</v>
      </c>
      <c r="B2027" s="138">
        <f>'Cap Outlay Deprec 26'!F8</f>
        <v>4030039</v>
      </c>
      <c r="C2027" s="2" t="s">
        <v>573</v>
      </c>
      <c r="D2027" s="2" t="str">
        <f t="shared" si="30"/>
        <v>Error?</v>
      </c>
    </row>
    <row r="2028" spans="1:4" x14ac:dyDescent="0.2">
      <c r="A2028" s="5">
        <v>1967</v>
      </c>
      <c r="B2028" s="138">
        <f>'Cap Outlay Deprec 26'!F10</f>
        <v>39881</v>
      </c>
      <c r="C2028" s="2" t="s">
        <v>573</v>
      </c>
      <c r="D2028" s="2" t="str">
        <f t="shared" si="30"/>
        <v>Error?</v>
      </c>
    </row>
    <row r="2029" spans="1:4" x14ac:dyDescent="0.2">
      <c r="A2029" s="5">
        <v>1968</v>
      </c>
      <c r="B2029" s="138">
        <f>'Cap Outlay Deprec 26'!F12</f>
        <v>105076</v>
      </c>
      <c r="C2029" s="2" t="s">
        <v>573</v>
      </c>
      <c r="D2029" s="2" t="str">
        <f t="shared" si="30"/>
        <v>Error?</v>
      </c>
    </row>
    <row r="2030" spans="1:4" x14ac:dyDescent="0.2">
      <c r="A2030" s="5">
        <v>1969</v>
      </c>
      <c r="B2030" s="138">
        <f>'Cap Outlay Deprec 26'!F13</f>
        <v>139352</v>
      </c>
      <c r="C2030" s="2" t="s">
        <v>573</v>
      </c>
      <c r="D2030" s="2" t="str">
        <f t="shared" si="30"/>
        <v>Error?</v>
      </c>
    </row>
    <row r="2031" spans="1:4" x14ac:dyDescent="0.2">
      <c r="A2031" s="5">
        <v>1970</v>
      </c>
      <c r="B2031" s="138">
        <f>'Cap Outlay Deprec 26'!F16</f>
        <v>4614393</v>
      </c>
      <c r="C2031" s="2" t="s">
        <v>573</v>
      </c>
      <c r="D2031" s="2" t="str">
        <f t="shared" si="30"/>
        <v>Error?</v>
      </c>
    </row>
    <row r="2032" spans="1:4" x14ac:dyDescent="0.2">
      <c r="A2032" s="10">
        <v>1971</v>
      </c>
      <c r="D2032" s="2" t="str">
        <f t="shared" si="30"/>
        <v>OK</v>
      </c>
    </row>
    <row r="2033" spans="1:4" x14ac:dyDescent="0.2">
      <c r="A2033" s="5">
        <v>1972</v>
      </c>
      <c r="B2033" s="138">
        <f>'Cap Outlay Deprec 26'!H8</f>
        <v>2085365</v>
      </c>
      <c r="D2033" s="2" t="str">
        <f t="shared" si="30"/>
        <v>Error?</v>
      </c>
    </row>
    <row r="2034" spans="1:4" x14ac:dyDescent="0.2">
      <c r="A2034" s="5">
        <v>1973</v>
      </c>
      <c r="B2034" s="138">
        <f>'Cap Outlay Deprec 26'!H10</f>
        <v>13545</v>
      </c>
      <c r="D2034" s="2" t="str">
        <f t="shared" si="30"/>
        <v>Error?</v>
      </c>
    </row>
    <row r="2035" spans="1:4" x14ac:dyDescent="0.2">
      <c r="A2035" s="5">
        <v>1974</v>
      </c>
      <c r="B2035" s="138">
        <f>'Cap Outlay Deprec 26'!H12</f>
        <v>71636</v>
      </c>
      <c r="D2035" s="2" t="str">
        <f t="shared" si="30"/>
        <v>Error?</v>
      </c>
    </row>
    <row r="2036" spans="1:4" x14ac:dyDescent="0.2">
      <c r="A2036" s="5">
        <v>1975</v>
      </c>
      <c r="B2036" s="138">
        <f>'Cap Outlay Deprec 26'!H13</f>
        <v>101454</v>
      </c>
      <c r="D2036" s="2" t="str">
        <f t="shared" si="30"/>
        <v>Error?</v>
      </c>
    </row>
    <row r="2037" spans="1:4" x14ac:dyDescent="0.2">
      <c r="A2037" s="5">
        <v>1976</v>
      </c>
      <c r="B2037" s="138">
        <f>'Cap Outlay Deprec 26'!H16</f>
        <v>2274900</v>
      </c>
      <c r="C2037" s="2" t="s">
        <v>573</v>
      </c>
      <c r="D2037" s="2" t="str">
        <f t="shared" si="30"/>
        <v>Error?</v>
      </c>
    </row>
    <row r="2038" spans="1:4" x14ac:dyDescent="0.2">
      <c r="A2038" s="10">
        <v>1977</v>
      </c>
      <c r="D2038" s="2" t="str">
        <f t="shared" si="30"/>
        <v>OK</v>
      </c>
    </row>
    <row r="2039" spans="1:4" x14ac:dyDescent="0.2">
      <c r="A2039" s="5">
        <v>1978</v>
      </c>
      <c r="B2039" s="138">
        <f>'Cap Outlay Deprec 26'!I8</f>
        <v>56750</v>
      </c>
      <c r="D2039" s="2" t="str">
        <f t="shared" si="30"/>
        <v>Error?</v>
      </c>
    </row>
    <row r="2040" spans="1:4" x14ac:dyDescent="0.2">
      <c r="A2040" s="5">
        <v>1979</v>
      </c>
      <c r="B2040" s="138">
        <f>'Cap Outlay Deprec 26'!I10</f>
        <v>1994</v>
      </c>
      <c r="D2040" s="2" t="str">
        <f t="shared" si="30"/>
        <v>Error?</v>
      </c>
    </row>
    <row r="2041" spans="1:4" x14ac:dyDescent="0.2">
      <c r="A2041" s="5">
        <v>1980</v>
      </c>
      <c r="B2041" s="138">
        <f>'Cap Outlay Deprec 26'!I12</f>
        <v>10492</v>
      </c>
      <c r="D2041" s="2" t="str">
        <f t="shared" si="30"/>
        <v>Error?</v>
      </c>
    </row>
    <row r="2042" spans="1:4" x14ac:dyDescent="0.2">
      <c r="A2042" s="5">
        <v>1981</v>
      </c>
      <c r="B2042" s="138">
        <f>'Cap Outlay Deprec 26'!I13</f>
        <v>11492</v>
      </c>
      <c r="D2042" s="2" t="str">
        <f t="shared" si="30"/>
        <v>Error?</v>
      </c>
    </row>
    <row r="2043" spans="1:4" x14ac:dyDescent="0.2">
      <c r="A2043" s="5">
        <v>1982</v>
      </c>
      <c r="B2043" s="138">
        <f>'Cap Outlay Deprec 26'!I16</f>
        <v>80728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35463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35463</v>
      </c>
      <c r="C2049" s="2" t="s">
        <v>573</v>
      </c>
      <c r="D2049" s="2" t="str">
        <f t="shared" si="31"/>
        <v>Error?</v>
      </c>
    </row>
    <row r="2050" spans="1:4" x14ac:dyDescent="0.2">
      <c r="A2050" s="10">
        <v>1989</v>
      </c>
      <c r="D2050" s="2" t="str">
        <f t="shared" si="31"/>
        <v>OK</v>
      </c>
    </row>
    <row r="2051" spans="1:4" x14ac:dyDescent="0.2">
      <c r="A2051" s="5">
        <v>1990</v>
      </c>
      <c r="B2051" s="138">
        <f>'Cap Outlay Deprec 26'!K8</f>
        <v>2142115</v>
      </c>
      <c r="C2051" s="2" t="s">
        <v>573</v>
      </c>
      <c r="D2051" s="2" t="str">
        <f t="shared" si="31"/>
        <v>Error?</v>
      </c>
    </row>
    <row r="2052" spans="1:4" x14ac:dyDescent="0.2">
      <c r="A2052" s="5">
        <v>1991</v>
      </c>
      <c r="B2052" s="138">
        <f>'Cap Outlay Deprec 26'!K10</f>
        <v>15539</v>
      </c>
      <c r="C2052" s="2" t="s">
        <v>573</v>
      </c>
      <c r="D2052" s="2" t="str">
        <f t="shared" si="31"/>
        <v>Error?</v>
      </c>
    </row>
    <row r="2053" spans="1:4" x14ac:dyDescent="0.2">
      <c r="A2053" s="5">
        <v>1992</v>
      </c>
      <c r="B2053" s="138">
        <f>'Cap Outlay Deprec 26'!K12</f>
        <v>46665</v>
      </c>
      <c r="C2053" s="2" t="s">
        <v>573</v>
      </c>
      <c r="D2053" s="2" t="str">
        <f t="shared" si="31"/>
        <v>Error?</v>
      </c>
    </row>
    <row r="2054" spans="1:4" x14ac:dyDescent="0.2">
      <c r="A2054" s="5">
        <v>1993</v>
      </c>
      <c r="B2054" s="138">
        <f>'Cap Outlay Deprec 26'!K13</f>
        <v>112946</v>
      </c>
      <c r="C2054" s="2" t="s">
        <v>573</v>
      </c>
      <c r="D2054" s="2" t="str">
        <f t="shared" si="31"/>
        <v>Error?</v>
      </c>
    </row>
    <row r="2055" spans="1:4" x14ac:dyDescent="0.2">
      <c r="A2055" s="5">
        <v>1994</v>
      </c>
      <c r="B2055" s="138">
        <f>'Cap Outlay Deprec 26'!K16</f>
        <v>2320165</v>
      </c>
      <c r="C2055" s="2" t="s">
        <v>573</v>
      </c>
      <c r="D2055" s="2" t="str">
        <f t="shared" si="31"/>
        <v>Error?</v>
      </c>
    </row>
    <row r="2056" spans="1:4" x14ac:dyDescent="0.2">
      <c r="A2056" s="5">
        <v>1995</v>
      </c>
      <c r="B2056" s="138">
        <f>'Cap Outlay Deprec 26'!L5</f>
        <v>277145</v>
      </c>
      <c r="C2056" s="2" t="s">
        <v>573</v>
      </c>
      <c r="D2056" s="2" t="str">
        <f t="shared" si="31"/>
        <v>Error?</v>
      </c>
    </row>
    <row r="2057" spans="1:4" x14ac:dyDescent="0.2">
      <c r="A2057" s="5">
        <v>1996</v>
      </c>
      <c r="B2057" s="138">
        <f>'Cap Outlay Deprec 26'!L8</f>
        <v>1887924</v>
      </c>
      <c r="C2057" s="2" t="s">
        <v>573</v>
      </c>
      <c r="D2057" s="2" t="str">
        <f t="shared" si="31"/>
        <v>Error?</v>
      </c>
    </row>
    <row r="2058" spans="1:4" x14ac:dyDescent="0.2">
      <c r="A2058" s="5">
        <v>1997</v>
      </c>
      <c r="B2058" s="138">
        <f>'Cap Outlay Deprec 26'!L10</f>
        <v>24342</v>
      </c>
      <c r="C2058" s="2" t="s">
        <v>573</v>
      </c>
      <c r="D2058" s="2" t="str">
        <f t="shared" si="31"/>
        <v>Error?</v>
      </c>
    </row>
    <row r="2059" spans="1:4" x14ac:dyDescent="0.2">
      <c r="A2059" s="5">
        <v>1998</v>
      </c>
      <c r="B2059" s="138">
        <f>'Cap Outlay Deprec 26'!L12</f>
        <v>58411</v>
      </c>
      <c r="C2059" s="2" t="s">
        <v>573</v>
      </c>
      <c r="D2059" s="2" t="str">
        <f t="shared" si="31"/>
        <v>Error?</v>
      </c>
    </row>
    <row r="2060" spans="1:4" x14ac:dyDescent="0.2">
      <c r="A2060" s="5">
        <v>1999</v>
      </c>
      <c r="B2060" s="138">
        <f>'Cap Outlay Deprec 26'!L13</f>
        <v>26406</v>
      </c>
      <c r="C2060" s="2" t="s">
        <v>573</v>
      </c>
      <c r="D2060" s="2" t="str">
        <f t="shared" si="31"/>
        <v>Error?</v>
      </c>
    </row>
    <row r="2061" spans="1:4" x14ac:dyDescent="0.2">
      <c r="A2061" s="5">
        <v>2000</v>
      </c>
      <c r="B2061" s="138">
        <f>'Cap Outlay Deprec 26'!L16</f>
        <v>2294228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2278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2278</v>
      </c>
      <c r="C2088" s="2" t="s">
        <v>573</v>
      </c>
      <c r="D2088" s="2" t="str">
        <f t="shared" si="31"/>
        <v>Error?</v>
      </c>
    </row>
    <row r="2089" spans="1:4" x14ac:dyDescent="0.2">
      <c r="A2089" s="5">
        <v>2028</v>
      </c>
      <c r="B2089" s="138">
        <f>'Expenditures 15-22'!K92</f>
        <v>746398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97978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33151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2045477</v>
      </c>
      <c r="C2551" s="2" t="s">
        <v>573</v>
      </c>
      <c r="D2551" s="2" t="str">
        <f t="shared" si="38"/>
        <v>Error?</v>
      </c>
    </row>
    <row r="2552" spans="1:4" x14ac:dyDescent="0.2">
      <c r="A2552" s="10">
        <v>2491</v>
      </c>
      <c r="D2552" s="2" t="str">
        <f t="shared" si="38"/>
        <v>OK</v>
      </c>
    </row>
    <row r="2553" spans="1:4" x14ac:dyDescent="0.2">
      <c r="A2553" s="5">
        <v>2492</v>
      </c>
      <c r="B2553" s="138">
        <f>'Acct Summary 7-8'!C6</f>
        <v>357884</v>
      </c>
      <c r="C2553" s="2" t="s">
        <v>573</v>
      </c>
      <c r="D2553" s="2" t="str">
        <f t="shared" si="38"/>
        <v>Error?</v>
      </c>
    </row>
    <row r="2554" spans="1:4" x14ac:dyDescent="0.2">
      <c r="A2554" s="5">
        <v>2493</v>
      </c>
      <c r="B2554" s="138">
        <f>'Acct Summary 7-8'!C7</f>
        <v>212589</v>
      </c>
      <c r="C2554" s="2" t="s">
        <v>573</v>
      </c>
      <c r="D2554" s="2" t="str">
        <f t="shared" si="38"/>
        <v>Error?</v>
      </c>
    </row>
    <row r="2555" spans="1:4" x14ac:dyDescent="0.2">
      <c r="A2555" s="5">
        <v>2494</v>
      </c>
      <c r="B2555" s="138">
        <f>'Acct Summary 7-8'!C8</f>
        <v>2615950</v>
      </c>
      <c r="C2555" s="2" t="s">
        <v>573</v>
      </c>
      <c r="D2555" s="2" t="str">
        <f t="shared" si="38"/>
        <v>Error?</v>
      </c>
    </row>
    <row r="2556" spans="1:4" x14ac:dyDescent="0.2">
      <c r="A2556" s="5">
        <v>2495</v>
      </c>
      <c r="B2556" s="138">
        <f>'Acct Summary 7-8'!C12</f>
        <v>893329</v>
      </c>
      <c r="C2556" s="2" t="s">
        <v>573</v>
      </c>
      <c r="D2556" s="2" t="str">
        <f t="shared" si="38"/>
        <v>Error?</v>
      </c>
    </row>
    <row r="2557" spans="1:4" x14ac:dyDescent="0.2">
      <c r="A2557" s="5">
        <v>2496</v>
      </c>
      <c r="B2557" s="138">
        <f>'Acct Summary 7-8'!C13</f>
        <v>365173</v>
      </c>
      <c r="C2557" s="2" t="s">
        <v>573</v>
      </c>
      <c r="D2557" s="2" t="str">
        <f t="shared" si="38"/>
        <v>Error?</v>
      </c>
    </row>
    <row r="2558" spans="1:4" x14ac:dyDescent="0.2">
      <c r="A2558" s="5">
        <v>2497</v>
      </c>
      <c r="B2558" s="138">
        <f>'Acct Summary 7-8'!C14</f>
        <v>135</v>
      </c>
      <c r="C2558" s="2" t="s">
        <v>573</v>
      </c>
      <c r="D2558" s="2" t="str">
        <f t="shared" si="38"/>
        <v>Error?</v>
      </c>
    </row>
    <row r="2559" spans="1:4" x14ac:dyDescent="0.2">
      <c r="A2559" s="5">
        <v>2498</v>
      </c>
      <c r="B2559" s="138">
        <f>'Acct Summary 7-8'!C15</f>
        <v>748676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2007313</v>
      </c>
      <c r="C2561" s="2" t="s">
        <v>573</v>
      </c>
      <c r="D2561" s="2" t="str">
        <f t="shared" si="39"/>
        <v>Error?</v>
      </c>
    </row>
    <row r="2562" spans="1:4" x14ac:dyDescent="0.2">
      <c r="A2562" s="5">
        <v>2501</v>
      </c>
      <c r="B2562" s="138">
        <f>'Acct Summary 7-8'!C20</f>
        <v>608637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311021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311021</v>
      </c>
      <c r="C2568" s="2" t="s">
        <v>573</v>
      </c>
      <c r="D2568" s="2" t="str">
        <f t="shared" si="39"/>
        <v>Error?</v>
      </c>
    </row>
    <row r="2569" spans="1:4" x14ac:dyDescent="0.2">
      <c r="A2569" s="5">
        <v>2508</v>
      </c>
      <c r="B2569" s="138">
        <f>'Acct Summary 7-8'!D13</f>
        <v>193239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193239</v>
      </c>
      <c r="C2573" s="2" t="s">
        <v>573</v>
      </c>
      <c r="D2573" s="2" t="str">
        <f t="shared" si="39"/>
        <v>Error?</v>
      </c>
    </row>
    <row r="2574" spans="1:4" x14ac:dyDescent="0.2">
      <c r="A2574" s="5">
        <v>2513</v>
      </c>
      <c r="B2574" s="138">
        <f>'Acct Summary 7-8'!D20</f>
        <v>117782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125883</v>
      </c>
      <c r="C2591" s="2" t="s">
        <v>573</v>
      </c>
      <c r="D2591" s="2" t="str">
        <f t="shared" si="39"/>
        <v>Error?</v>
      </c>
    </row>
    <row r="2592" spans="1:4" x14ac:dyDescent="0.2">
      <c r="A2592" s="10">
        <v>2531</v>
      </c>
      <c r="D2592" s="2" t="str">
        <f t="shared" si="39"/>
        <v>OK</v>
      </c>
    </row>
    <row r="2593" spans="1:4" x14ac:dyDescent="0.2">
      <c r="A2593" s="5">
        <v>2532</v>
      </c>
      <c r="B2593" s="138">
        <f>'Acct Summary 7-8'!F6</f>
        <v>115826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241709</v>
      </c>
      <c r="C2595" s="2" t="s">
        <v>573</v>
      </c>
      <c r="D2595" s="2" t="str">
        <f t="shared" si="39"/>
        <v>Error?</v>
      </c>
    </row>
    <row r="2596" spans="1:4" x14ac:dyDescent="0.2">
      <c r="A2596" s="5">
        <v>2535</v>
      </c>
      <c r="B2596" s="138">
        <f>'Acct Summary 7-8'!F13</f>
        <v>164013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164013</v>
      </c>
      <c r="C2600" s="2" t="s">
        <v>573</v>
      </c>
      <c r="D2600" s="2" t="str">
        <f t="shared" si="39"/>
        <v>Error?</v>
      </c>
    </row>
    <row r="2601" spans="1:4" x14ac:dyDescent="0.2">
      <c r="A2601" s="5">
        <v>2540</v>
      </c>
      <c r="B2601" s="138">
        <f>'Acct Summary 7-8'!F20</f>
        <v>77696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81417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81417</v>
      </c>
      <c r="C2606" s="2" t="s">
        <v>573</v>
      </c>
      <c r="D2606" s="2" t="str">
        <f t="shared" si="39"/>
        <v>Error?</v>
      </c>
    </row>
    <row r="2607" spans="1:4" x14ac:dyDescent="0.2">
      <c r="A2607" s="5">
        <v>2546</v>
      </c>
      <c r="B2607" s="138">
        <f>'Acct Summary 7-8'!G12</f>
        <v>18315</v>
      </c>
      <c r="C2607" s="2" t="s">
        <v>573</v>
      </c>
      <c r="D2607" s="2" t="str">
        <f t="shared" si="39"/>
        <v>Error?</v>
      </c>
    </row>
    <row r="2608" spans="1:4" x14ac:dyDescent="0.2">
      <c r="A2608" s="5">
        <v>2547</v>
      </c>
      <c r="B2608" s="138">
        <f>'Acct Summary 7-8'!G13</f>
        <v>41938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65780</v>
      </c>
      <c r="C2612" s="2" t="s">
        <v>573</v>
      </c>
      <c r="D2612" s="2" t="str">
        <f t="shared" si="39"/>
        <v>Error?</v>
      </c>
    </row>
    <row r="2613" spans="1:4" x14ac:dyDescent="0.2">
      <c r="A2613" s="5">
        <v>2552</v>
      </c>
      <c r="B2613" s="138">
        <f>'Acct Summary 7-8'!G20</f>
        <v>15637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54766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54766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54272</v>
      </c>
      <c r="C2634" s="2" t="s">
        <v>573</v>
      </c>
      <c r="D2634" s="2" t="str">
        <f t="shared" si="40"/>
        <v>Error?</v>
      </c>
    </row>
    <row r="2635" spans="1:4" x14ac:dyDescent="0.2">
      <c r="A2635" s="5">
        <v>2574</v>
      </c>
      <c r="B2635" s="138">
        <f>'Acct Summary 7-8'!E17</f>
        <v>54272</v>
      </c>
      <c r="C2635" s="2" t="s">
        <v>573</v>
      </c>
      <c r="D2635" s="2" t="str">
        <f t="shared" si="40"/>
        <v>Error?</v>
      </c>
    </row>
    <row r="2636" spans="1:4" x14ac:dyDescent="0.2">
      <c r="A2636" s="5">
        <v>2575</v>
      </c>
      <c r="B2636" s="138">
        <f>'Acct Summary 7-8'!E20</f>
        <v>494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20000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36937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238830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15246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238830</v>
      </c>
      <c r="D2912" s="2" t="str">
        <f t="shared" si="44"/>
        <v>Error?</v>
      </c>
    </row>
    <row r="2913" spans="1:4" x14ac:dyDescent="0.2">
      <c r="A2913" s="5">
        <v>2852</v>
      </c>
      <c r="B2913" s="138">
        <f>'Assets-Liab 5-6'!I41</f>
        <v>238830</v>
      </c>
      <c r="C2913" s="2" t="s">
        <v>573</v>
      </c>
      <c r="D2913" s="2" t="str">
        <f t="shared" si="44"/>
        <v>Error?</v>
      </c>
    </row>
    <row r="2914" spans="1:4" x14ac:dyDescent="0.2">
      <c r="A2914" s="5">
        <v>2853</v>
      </c>
      <c r="B2914" s="138">
        <f>'Assets-Liab 5-6'!L33</f>
        <v>15246</v>
      </c>
      <c r="D2914" s="2" t="str">
        <f t="shared" si="44"/>
        <v>Error?</v>
      </c>
    </row>
    <row r="2915" spans="1:4" x14ac:dyDescent="0.2">
      <c r="A2915" s="10">
        <v>2854</v>
      </c>
      <c r="D2915" s="2" t="str">
        <f t="shared" si="44"/>
        <v>OK</v>
      </c>
    </row>
    <row r="2916" spans="1:4" x14ac:dyDescent="0.2">
      <c r="A2916" s="5">
        <v>2855</v>
      </c>
      <c r="B2916" s="138">
        <f>'Assets-Liab 5-6'!L34</f>
        <v>15246</v>
      </c>
      <c r="C2916" s="2" t="s">
        <v>573</v>
      </c>
      <c r="D2916" s="2" t="str">
        <f t="shared" si="44"/>
        <v>Error?</v>
      </c>
    </row>
    <row r="2917" spans="1:4" x14ac:dyDescent="0.2">
      <c r="A2917" s="5">
        <v>2856</v>
      </c>
      <c r="B2917" s="138">
        <f>'Assets-Liab 5-6'!L41</f>
        <v>15246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2278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2278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54830</v>
      </c>
      <c r="D3055" s="2" t="str">
        <f t="shared" si="46"/>
        <v>Error?</v>
      </c>
    </row>
    <row r="3056" spans="1:4" x14ac:dyDescent="0.2">
      <c r="A3056" s="5">
        <v>2995</v>
      </c>
      <c r="B3056" s="138">
        <f>'Expenditures 15-22'!D10</f>
        <v>7458</v>
      </c>
      <c r="D3056" s="2" t="str">
        <f t="shared" si="46"/>
        <v>Error?</v>
      </c>
    </row>
    <row r="3057" spans="1:4" x14ac:dyDescent="0.2">
      <c r="A3057" s="5">
        <v>2996</v>
      </c>
      <c r="B3057" s="138">
        <f>'Expenditures 15-22'!E10</f>
        <v>1595</v>
      </c>
      <c r="D3057" s="2" t="str">
        <f t="shared" si="46"/>
        <v>Error?</v>
      </c>
    </row>
    <row r="3058" spans="1:4" x14ac:dyDescent="0.2">
      <c r="A3058" s="5">
        <v>2997</v>
      </c>
      <c r="B3058" s="138">
        <f>'Expenditures 15-22'!F10</f>
        <v>70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63953</v>
      </c>
      <c r="C3062" s="2" t="s">
        <v>573</v>
      </c>
      <c r="D3062" s="2" t="str">
        <f t="shared" si="46"/>
        <v>Error?</v>
      </c>
    </row>
    <row r="3063" spans="1:4" x14ac:dyDescent="0.2">
      <c r="A3063" s="10">
        <v>3002</v>
      </c>
      <c r="D3063" s="2" t="str">
        <f t="shared" si="46"/>
        <v>OK</v>
      </c>
    </row>
    <row r="3064" spans="1:4" x14ac:dyDescent="0.2">
      <c r="A3064" s="5">
        <v>3003</v>
      </c>
      <c r="B3064" s="138">
        <f>'Expenditures 15-22'!D219</f>
        <v>3121</v>
      </c>
      <c r="D3064" s="2" t="str">
        <f t="shared" si="46"/>
        <v>Error?</v>
      </c>
    </row>
    <row r="3065" spans="1:4" x14ac:dyDescent="0.2">
      <c r="A3065" s="5">
        <v>3004</v>
      </c>
      <c r="B3065" s="138">
        <f>'Expenditures 15-22'!K219</f>
        <v>3121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31863</v>
      </c>
      <c r="C3225" s="2" t="s">
        <v>573</v>
      </c>
      <c r="D3225" s="2" t="str">
        <f t="shared" si="49"/>
        <v>Error?</v>
      </c>
    </row>
    <row r="3226" spans="1:4" x14ac:dyDescent="0.2">
      <c r="A3226" s="5">
        <v>3165</v>
      </c>
      <c r="B3226" s="138">
        <f>'Acct Summary 7-8'!I8</f>
        <v>31863</v>
      </c>
      <c r="C3226" s="2" t="s">
        <v>573</v>
      </c>
      <c r="D3226" s="2" t="str">
        <f t="shared" si="49"/>
        <v>Error?</v>
      </c>
    </row>
    <row r="3227" spans="1:4" x14ac:dyDescent="0.2">
      <c r="A3227" s="5">
        <v>3166</v>
      </c>
      <c r="B3227" s="138">
        <f>'Acct Summary 7-8'!I20</f>
        <v>31863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608637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117782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77696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15637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494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31863</v>
      </c>
      <c r="C3320" s="2" t="s">
        <v>573</v>
      </c>
      <c r="D3320" s="2" t="str">
        <f t="shared" si="50"/>
        <v>Error?</v>
      </c>
    </row>
    <row r="3321" spans="1:4" x14ac:dyDescent="0.2">
      <c r="A3321" s="5">
        <v>3260</v>
      </c>
      <c r="B3321" s="138">
        <f>'Acct Summary 7-8'!I79</f>
        <v>206967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238830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79095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14768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93999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11443</v>
      </c>
      <c r="D3387" s="2" t="str">
        <f t="shared" si="51"/>
        <v>Error?</v>
      </c>
    </row>
    <row r="3388" spans="1:4" x14ac:dyDescent="0.2">
      <c r="A3388" s="5">
        <v>3327</v>
      </c>
      <c r="B3388" s="138">
        <f>'Expenditures 15-22'!D217</f>
        <v>2577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11443</v>
      </c>
      <c r="C3390" s="2" t="s">
        <v>573</v>
      </c>
      <c r="D3390" s="2" t="str">
        <f t="shared" si="51"/>
        <v>Error?</v>
      </c>
    </row>
    <row r="3391" spans="1:4" x14ac:dyDescent="0.2">
      <c r="A3391" s="5">
        <v>3330</v>
      </c>
      <c r="B3391" s="138">
        <f>'Expenditures 15-22'!K217</f>
        <v>2577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1791300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836474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494</v>
      </c>
      <c r="D3417" s="2" t="str">
        <f t="shared" si="52"/>
        <v>Error?</v>
      </c>
    </row>
    <row r="3418" spans="1:4" x14ac:dyDescent="0.2">
      <c r="A3418" s="10">
        <v>3357</v>
      </c>
      <c r="D3418" s="2" t="str">
        <f t="shared" si="52"/>
        <v>OK</v>
      </c>
    </row>
    <row r="3419" spans="1:4" x14ac:dyDescent="0.2">
      <c r="A3419" s="5">
        <v>3358</v>
      </c>
      <c r="B3419" s="138">
        <f>'Assets-Liab 5-6'!F4</f>
        <v>687262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69381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201893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15246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52398</v>
      </c>
      <c r="C3446" s="2" t="s">
        <v>573</v>
      </c>
      <c r="D3446" s="2" t="str">
        <f t="shared" si="52"/>
        <v>Error?</v>
      </c>
    </row>
    <row r="3447" spans="1:4" x14ac:dyDescent="0.2">
      <c r="A3447" s="5">
        <v>3386</v>
      </c>
      <c r="B3447" s="138">
        <f>'Tax Sched 23'!D16</f>
        <v>52398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54008</v>
      </c>
      <c r="C3449" s="2" t="s">
        <v>573</v>
      </c>
      <c r="D3449" s="2" t="str">
        <f t="shared" si="52"/>
        <v>Error?</v>
      </c>
    </row>
    <row r="3450" spans="1:4" x14ac:dyDescent="0.2">
      <c r="A3450" s="5">
        <v>3389</v>
      </c>
      <c r="B3450" s="138">
        <f>'Tax Sched 23'!E16</f>
        <v>54008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20000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20000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20000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86484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86484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86484</v>
      </c>
      <c r="D3567" s="2" t="str">
        <f t="shared" si="54"/>
        <v>Error?</v>
      </c>
    </row>
    <row r="3568" spans="1:4" x14ac:dyDescent="0.2">
      <c r="A3568" s="5">
        <v>3507</v>
      </c>
      <c r="B3568" s="138">
        <f>'Assets-Liab 5-6'!K41</f>
        <v>86484</v>
      </c>
      <c r="C3568" s="2" t="s">
        <v>573</v>
      </c>
      <c r="D3568" s="2" t="str">
        <f t="shared" si="54"/>
        <v>Error?</v>
      </c>
    </row>
    <row r="3569" spans="1:4" x14ac:dyDescent="0.2">
      <c r="A3569" s="5">
        <v>3508</v>
      </c>
      <c r="B3569" s="138">
        <f>'Acct Summary 7-8'!K4</f>
        <v>30665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30665</v>
      </c>
      <c r="C3571" s="2" t="s">
        <v>573</v>
      </c>
      <c r="D3571" s="2" t="str">
        <f t="shared" si="54"/>
        <v>Error?</v>
      </c>
    </row>
    <row r="3572" spans="1:4" x14ac:dyDescent="0.2">
      <c r="A3572" s="5">
        <v>3511</v>
      </c>
      <c r="B3572" s="138">
        <f>'Acct Summary 7-8'!K13</f>
        <v>2537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2537</v>
      </c>
      <c r="C3575" s="2" t="s">
        <v>573</v>
      </c>
      <c r="D3575" s="2" t="str">
        <f t="shared" si="54"/>
        <v>Error?</v>
      </c>
    </row>
    <row r="3576" spans="1:4" x14ac:dyDescent="0.2">
      <c r="A3576" s="5">
        <v>3515</v>
      </c>
      <c r="B3576" s="138">
        <f>'Acct Summary 7-8'!K20</f>
        <v>28128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28128</v>
      </c>
      <c r="C3588" s="2" t="s">
        <v>573</v>
      </c>
      <c r="D3588" s="2" t="str">
        <f t="shared" si="55"/>
        <v>Error?</v>
      </c>
    </row>
    <row r="3589" spans="1:4" x14ac:dyDescent="0.2">
      <c r="A3589" s="5">
        <v>3528</v>
      </c>
      <c r="B3589" s="138">
        <f>'Acct Summary 7-8'!K79</f>
        <v>58356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86484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2537</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2537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2537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2537</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2537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2537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2537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28128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5527</v>
      </c>
      <c r="D3721" s="2" t="str">
        <f t="shared" si="57"/>
        <v>Error?</v>
      </c>
    </row>
    <row r="3722" spans="1:4" x14ac:dyDescent="0.2">
      <c r="A3722" s="5">
        <v>3661</v>
      </c>
      <c r="B3722" s="138">
        <f>'Expenditures 15-22'!D285</f>
        <v>5527</v>
      </c>
      <c r="C3722" s="2" t="s">
        <v>573</v>
      </c>
      <c r="D3722" s="2" t="str">
        <f t="shared" si="57"/>
        <v>Error?</v>
      </c>
    </row>
    <row r="3723" spans="1:4" x14ac:dyDescent="0.2">
      <c r="A3723" s="5">
        <v>3662</v>
      </c>
      <c r="B3723" s="138">
        <f>'Expenditures 15-22'!K283</f>
        <v>5527</v>
      </c>
      <c r="C3723" s="2" t="s">
        <v>573</v>
      </c>
      <c r="D3723" s="2" t="str">
        <f t="shared" si="57"/>
        <v>Error?</v>
      </c>
    </row>
    <row r="3724" spans="1:4" x14ac:dyDescent="0.2">
      <c r="A3724" s="5">
        <v>3663</v>
      </c>
      <c r="B3724" s="138">
        <f>'Expenditures 15-22'!K285</f>
        <v>5527</v>
      </c>
      <c r="C3724" s="2" t="s">
        <v>573</v>
      </c>
      <c r="D3724" s="2" t="str">
        <f t="shared" si="57"/>
        <v>Error?</v>
      </c>
    </row>
    <row r="3725" spans="1:4" x14ac:dyDescent="0.2">
      <c r="A3725" s="5">
        <v>3664</v>
      </c>
      <c r="B3725" s="138">
        <f>'Tax Sched 23'!B13</f>
        <v>10084</v>
      </c>
      <c r="C3725" s="2" t="s">
        <v>573</v>
      </c>
      <c r="D3725" s="2" t="str">
        <f t="shared" si="57"/>
        <v>Error?</v>
      </c>
    </row>
    <row r="3726" spans="1:4" x14ac:dyDescent="0.2">
      <c r="A3726" s="5">
        <v>3665</v>
      </c>
      <c r="B3726" s="138">
        <f>'Tax Sched 23'!D13</f>
        <v>10084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19001</v>
      </c>
      <c r="C3728" s="2" t="s">
        <v>573</v>
      </c>
      <c r="D3728" s="2" t="str">
        <f t="shared" si="57"/>
        <v>Error?</v>
      </c>
    </row>
    <row r="3729" spans="1:4" x14ac:dyDescent="0.2">
      <c r="A3729" s="5">
        <v>3668</v>
      </c>
      <c r="B3729" s="138">
        <f>'Tax Sched 23'!E13</f>
        <v>19001</v>
      </c>
      <c r="D3729" s="2" t="str">
        <f t="shared" si="57"/>
        <v>Error?</v>
      </c>
    </row>
    <row r="3730" spans="1:4" x14ac:dyDescent="0.2">
      <c r="A3730" s="5">
        <v>3669</v>
      </c>
      <c r="B3730" s="138">
        <f>'ICR Computation 30'!E10</f>
        <v>29850.87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499178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3115128</v>
      </c>
      <c r="C4122" s="2" t="s">
        <v>573</v>
      </c>
      <c r="D4122" s="2" t="str">
        <f t="shared" si="63"/>
        <v>Error?</v>
      </c>
    </row>
    <row r="4123" spans="1:4" x14ac:dyDescent="0.2">
      <c r="A4123" s="5">
        <v>4062</v>
      </c>
      <c r="B4123" s="138">
        <f>'Acct Summary 7-8'!D10</f>
        <v>311021</v>
      </c>
      <c r="C4123" s="2" t="s">
        <v>573</v>
      </c>
      <c r="D4123" s="2" t="str">
        <f t="shared" si="63"/>
        <v>Error?</v>
      </c>
    </row>
    <row r="4124" spans="1:4" x14ac:dyDescent="0.2">
      <c r="A4124" s="5">
        <v>4063</v>
      </c>
      <c r="B4124" s="138">
        <f>'Acct Summary 7-8'!E10</f>
        <v>54766</v>
      </c>
      <c r="C4124" s="2" t="s">
        <v>573</v>
      </c>
      <c r="D4124" s="2" t="str">
        <f t="shared" si="63"/>
        <v>Error?</v>
      </c>
    </row>
    <row r="4125" spans="1:4" x14ac:dyDescent="0.2">
      <c r="A4125" s="5">
        <v>4064</v>
      </c>
      <c r="B4125" s="138">
        <f>'Acct Summary 7-8'!F10</f>
        <v>241709</v>
      </c>
      <c r="C4125" s="2" t="s">
        <v>573</v>
      </c>
      <c r="D4125" s="2" t="str">
        <f t="shared" si="63"/>
        <v>Error?</v>
      </c>
    </row>
    <row r="4126" spans="1:4" x14ac:dyDescent="0.2">
      <c r="A4126" s="5">
        <v>4065</v>
      </c>
      <c r="B4126" s="138">
        <f>'Acct Summary 7-8'!G10</f>
        <v>81417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31863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30665</v>
      </c>
      <c r="C4130" s="2" t="s">
        <v>573</v>
      </c>
      <c r="D4130" s="2" t="str">
        <f t="shared" si="63"/>
        <v>Error?</v>
      </c>
    </row>
    <row r="4131" spans="1:4" x14ac:dyDescent="0.2">
      <c r="A4131" s="5">
        <v>4070</v>
      </c>
      <c r="B4131" s="138">
        <f>'Acct Summary 7-8'!C18</f>
        <v>499178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2506491</v>
      </c>
      <c r="C4136" s="2" t="s">
        <v>573</v>
      </c>
      <c r="D4136" s="2" t="str">
        <f t="shared" si="63"/>
        <v>Error?</v>
      </c>
    </row>
    <row r="4137" spans="1:4" x14ac:dyDescent="0.2">
      <c r="A4137" s="5">
        <v>4076</v>
      </c>
      <c r="B4137" s="138">
        <f>'Acct Summary 7-8'!D19</f>
        <v>193239</v>
      </c>
      <c r="C4137" s="2" t="s">
        <v>573</v>
      </c>
      <c r="D4137" s="2" t="str">
        <f t="shared" si="63"/>
        <v>Error?</v>
      </c>
    </row>
    <row r="4138" spans="1:4" x14ac:dyDescent="0.2">
      <c r="A4138" s="5">
        <v>4077</v>
      </c>
      <c r="B4138" s="138">
        <f>'Acct Summary 7-8'!E19</f>
        <v>54272</v>
      </c>
      <c r="C4138" s="2" t="s">
        <v>573</v>
      </c>
      <c r="D4138" s="2" t="str">
        <f t="shared" si="63"/>
        <v>Error?</v>
      </c>
    </row>
    <row r="4139" spans="1:4" x14ac:dyDescent="0.2">
      <c r="A4139" s="5">
        <v>4078</v>
      </c>
      <c r="B4139" s="138">
        <f>'Acct Summary 7-8'!F19</f>
        <v>164013</v>
      </c>
      <c r="C4139" s="2" t="s">
        <v>573</v>
      </c>
      <c r="D4139" s="2" t="str">
        <f t="shared" si="63"/>
        <v>Error?</v>
      </c>
    </row>
    <row r="4140" spans="1:4" x14ac:dyDescent="0.2">
      <c r="A4140" s="5">
        <v>4079</v>
      </c>
      <c r="B4140" s="138">
        <f>'Acct Summary 7-8'!G19</f>
        <v>65780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2537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-494</v>
      </c>
      <c r="C4172" s="2" t="s">
        <v>573</v>
      </c>
      <c r="D4172" s="2" t="str">
        <f t="shared" si="64"/>
        <v>Error?</v>
      </c>
    </row>
    <row r="4173" spans="1:4" x14ac:dyDescent="0.2">
      <c r="A4173" s="5">
        <v>4112</v>
      </c>
      <c r="B4173" s="138">
        <f>'Short-Term Long-Term Debt 24'!H49</f>
        <v>53000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3130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3830</v>
      </c>
      <c r="C4268" s="2" t="s">
        <v>573</v>
      </c>
      <c r="D4268" s="2" t="str">
        <f t="shared" si="65"/>
        <v>Error?</v>
      </c>
    </row>
    <row r="4269" spans="1:5" x14ac:dyDescent="0.2">
      <c r="A4269" s="12">
        <v>4208</v>
      </c>
      <c r="B4269" s="138">
        <f>'FP Info 3'!J16</f>
        <v>3553866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848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7665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3133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16740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49686</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61095195</v>
      </c>
      <c r="D4995" s="2" t="str">
        <f t="shared" si="77"/>
        <v>Error?</v>
      </c>
    </row>
    <row r="4996" spans="1:4" x14ac:dyDescent="0.2">
      <c r="A4996" s="12">
        <v>4935</v>
      </c>
      <c r="B4996" s="138">
        <f>'FP Info 3'!H31</f>
        <v>8431136.9100000001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10084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1878655</v>
      </c>
      <c r="D5061" s="2" t="str">
        <f t="shared" si="78"/>
        <v>Error?</v>
      </c>
    </row>
    <row r="5062" spans="1:4" x14ac:dyDescent="0.2">
      <c r="A5062" s="10">
        <v>5001</v>
      </c>
      <c r="D5062" s="2" t="str">
        <f t="shared" si="78"/>
        <v>OK</v>
      </c>
    </row>
    <row r="5063" spans="1:4" x14ac:dyDescent="0.2">
      <c r="A5063" s="5">
        <v>5002</v>
      </c>
      <c r="B5063" s="138">
        <f>'Revenues 9-14'!C7</f>
        <v>24008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1912747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59598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59598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17964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17964</v>
      </c>
      <c r="C5090" s="2" t="s">
        <v>573</v>
      </c>
      <c r="D5090" s="2" t="str">
        <f t="shared" si="78"/>
        <v>Error?</v>
      </c>
    </row>
    <row r="5091" spans="1:4" x14ac:dyDescent="0.2">
      <c r="A5091" s="5">
        <v>5030</v>
      </c>
      <c r="B5091" s="138">
        <f>'Revenues 9-14'!C70</f>
        <v>1399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580</v>
      </c>
      <c r="D5094" s="2" t="str">
        <f t="shared" si="78"/>
        <v>Error?</v>
      </c>
    </row>
    <row r="5095" spans="1:4" x14ac:dyDescent="0.2">
      <c r="A5095" s="5">
        <v>5034</v>
      </c>
      <c r="B5095" s="138">
        <f>'Revenues 9-14'!C74</f>
        <v>523</v>
      </c>
      <c r="D5095" s="2" t="str">
        <f t="shared" si="78"/>
        <v>Error?</v>
      </c>
    </row>
    <row r="5096" spans="1:4" x14ac:dyDescent="0.2">
      <c r="A5096" s="5">
        <v>5035</v>
      </c>
      <c r="B5096" s="138">
        <f>'Revenues 9-14'!C75</f>
        <v>13936</v>
      </c>
      <c r="C5096" s="2" t="s">
        <v>573</v>
      </c>
      <c r="D5096" s="2" t="str">
        <f t="shared" si="78"/>
        <v>Error?</v>
      </c>
    </row>
    <row r="5097" spans="1:4" x14ac:dyDescent="0.2">
      <c r="A5097" s="5">
        <v>5036</v>
      </c>
      <c r="B5097" s="138">
        <f>'Revenues 9-14'!C77</f>
        <v>2353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1050</v>
      </c>
      <c r="D5101" s="2" t="str">
        <f t="shared" si="78"/>
        <v>Error?</v>
      </c>
    </row>
    <row r="5102" spans="1:4" x14ac:dyDescent="0.2">
      <c r="A5102" s="5">
        <v>5041</v>
      </c>
      <c r="B5102" s="138">
        <f>'Revenues 9-14'!C82</f>
        <v>3403</v>
      </c>
      <c r="C5102" s="2" t="s">
        <v>573</v>
      </c>
      <c r="D5102" s="2" t="str">
        <f t="shared" si="78"/>
        <v>Error?</v>
      </c>
    </row>
    <row r="5103" spans="1:4" x14ac:dyDescent="0.2">
      <c r="A5103" s="5">
        <v>5042</v>
      </c>
      <c r="B5103" s="138">
        <f>'Revenues 9-14'!C84</f>
        <v>2095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70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2165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3668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10209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5047</v>
      </c>
      <c r="D5119" s="2" t="str">
        <f t="shared" ref="D5119:D5182" si="79">IF(ISBLANK(B5119),"OK",IF(A5119-B5119=0,"OK","Error?"))</f>
        <v>Error?</v>
      </c>
    </row>
    <row r="5120" spans="1:4" x14ac:dyDescent="0.2">
      <c r="A5120" s="5">
        <v>5059</v>
      </c>
      <c r="B5120" s="138">
        <f>'Revenues 9-14'!C108</f>
        <v>35664</v>
      </c>
      <c r="C5120" s="2" t="s">
        <v>573</v>
      </c>
      <c r="D5120" s="2" t="str">
        <f t="shared" si="79"/>
        <v>Error?</v>
      </c>
    </row>
    <row r="5121" spans="1:4" x14ac:dyDescent="0.2">
      <c r="A5121" s="5">
        <v>5060</v>
      </c>
      <c r="B5121" s="138">
        <f>'Revenues 9-14'!C109</f>
        <v>2045477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262099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262099</v>
      </c>
      <c r="C5132" s="2" t="s">
        <v>573</v>
      </c>
      <c r="D5132" s="2" t="str">
        <f t="shared" si="79"/>
        <v>Error?</v>
      </c>
    </row>
    <row r="5133" spans="1:4" x14ac:dyDescent="0.2">
      <c r="A5133" s="5">
        <v>5072</v>
      </c>
      <c r="B5133" s="138">
        <f>'Revenues 9-14'!C125</f>
        <v>24952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9398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34350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570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60115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95785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357884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49686</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34623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6891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41514</v>
      </c>
      <c r="C5246" s="2" t="s">
        <v>573</v>
      </c>
      <c r="D5246" s="2" t="str">
        <f t="shared" si="80"/>
        <v>Error?</v>
      </c>
    </row>
    <row r="5247" spans="1:4" x14ac:dyDescent="0.2">
      <c r="A5247" s="5">
        <v>5186</v>
      </c>
      <c r="B5247" s="138">
        <f>'Revenues 9-14'!C200</f>
        <v>109743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109743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162903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212589</v>
      </c>
      <c r="C5326" s="2" t="s">
        <v>573</v>
      </c>
      <c r="D5326" s="2" t="str">
        <f t="shared" si="82"/>
        <v>Error?</v>
      </c>
    </row>
    <row r="5327" spans="1:5" x14ac:dyDescent="0.2">
      <c r="A5327" s="5">
        <v>5266</v>
      </c>
      <c r="B5327" s="138">
        <f>'Revenues 9-14'!C268</f>
        <v>2615950</v>
      </c>
      <c r="C5327" s="2" t="s">
        <v>573</v>
      </c>
      <c r="D5327" s="2" t="str">
        <f t="shared" si="82"/>
        <v>Error?</v>
      </c>
    </row>
    <row r="5328" spans="1:5" x14ac:dyDescent="0.2">
      <c r="A5328" s="5">
        <v>5267</v>
      </c>
      <c r="B5328" s="138">
        <f>'Revenues 9-14'!D5</f>
        <v>300105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300105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6984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6984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3582</v>
      </c>
      <c r="D5354" s="2" t="str">
        <f t="shared" si="82"/>
        <v>Error?</v>
      </c>
    </row>
    <row r="5355" spans="1:4" x14ac:dyDescent="0.2">
      <c r="A5355" s="5">
        <v>5294</v>
      </c>
      <c r="B5355" s="138">
        <f>'Revenues 9-14'!D108</f>
        <v>3932</v>
      </c>
      <c r="C5355" s="2" t="s">
        <v>573</v>
      </c>
      <c r="D5355" s="2" t="str">
        <f t="shared" si="82"/>
        <v>Error?</v>
      </c>
    </row>
    <row r="5356" spans="1:4" x14ac:dyDescent="0.2">
      <c r="A5356" s="5">
        <v>5295</v>
      </c>
      <c r="B5356" s="138">
        <f>'Revenues 9-14'!D109</f>
        <v>311021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311021</v>
      </c>
      <c r="C5508" s="2" t="s">
        <v>573</v>
      </c>
      <c r="D5508" s="2" t="str">
        <f t="shared" si="85"/>
        <v>Error?</v>
      </c>
    </row>
    <row r="5509" spans="1:4" x14ac:dyDescent="0.2">
      <c r="A5509" s="5">
        <v>5448</v>
      </c>
      <c r="B5509" s="138">
        <f>'Revenues 9-14'!E5</f>
        <v>54679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54679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54766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54766</v>
      </c>
      <c r="C5552" s="2" t="s">
        <v>573</v>
      </c>
      <c r="D5552" s="2" t="str">
        <f t="shared" si="85"/>
        <v>Error?</v>
      </c>
    </row>
    <row r="5553" spans="1:4" x14ac:dyDescent="0.2">
      <c r="A5553" s="5">
        <v>5492</v>
      </c>
      <c r="B5553" s="138">
        <f>'Revenues 9-14'!F5</f>
        <v>120042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120042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5486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5486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355</v>
      </c>
      <c r="D5586" s="2" t="str">
        <f t="shared" si="86"/>
        <v>Error?</v>
      </c>
    </row>
    <row r="5587" spans="1:4" x14ac:dyDescent="0.2">
      <c r="A5587" s="5">
        <v>5526</v>
      </c>
      <c r="B5587" s="138">
        <f>'Revenues 9-14'!F108</f>
        <v>355</v>
      </c>
      <c r="C5587" s="2" t="s">
        <v>573</v>
      </c>
      <c r="D5587" s="2" t="str">
        <f t="shared" si="86"/>
        <v>Error?</v>
      </c>
    </row>
    <row r="5588" spans="1:4" x14ac:dyDescent="0.2">
      <c r="A5588" s="5">
        <v>5527</v>
      </c>
      <c r="B5588" s="138">
        <f>'Revenues 9-14'!F109</f>
        <v>125883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62392</v>
      </c>
      <c r="D5615" s="2" t="str">
        <f t="shared" si="86"/>
        <v>Error?</v>
      </c>
    </row>
    <row r="5616" spans="1:4" x14ac:dyDescent="0.2">
      <c r="A5616" s="10">
        <v>5555</v>
      </c>
      <c r="D5616" s="2" t="str">
        <f t="shared" si="86"/>
        <v>OK</v>
      </c>
    </row>
    <row r="5617" spans="1:5" x14ac:dyDescent="0.2">
      <c r="A5617" s="5">
        <v>5556</v>
      </c>
      <c r="B5617" s="138">
        <f>'Revenues 9-14'!F153</f>
        <v>53434</v>
      </c>
      <c r="D5617" s="2" t="str">
        <f t="shared" si="86"/>
        <v>Error?</v>
      </c>
    </row>
    <row r="5618" spans="1:5" x14ac:dyDescent="0.2">
      <c r="A5618" s="5">
        <v>5557</v>
      </c>
      <c r="B5618" s="138">
        <f>'Revenues 9-14'!F155</f>
        <v>115826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115826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115826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241709</v>
      </c>
      <c r="C5720" s="2" t="s">
        <v>573</v>
      </c>
      <c r="D5720" s="2" t="str">
        <f t="shared" si="88"/>
        <v>Error?</v>
      </c>
    </row>
    <row r="5721" spans="1:4" x14ac:dyDescent="0.2">
      <c r="A5721" s="5">
        <v>5660</v>
      </c>
      <c r="B5721" s="138">
        <f>'Revenues 9-14'!G5</f>
        <v>26229</v>
      </c>
      <c r="D5721" s="2" t="str">
        <f t="shared" si="88"/>
        <v>Error?</v>
      </c>
    </row>
    <row r="5722" spans="1:4" x14ac:dyDescent="0.2">
      <c r="A5722" s="5">
        <v>5661</v>
      </c>
      <c r="B5722" s="138">
        <f>'Revenues 9-14'!G7</f>
        <v>0</v>
      </c>
      <c r="D5722" s="2" t="str">
        <f t="shared" si="88"/>
        <v>Error?</v>
      </c>
    </row>
    <row r="5723" spans="1:4" x14ac:dyDescent="0.2">
      <c r="A5723" s="5">
        <v>5662</v>
      </c>
      <c r="B5723" s="138">
        <f>'Revenues 9-14'!G8</f>
        <v>52398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78627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2105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2105</v>
      </c>
      <c r="C5730" s="2" t="s">
        <v>573</v>
      </c>
      <c r="D5730" s="2" t="str">
        <f t="shared" si="88"/>
        <v>Error?</v>
      </c>
    </row>
    <row r="5731" spans="1:4" x14ac:dyDescent="0.2">
      <c r="A5731" s="5">
        <v>5670</v>
      </c>
      <c r="B5731" s="138">
        <f>'Revenues 9-14'!G65</f>
        <v>685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685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81417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30010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30010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1853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1853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31863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30010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30010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655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655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30665</v>
      </c>
      <c r="C6023" s="2" t="s">
        <v>573</v>
      </c>
      <c r="D6023" s="2" t="str">
        <f t="shared" si="93"/>
        <v>Error?</v>
      </c>
    </row>
    <row r="6024" spans="1:5" x14ac:dyDescent="0.2">
      <c r="A6024" s="5">
        <v>5963</v>
      </c>
      <c r="B6024" s="138">
        <f>'Revenues 9-14'!G109</f>
        <v>81417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31863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30665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11434</v>
      </c>
      <c r="D6031" s="2" t="str">
        <f t="shared" si="93"/>
        <v>Error?</v>
      </c>
    </row>
    <row r="6032" spans="1:5" x14ac:dyDescent="0.2">
      <c r="A6032" s="5">
        <v>5971</v>
      </c>
      <c r="B6032" s="138">
        <f>'Acct Summary 7-8'!G15</f>
        <v>5527</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4975.1899999999996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140.19999999999999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364911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364911</v>
      </c>
      <c r="D6215" s="2" t="str">
        <f t="shared" si="96"/>
        <v>Error?</v>
      </c>
      <c r="E6215" s="2" t="s">
        <v>190</v>
      </c>
    </row>
    <row r="6216" spans="1:5" x14ac:dyDescent="0.2">
      <c r="A6216">
        <v>6155</v>
      </c>
      <c r="B6216" s="138">
        <f>'Assets-Liab 5-6'!J41</f>
        <v>364911</v>
      </c>
      <c r="D6216" s="2" t="str">
        <f t="shared" si="96"/>
        <v>Error?</v>
      </c>
      <c r="E6216" s="2" t="s">
        <v>190</v>
      </c>
    </row>
    <row r="6217" spans="1:5" x14ac:dyDescent="0.2">
      <c r="A6217">
        <v>6156</v>
      </c>
      <c r="B6217" s="138">
        <f>'Assets-Liab 5-6'!J4</f>
        <v>364911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194875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194875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194875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164931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164931</v>
      </c>
      <c r="D6229" s="2" t="str">
        <f t="shared" si="96"/>
        <v>Error?</v>
      </c>
      <c r="E6229" s="2" t="s">
        <v>190</v>
      </c>
    </row>
    <row r="6230" spans="1:5" x14ac:dyDescent="0.2">
      <c r="A6230">
        <v>6169</v>
      </c>
      <c r="B6230" s="138">
        <f>'Acct Summary 7-8'!J20</f>
        <v>29944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29944</v>
      </c>
      <c r="D6263" s="2" t="str">
        <f t="shared" si="96"/>
        <v>Error?</v>
      </c>
      <c r="E6263" s="2" t="s">
        <v>190</v>
      </c>
    </row>
    <row r="6264" spans="1:5" x14ac:dyDescent="0.2">
      <c r="A6264">
        <v>6203</v>
      </c>
      <c r="B6264" s="138">
        <f>'Acct Summary 7-8'!J79</f>
        <v>334967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364911</v>
      </c>
      <c r="D6266" s="2" t="str">
        <f t="shared" si="96"/>
        <v>Error?</v>
      </c>
      <c r="E6266" s="2" t="s">
        <v>190</v>
      </c>
    </row>
    <row r="6267" spans="1:5" x14ac:dyDescent="0.2">
      <c r="A6267">
        <v>6206</v>
      </c>
      <c r="B6267" s="138">
        <f>'Acct Summary 7-8'!C82</f>
        <v>608637</v>
      </c>
      <c r="D6267" s="2" t="str">
        <f t="shared" si="96"/>
        <v>Error?</v>
      </c>
      <c r="E6267" s="2" t="s">
        <v>190</v>
      </c>
    </row>
    <row r="6268" spans="1:5" x14ac:dyDescent="0.2">
      <c r="A6268">
        <v>6207</v>
      </c>
      <c r="B6268" s="138">
        <f>'Acct Summary 7-8'!D82</f>
        <v>117782</v>
      </c>
      <c r="D6268" s="2" t="str">
        <f t="shared" si="96"/>
        <v>Error?</v>
      </c>
      <c r="E6268" s="2" t="s">
        <v>190</v>
      </c>
    </row>
    <row r="6269" spans="1:5" x14ac:dyDescent="0.2">
      <c r="A6269">
        <v>6208</v>
      </c>
      <c r="B6269" s="138">
        <f>'Acct Summary 7-8'!E82</f>
        <v>494</v>
      </c>
      <c r="D6269" s="2" t="str">
        <f t="shared" si="96"/>
        <v>Error?</v>
      </c>
      <c r="E6269" s="2" t="s">
        <v>190</v>
      </c>
    </row>
    <row r="6270" spans="1:5" x14ac:dyDescent="0.2">
      <c r="A6270">
        <v>6209</v>
      </c>
      <c r="B6270" s="138">
        <f>'Acct Summary 7-8'!F82</f>
        <v>77696</v>
      </c>
      <c r="D6270" s="2" t="str">
        <f t="shared" si="96"/>
        <v>Error?</v>
      </c>
      <c r="E6270" s="2" t="s">
        <v>190</v>
      </c>
    </row>
    <row r="6271" spans="1:5" x14ac:dyDescent="0.2">
      <c r="A6271">
        <v>6210</v>
      </c>
      <c r="B6271" s="138">
        <f>'Acct Summary 7-8'!G82</f>
        <v>15637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31863</v>
      </c>
      <c r="D6273" s="2" t="str">
        <f t="shared" si="97"/>
        <v>Error?</v>
      </c>
      <c r="E6273" s="2" t="s">
        <v>190</v>
      </c>
    </row>
    <row r="6274" spans="1:5" x14ac:dyDescent="0.2">
      <c r="A6274">
        <v>6213</v>
      </c>
      <c r="B6274" s="138">
        <f>'Acct Summary 7-8'!J82</f>
        <v>29944</v>
      </c>
      <c r="D6274" s="2" t="str">
        <f t="shared" si="97"/>
        <v>Error?</v>
      </c>
      <c r="E6274" s="2" t="s">
        <v>190</v>
      </c>
    </row>
    <row r="6275" spans="1:5" x14ac:dyDescent="0.2">
      <c r="A6275">
        <v>6214</v>
      </c>
      <c r="B6275" s="138">
        <f>'Acct Summary 7-8'!K82</f>
        <v>28128</v>
      </c>
      <c r="D6275" s="2" t="str">
        <f t="shared" si="97"/>
        <v>Error?</v>
      </c>
      <c r="E6275" s="2" t="s">
        <v>190</v>
      </c>
    </row>
    <row r="6276" spans="1:5" x14ac:dyDescent="0.2">
      <c r="A6276">
        <v>6215</v>
      </c>
      <c r="B6276" s="138">
        <f>'Acct Summary 7-8'!C83</f>
        <v>0.33977390721822143</v>
      </c>
      <c r="D6276" s="2" t="str">
        <f t="shared" si="97"/>
        <v>Error?</v>
      </c>
      <c r="E6276" s="2" t="s">
        <v>190</v>
      </c>
    </row>
    <row r="6277" spans="1:5" x14ac:dyDescent="0.2">
      <c r="A6277">
        <v>6216</v>
      </c>
      <c r="B6277" s="138">
        <f>'Acct Summary 7-8'!D83</f>
        <v>0.14080772385035278</v>
      </c>
      <c r="D6277" s="2" t="str">
        <f t="shared" si="97"/>
        <v>Error?</v>
      </c>
      <c r="E6277" s="2" t="s">
        <v>190</v>
      </c>
    </row>
    <row r="6278" spans="1:5" x14ac:dyDescent="0.2">
      <c r="A6278">
        <v>6217</v>
      </c>
      <c r="B6278" s="138">
        <f>'Acct Summary 7-8'!E83</f>
        <v>1</v>
      </c>
      <c r="D6278" s="2" t="str">
        <f t="shared" si="97"/>
        <v>Error?</v>
      </c>
      <c r="E6278" s="2" t="s">
        <v>190</v>
      </c>
    </row>
    <row r="6279" spans="1:5" x14ac:dyDescent="0.2">
      <c r="A6279">
        <v>6218</v>
      </c>
      <c r="B6279" s="138">
        <f>'Acct Summary 7-8'!F83</f>
        <v>0.11305150001018534</v>
      </c>
      <c r="D6279" s="2" t="str">
        <f t="shared" si="97"/>
        <v>Error?</v>
      </c>
      <c r="E6279" s="2" t="s">
        <v>190</v>
      </c>
    </row>
    <row r="6280" spans="1:5" x14ac:dyDescent="0.2">
      <c r="A6280">
        <v>6219</v>
      </c>
      <c r="B6280" s="138">
        <f>'Acct Summary 7-8'!G83</f>
        <v>0.22537870598578863</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0.1334128878281623</v>
      </c>
      <c r="D6282" s="2" t="str">
        <f t="shared" si="97"/>
        <v>Error?</v>
      </c>
      <c r="E6282" s="2" t="s">
        <v>190</v>
      </c>
    </row>
    <row r="6283" spans="1:5" x14ac:dyDescent="0.2">
      <c r="A6283">
        <v>6222</v>
      </c>
      <c r="B6283" s="138">
        <f>'Acct Summary 7-8'!J83</f>
        <v>8.2058364916376872E-2</v>
      </c>
      <c r="D6283" s="2" t="str">
        <f t="shared" si="97"/>
        <v>Error?</v>
      </c>
      <c r="E6283" s="2" t="s">
        <v>190</v>
      </c>
    </row>
    <row r="6284" spans="1:5" x14ac:dyDescent="0.2">
      <c r="A6284">
        <v>6223</v>
      </c>
      <c r="B6284" s="138">
        <f>'Acct Summary 7-8'!K83</f>
        <v>0.32523935063133064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191467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191467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3408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3408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194875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43168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77364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59065</v>
      </c>
      <c r="D6880" s="2" t="str">
        <f t="shared" si="106"/>
        <v>Error?</v>
      </c>
    </row>
    <row r="6881" spans="1:4" x14ac:dyDescent="0.2">
      <c r="A6881">
        <v>6820</v>
      </c>
      <c r="B6881" s="138">
        <f>'Expenditures 15-22'!K22</f>
        <v>59065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613377</v>
      </c>
      <c r="D6981" s="2" t="str">
        <f t="shared" si="108"/>
        <v>Error?</v>
      </c>
    </row>
    <row r="6982" spans="1:4" x14ac:dyDescent="0.2">
      <c r="A6982">
        <v>6921</v>
      </c>
      <c r="B6982" s="138">
        <f>'Expenditures 15-22'!K85</f>
        <v>613377</v>
      </c>
      <c r="D6982" s="2" t="str">
        <f t="shared" si="108"/>
        <v>Error?</v>
      </c>
    </row>
    <row r="6983" spans="1:4" x14ac:dyDescent="0.2">
      <c r="A6983">
        <v>6922</v>
      </c>
      <c r="B6983" s="138">
        <f>'Expenditures 15-22'!H86</f>
        <v>133021</v>
      </c>
      <c r="D6983" s="2" t="str">
        <f t="shared" si="108"/>
        <v>Error?</v>
      </c>
    </row>
    <row r="6984" spans="1:4" x14ac:dyDescent="0.2">
      <c r="A6984">
        <v>6923</v>
      </c>
      <c r="B6984" s="138">
        <f>'Expenditures 15-22'!K86</f>
        <v>133021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746398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164931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194875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614</v>
      </c>
      <c r="D7073" s="2" t="str">
        <f t="shared" si="109"/>
        <v>Error?</v>
      </c>
    </row>
    <row r="7074" spans="1:4" x14ac:dyDescent="0.2">
      <c r="A7074">
        <v>7013</v>
      </c>
      <c r="B7074" s="138">
        <f>'Expenditures 15-22'!K216</f>
        <v>614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259</v>
      </c>
      <c r="D7089" s="2" t="str">
        <f t="shared" si="109"/>
        <v>Error?</v>
      </c>
    </row>
    <row r="7090" spans="1:4" x14ac:dyDescent="0.2">
      <c r="A7090">
        <v>7029</v>
      </c>
      <c r="B7090" s="138">
        <f>'Expenditures 15-22'!K252</f>
        <v>259</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6108</v>
      </c>
      <c r="D7093" s="2" t="str">
        <f t="shared" si="109"/>
        <v>Error?</v>
      </c>
    </row>
    <row r="7094" spans="1:4" x14ac:dyDescent="0.2">
      <c r="A7094">
        <v>7033</v>
      </c>
      <c r="B7094" s="138">
        <f>'Expenditures 15-22'!K254</f>
        <v>6108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10076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10076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29896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29896</v>
      </c>
      <c r="D7153" s="2" t="str">
        <f t="shared" si="110"/>
        <v>Error?</v>
      </c>
    </row>
    <row r="7154" spans="1:4" x14ac:dyDescent="0.2">
      <c r="A7154">
        <v>7093</v>
      </c>
      <c r="B7154" s="138">
        <f>'Expenditures 15-22'!C323</f>
        <v>11822</v>
      </c>
      <c r="D7154" s="2" t="str">
        <f t="shared" si="110"/>
        <v>Error?</v>
      </c>
    </row>
    <row r="7155" spans="1:4" x14ac:dyDescent="0.2">
      <c r="A7155">
        <v>7094</v>
      </c>
      <c r="B7155" s="138">
        <f>'Expenditures 15-22'!D323</f>
        <v>2348</v>
      </c>
      <c r="D7155" s="2" t="str">
        <f t="shared" si="110"/>
        <v>Error?</v>
      </c>
    </row>
    <row r="7156" spans="1:4" x14ac:dyDescent="0.2">
      <c r="A7156">
        <v>7095</v>
      </c>
      <c r="B7156" s="138">
        <f>'Expenditures 15-22'!E323</f>
        <v>2185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16355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88766</v>
      </c>
      <c r="D7172" s="2" t="str">
        <f t="shared" si="111"/>
        <v>Error?</v>
      </c>
    </row>
    <row r="7173" spans="1:4" x14ac:dyDescent="0.2">
      <c r="A7173">
        <v>7112</v>
      </c>
      <c r="B7173" s="138">
        <f>'Expenditures 15-22'!D325</f>
        <v>17953</v>
      </c>
      <c r="D7173" s="2" t="str">
        <f t="shared" si="111"/>
        <v>Error?</v>
      </c>
    </row>
    <row r="7174" spans="1:4" x14ac:dyDescent="0.2">
      <c r="A7174">
        <v>7113</v>
      </c>
      <c r="B7174" s="138">
        <f>'Expenditures 15-22'!E325</f>
        <v>1355</v>
      </c>
      <c r="D7174" s="2" t="str">
        <f t="shared" si="111"/>
        <v>Error?</v>
      </c>
    </row>
    <row r="7175" spans="1:4" x14ac:dyDescent="0.2">
      <c r="A7175">
        <v>7114</v>
      </c>
      <c r="B7175" s="138">
        <f>'Expenditures 15-22'!F325</f>
        <v>250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108324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280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280</v>
      </c>
      <c r="D7198" s="2" t="str">
        <f t="shared" si="111"/>
        <v>Error?</v>
      </c>
    </row>
    <row r="7199" spans="1:4" x14ac:dyDescent="0.2">
      <c r="A7199">
        <v>7138</v>
      </c>
      <c r="B7199" s="138">
        <f>'Expenditures 15-22'!C330</f>
        <v>100588</v>
      </c>
      <c r="D7199" s="2" t="str">
        <f t="shared" si="111"/>
        <v>Error?</v>
      </c>
    </row>
    <row r="7200" spans="1:4" x14ac:dyDescent="0.2">
      <c r="A7200">
        <v>7139</v>
      </c>
      <c r="B7200" s="138">
        <f>'Expenditures 15-22'!D330</f>
        <v>20301</v>
      </c>
      <c r="D7200" s="2" t="str">
        <f t="shared" si="111"/>
        <v>Error?</v>
      </c>
    </row>
    <row r="7201" spans="1:4" x14ac:dyDescent="0.2">
      <c r="A7201">
        <v>7140</v>
      </c>
      <c r="B7201" s="138">
        <f>'Expenditures 15-22'!E330</f>
        <v>43792</v>
      </c>
      <c r="D7201" s="2" t="str">
        <f t="shared" si="111"/>
        <v>Error?</v>
      </c>
    </row>
    <row r="7202" spans="1:4" x14ac:dyDescent="0.2">
      <c r="A7202">
        <v>7141</v>
      </c>
      <c r="B7202" s="138">
        <f>'Expenditures 15-22'!F330</f>
        <v>250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164931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100588</v>
      </c>
      <c r="D7216" s="2" t="str">
        <f t="shared" si="111"/>
        <v>Error?</v>
      </c>
    </row>
    <row r="7217" spans="1:4" x14ac:dyDescent="0.2">
      <c r="A7217">
        <v>7156</v>
      </c>
      <c r="B7217" s="138">
        <f>'Expenditures 15-22'!D342</f>
        <v>20301</v>
      </c>
      <c r="D7217" s="2" t="str">
        <f t="shared" si="111"/>
        <v>Error?</v>
      </c>
    </row>
    <row r="7218" spans="1:4" x14ac:dyDescent="0.2">
      <c r="A7218">
        <v>7157</v>
      </c>
      <c r="B7218" s="138">
        <f>'Expenditures 15-22'!E342</f>
        <v>43792</v>
      </c>
      <c r="D7218" s="2" t="str">
        <f t="shared" si="111"/>
        <v>Error?</v>
      </c>
    </row>
    <row r="7219" spans="1:4" x14ac:dyDescent="0.2">
      <c r="A7219">
        <v>7158</v>
      </c>
      <c r="B7219" s="138">
        <f>'Expenditures 15-22'!F342</f>
        <v>250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164931</v>
      </c>
      <c r="D7224" s="2" t="str">
        <f t="shared" si="111"/>
        <v>Error?</v>
      </c>
    </row>
    <row r="7225" spans="1:4" x14ac:dyDescent="0.2">
      <c r="A7225">
        <v>7164</v>
      </c>
      <c r="B7225" s="138">
        <f>'Expenditures 15-22'!K343</f>
        <v>29944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13202</v>
      </c>
      <c r="D7246" s="2" t="str">
        <f t="shared" si="112"/>
        <v>Error?</v>
      </c>
    </row>
    <row r="7247" spans="1:4" x14ac:dyDescent="0.2">
      <c r="A7247">
        <f t="shared" si="113"/>
        <v>7186</v>
      </c>
      <c r="B7247" s="138">
        <f>'Expenditures 15-22'!E7</f>
        <v>115</v>
      </c>
      <c r="D7247" s="2" t="str">
        <f t="shared" si="112"/>
        <v>Error?</v>
      </c>
    </row>
    <row r="7248" spans="1:4" x14ac:dyDescent="0.2">
      <c r="A7248">
        <f t="shared" si="113"/>
        <v>7187</v>
      </c>
      <c r="B7248" s="138">
        <f>'Expenditures 15-22'!F7</f>
        <v>20879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2900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2900</v>
      </c>
      <c r="D7618" s="2" t="str">
        <f t="shared" si="124"/>
        <v>Error?</v>
      </c>
      <c r="E7618" s="2" t="s">
        <v>19</v>
      </c>
    </row>
    <row r="7619" spans="1:5" x14ac:dyDescent="0.2">
      <c r="A7619">
        <f t="shared" si="123"/>
        <v>7558</v>
      </c>
      <c r="B7619" s="138">
        <f>'Cap Outlay Deprec 26'!H14</f>
        <v>2900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2900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80728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24011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29896</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4896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50" t="s">
        <v>1191</v>
      </c>
      <c r="B2" s="2450"/>
      <c r="C2" s="2450"/>
      <c r="D2" s="2450"/>
      <c r="E2" s="2450"/>
      <c r="F2" s="2450"/>
      <c r="G2" s="2450"/>
      <c r="H2" s="2450"/>
      <c r="I2" s="2450"/>
      <c r="J2" s="2450"/>
      <c r="K2" s="2450"/>
      <c r="L2" s="2450"/>
    </row>
    <row r="3" spans="1:29" ht="13.5" customHeight="1" x14ac:dyDescent="0.2">
      <c r="A3" s="2481" t="s">
        <v>1190</v>
      </c>
      <c r="B3" s="2481"/>
      <c r="C3" s="2481"/>
      <c r="D3" s="2481"/>
      <c r="E3" s="2481"/>
      <c r="F3" s="2481"/>
      <c r="G3" s="2481"/>
      <c r="H3" s="2481"/>
      <c r="I3" s="2481"/>
      <c r="J3" s="2481"/>
      <c r="K3" s="2481"/>
      <c r="L3" s="2481"/>
    </row>
    <row r="4" spans="1:29" ht="13.5" customHeight="1" x14ac:dyDescent="0.2">
      <c r="A4" s="2450" t="s">
        <v>1989</v>
      </c>
      <c r="B4" s="2471"/>
      <c r="C4" s="2471"/>
      <c r="D4" s="2471"/>
      <c r="E4" s="2471"/>
      <c r="F4" s="2471"/>
      <c r="G4" s="2471"/>
      <c r="H4" s="2471"/>
      <c r="I4" s="2471"/>
      <c r="J4" s="2471"/>
      <c r="K4" s="2471"/>
      <c r="L4" s="2471"/>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72" t="str">
        <f>COVER!A17</f>
        <v>Bradford CUSD 1</v>
      </c>
      <c r="B7" s="2473"/>
      <c r="C7" s="2473"/>
      <c r="D7" s="2474"/>
      <c r="E7" s="2475">
        <f>COVER!A13</f>
        <v>28088001026</v>
      </c>
      <c r="F7" s="2476"/>
      <c r="G7" s="2482" t="str">
        <f>COVER!T23</f>
        <v>066-005027</v>
      </c>
      <c r="H7" s="2483"/>
      <c r="I7" s="2483"/>
      <c r="J7" s="2483"/>
      <c r="K7" s="2483"/>
      <c r="L7" s="2484"/>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85"/>
      <c r="B9" s="2486"/>
      <c r="C9" s="2486"/>
      <c r="D9" s="2486"/>
      <c r="E9" s="2486"/>
      <c r="F9" s="2487"/>
      <c r="G9" s="2456" t="str">
        <f>COVER!T13</f>
        <v>Gorenz and Associates, Ltd.</v>
      </c>
      <c r="H9" s="2488"/>
      <c r="I9" s="2488"/>
      <c r="J9" s="2488"/>
      <c r="K9" s="2488"/>
      <c r="L9" s="2489"/>
    </row>
    <row r="10" spans="1:29" ht="13.5" customHeight="1" x14ac:dyDescent="0.2">
      <c r="A10" s="2462" t="str">
        <f>COVER!A38</f>
        <v>Chad Gripp</v>
      </c>
      <c r="B10" s="2463"/>
      <c r="C10" s="2463"/>
      <c r="D10" s="2463"/>
      <c r="E10" s="2463"/>
      <c r="F10" s="2464"/>
      <c r="G10" s="2456" t="str">
        <f>COVER!T17</f>
        <v>4200 N Knoxville Ave</v>
      </c>
      <c r="H10" s="2457"/>
      <c r="I10" s="2457"/>
      <c r="J10" s="2457"/>
      <c r="K10" s="2457"/>
      <c r="L10" s="2458"/>
    </row>
    <row r="11" spans="1:29" ht="13.5" customHeight="1" x14ac:dyDescent="0.2">
      <c r="A11" s="1181" t="s">
        <v>1519</v>
      </c>
      <c r="B11" s="1182"/>
      <c r="C11" s="1183"/>
      <c r="D11" s="1188"/>
      <c r="E11" s="1183"/>
      <c r="F11" s="1187"/>
      <c r="G11" s="2456" t="str">
        <f>COVER!T19</f>
        <v>Peoria</v>
      </c>
      <c r="H11" s="2457"/>
      <c r="I11" s="2457"/>
      <c r="J11" s="2457"/>
      <c r="K11" s="2457"/>
      <c r="L11" s="2458"/>
    </row>
    <row r="12" spans="1:29" ht="13.5" customHeight="1" x14ac:dyDescent="0.2">
      <c r="A12" s="2465" t="s">
        <v>1518</v>
      </c>
      <c r="B12" s="2466"/>
      <c r="C12" s="2466"/>
      <c r="D12" s="2466"/>
      <c r="E12" s="2466"/>
      <c r="F12" s="2467"/>
      <c r="G12" s="2459"/>
      <c r="H12" s="2460"/>
      <c r="I12" s="2460"/>
      <c r="J12" s="2460"/>
      <c r="K12" s="2460"/>
      <c r="L12" s="2461"/>
    </row>
    <row r="13" spans="1:29" ht="13.5" customHeight="1" x14ac:dyDescent="0.2">
      <c r="A13" s="2456"/>
      <c r="B13" s="2457"/>
      <c r="C13" s="2457"/>
      <c r="D13" s="2457"/>
      <c r="E13" s="2457"/>
      <c r="F13" s="2458"/>
      <c r="G13" s="2451" t="s">
        <v>1520</v>
      </c>
      <c r="H13" s="2452"/>
      <c r="I13" s="2468" t="str">
        <f>COVER!T25</f>
        <v>rrumbold@gorenzcpa.com</v>
      </c>
      <c r="J13" s="2469"/>
      <c r="K13" s="2469"/>
      <c r="L13" s="2470"/>
    </row>
    <row r="14" spans="1:29" ht="13.5" customHeight="1" x14ac:dyDescent="0.2">
      <c r="A14" s="2456" t="str">
        <f>COVER!A19</f>
        <v>345 Silver Street</v>
      </c>
      <c r="B14" s="2457"/>
      <c r="C14" s="2457"/>
      <c r="D14" s="2457"/>
      <c r="E14" s="2457"/>
      <c r="F14" s="2458"/>
      <c r="G14" s="1192" t="s">
        <v>1185</v>
      </c>
      <c r="H14" s="1190"/>
      <c r="I14" s="1190"/>
      <c r="J14" s="1190"/>
      <c r="K14" s="1190"/>
      <c r="L14" s="1191"/>
    </row>
    <row r="15" spans="1:29" ht="13.5" customHeight="1" x14ac:dyDescent="0.2">
      <c r="A15" s="2456" t="str">
        <f>COVER!A21</f>
        <v>Bradford</v>
      </c>
      <c r="B15" s="2457"/>
      <c r="C15" s="2457"/>
      <c r="D15" s="2457"/>
      <c r="E15" s="2457"/>
      <c r="F15" s="2458"/>
      <c r="G15" s="2453" t="str">
        <f>COVER!T15</f>
        <v>Russel J. Rumbold II, CPA</v>
      </c>
      <c r="H15" s="2454"/>
      <c r="I15" s="2454"/>
      <c r="J15" s="2454"/>
      <c r="K15" s="2454"/>
      <c r="L15" s="2455"/>
    </row>
    <row r="16" spans="1:29" ht="12.2" customHeight="1" x14ac:dyDescent="0.2">
      <c r="A16" s="2478">
        <f>COVER!A25</f>
        <v>61421</v>
      </c>
      <c r="B16" s="2479"/>
      <c r="C16" s="2479"/>
      <c r="D16" s="2479"/>
      <c r="E16" s="2479"/>
      <c r="F16" s="2480"/>
      <c r="G16" s="2490"/>
      <c r="H16" s="2491"/>
      <c r="I16" s="2491"/>
      <c r="J16" s="2491"/>
      <c r="K16" s="2491"/>
      <c r="L16" s="2492"/>
    </row>
    <row r="17" spans="1:13" ht="12.2" customHeight="1" x14ac:dyDescent="0.2">
      <c r="A17" s="2493"/>
      <c r="B17" s="2479"/>
      <c r="C17" s="2479"/>
      <c r="D17" s="2479"/>
      <c r="E17" s="2479"/>
      <c r="F17" s="2480"/>
      <c r="G17" s="1192" t="s">
        <v>1184</v>
      </c>
      <c r="H17" s="1190"/>
      <c r="I17" s="1190"/>
      <c r="J17" s="1190"/>
      <c r="K17" s="1194" t="s">
        <v>1183</v>
      </c>
      <c r="L17" s="1187"/>
      <c r="M17" s="1180"/>
    </row>
    <row r="18" spans="1:13" ht="12.2" customHeight="1" x14ac:dyDescent="0.2">
      <c r="A18" s="2462"/>
      <c r="B18" s="2463"/>
      <c r="C18" s="2463"/>
      <c r="D18" s="2463"/>
      <c r="E18" s="2463"/>
      <c r="F18" s="2464"/>
      <c r="G18" s="2472" t="str">
        <f>COVER!T21</f>
        <v>309-685-7621</v>
      </c>
      <c r="H18" s="2473"/>
      <c r="I18" s="2473"/>
      <c r="J18" s="2473"/>
      <c r="K18" s="2472" t="str">
        <f>COVER!X21</f>
        <v>309-685-4758</v>
      </c>
      <c r="L18" s="2477"/>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94" t="str">
        <f>'Single Audit Cover'!A7</f>
        <v>Bradford CUSD 1</v>
      </c>
      <c r="B1" s="2471"/>
      <c r="C1" s="2471"/>
      <c r="D1" s="2471"/>
    </row>
    <row r="2" spans="1:11" s="1209" customFormat="1" ht="12.75" x14ac:dyDescent="0.2">
      <c r="A2" s="2495">
        <f>'Single Audit Cover'!E7</f>
        <v>28088001026</v>
      </c>
      <c r="B2" s="2496"/>
      <c r="C2" s="2496"/>
      <c r="D2" s="2496"/>
    </row>
    <row r="3" spans="1:11" s="1209" customFormat="1" ht="12.75" x14ac:dyDescent="0.2">
      <c r="A3" s="2494" t="s">
        <v>1513</v>
      </c>
      <c r="B3" s="2471"/>
      <c r="C3" s="2471"/>
      <c r="D3" s="2471"/>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98" t="str">
        <f>'Single Audit Cover'!A7</f>
        <v>Bradford CUSD 1</v>
      </c>
      <c r="B1" s="2498"/>
      <c r="C1" s="2498"/>
      <c r="D1" s="2498"/>
      <c r="E1" s="2498"/>
    </row>
    <row r="2" spans="1:5" x14ac:dyDescent="0.2">
      <c r="A2" s="2499">
        <f>'Single Audit Cover'!E7</f>
        <v>28088001026</v>
      </c>
      <c r="B2" s="2499"/>
      <c r="C2" s="2499"/>
      <c r="D2" s="2499"/>
      <c r="E2" s="2499"/>
    </row>
    <row r="3" spans="1:5" ht="4.5" customHeight="1" x14ac:dyDescent="0.2"/>
    <row r="4" spans="1:5" x14ac:dyDescent="0.2">
      <c r="A4" s="2498" t="s">
        <v>1245</v>
      </c>
      <c r="B4" s="2498"/>
      <c r="C4" s="2498"/>
      <c r="D4" s="2498"/>
      <c r="E4" s="2498"/>
    </row>
    <row r="5" spans="1:5" x14ac:dyDescent="0.2">
      <c r="A5" s="2501" t="str">
        <f>'Single Audit Cover'!A4</f>
        <v>Year Ending June 30, 2019</v>
      </c>
      <c r="B5" s="2501"/>
      <c r="C5" s="2501"/>
      <c r="D5" s="2501"/>
      <c r="E5" s="2501"/>
    </row>
    <row r="6" spans="1:5" x14ac:dyDescent="0.2">
      <c r="A6" s="2498" t="s">
        <v>1244</v>
      </c>
      <c r="B6" s="2498"/>
      <c r="C6" s="2498"/>
      <c r="D6" s="2498"/>
      <c r="E6" s="2498"/>
    </row>
    <row r="8" spans="1:5" x14ac:dyDescent="0.2">
      <c r="A8" s="1254" t="s">
        <v>1243</v>
      </c>
    </row>
    <row r="10" spans="1:5" x14ac:dyDescent="0.2">
      <c r="A10" s="1255" t="s">
        <v>1242</v>
      </c>
      <c r="B10" s="1256" t="s">
        <v>1241</v>
      </c>
      <c r="C10" s="1256"/>
      <c r="D10" s="1257">
        <f>SUM('Acct Summary 7-8'!C7:K7)</f>
        <v>212589</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4975.1899999999996</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-7665</v>
      </c>
    </row>
    <row r="19" spans="1:4" ht="13.5" thickBot="1" x14ac:dyDescent="0.25">
      <c r="A19" s="1259" t="s">
        <v>1235</v>
      </c>
      <c r="D19" s="1260">
        <f>SUM(D10:D17)</f>
        <v>209899.19</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00"/>
      <c r="B24" s="2500"/>
      <c r="D24" s="1262"/>
    </row>
    <row r="25" spans="1:4" x14ac:dyDescent="0.2">
      <c r="A25" s="2497"/>
      <c r="B25" s="2497"/>
      <c r="D25" s="1262"/>
    </row>
    <row r="26" spans="1:4" x14ac:dyDescent="0.2">
      <c r="A26" s="2497"/>
      <c r="B26" s="2497"/>
      <c r="D26" s="1262"/>
    </row>
    <row r="27" spans="1:4" x14ac:dyDescent="0.2">
      <c r="A27" s="2497"/>
      <c r="B27" s="2497"/>
      <c r="D27" s="1262"/>
    </row>
    <row r="28" spans="1:4" x14ac:dyDescent="0.2">
      <c r="A28" s="2497"/>
      <c r="B28" s="2497"/>
      <c r="D28" s="1262"/>
    </row>
    <row r="29" spans="1:4" x14ac:dyDescent="0.2">
      <c r="A29" s="2497"/>
      <c r="B29" s="2497"/>
      <c r="D29" s="1262"/>
    </row>
    <row r="30" spans="1:4" x14ac:dyDescent="0.2">
      <c r="A30" s="2497"/>
      <c r="B30" s="2497"/>
      <c r="D30" s="1262"/>
    </row>
    <row r="32" spans="1:4" x14ac:dyDescent="0.2">
      <c r="A32" s="1254" t="s">
        <v>1233</v>
      </c>
      <c r="D32" s="1257">
        <f>SUM(D19:D30)</f>
        <v>209899.19</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97"/>
      <c r="B40" s="2497"/>
      <c r="D40" s="1262"/>
    </row>
    <row r="41" spans="1:4" x14ac:dyDescent="0.2">
      <c r="A41" s="2497"/>
      <c r="B41" s="2497"/>
      <c r="D41" s="1265"/>
    </row>
    <row r="42" spans="1:4" x14ac:dyDescent="0.2">
      <c r="A42" s="2497"/>
      <c r="B42" s="2497"/>
      <c r="D42" s="1265"/>
    </row>
    <row r="43" spans="1:4" x14ac:dyDescent="0.2">
      <c r="A43" s="2497"/>
      <c r="B43" s="2497"/>
      <c r="D43" s="1265"/>
    </row>
    <row r="44" spans="1:4" x14ac:dyDescent="0.2">
      <c r="A44" s="2497"/>
      <c r="B44" s="2497"/>
      <c r="D44" s="1265"/>
    </row>
    <row r="45" spans="1:4" x14ac:dyDescent="0.2">
      <c r="A45" s="2497"/>
      <c r="B45" s="2497"/>
      <c r="D45" s="1265"/>
    </row>
    <row r="47" spans="1:4" x14ac:dyDescent="0.2">
      <c r="B47" s="1266" t="s">
        <v>1227</v>
      </c>
      <c r="C47" s="1266"/>
      <c r="D47" s="1267">
        <f>SUM(D35:D45)</f>
        <v>0</v>
      </c>
    </row>
    <row r="49" spans="2:4" x14ac:dyDescent="0.2">
      <c r="B49" s="1266" t="s">
        <v>1226</v>
      </c>
      <c r="C49" s="1266"/>
      <c r="D49" s="1267">
        <f>D32-D47</f>
        <v>209899.19</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81" t="str">
        <f>'Single Audit Cover'!A7</f>
        <v>Bradford CUSD 1</v>
      </c>
      <c r="C1" s="2502"/>
      <c r="D1" s="2502"/>
      <c r="E1" s="2502"/>
      <c r="F1" s="2502"/>
      <c r="G1" s="2502"/>
      <c r="H1" s="2502"/>
      <c r="I1" s="2502"/>
      <c r="J1" s="2502"/>
      <c r="K1" s="2502"/>
      <c r="L1" s="2502"/>
      <c r="M1" s="2502"/>
    </row>
    <row r="2" spans="2:14" ht="15" x14ac:dyDescent="0.2">
      <c r="B2" s="2503">
        <f>'Single Audit Cover'!E7</f>
        <v>28088001026</v>
      </c>
      <c r="C2" s="2503"/>
      <c r="D2" s="2503"/>
      <c r="E2" s="2503"/>
      <c r="F2" s="2503"/>
      <c r="G2" s="2503"/>
      <c r="H2" s="2503"/>
      <c r="I2" s="2503"/>
      <c r="J2" s="2503"/>
      <c r="K2" s="2503"/>
      <c r="L2" s="2503"/>
      <c r="M2" s="2503"/>
      <c r="N2" s="1296"/>
    </row>
    <row r="3" spans="2:14" ht="15" x14ac:dyDescent="0.2">
      <c r="B3" s="2504" t="s">
        <v>1219</v>
      </c>
      <c r="C3" s="2504"/>
      <c r="D3" s="2504"/>
      <c r="E3" s="2504"/>
      <c r="F3" s="2504"/>
      <c r="G3" s="2504"/>
      <c r="H3" s="2504"/>
      <c r="I3" s="2504"/>
      <c r="J3" s="2504"/>
      <c r="K3" s="2504"/>
      <c r="L3" s="2504"/>
      <c r="M3" s="2504"/>
      <c r="N3" s="1296"/>
    </row>
    <row r="4" spans="2:14" ht="15" x14ac:dyDescent="0.2">
      <c r="B4" s="2505" t="str">
        <f>'Single Audit Cover'!A4</f>
        <v>Year Ending June 30, 2019</v>
      </c>
      <c r="C4" s="2505"/>
      <c r="D4" s="2505"/>
      <c r="E4" s="2505"/>
      <c r="F4" s="2505"/>
      <c r="G4" s="2505"/>
      <c r="H4" s="2505"/>
      <c r="I4" s="2505"/>
      <c r="J4" s="2505"/>
      <c r="K4" s="2505"/>
      <c r="L4" s="2505"/>
      <c r="M4" s="2505"/>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15" t="str">
        <f>'Single Audit Cover'!A7</f>
        <v>Bradford CUSD 1</v>
      </c>
      <c r="B1" s="2515"/>
      <c r="C1" s="2515"/>
      <c r="D1" s="2515"/>
      <c r="E1" s="2515"/>
      <c r="F1" s="2515"/>
    </row>
    <row r="2" spans="1:7" ht="13.5" customHeight="1" x14ac:dyDescent="0.2">
      <c r="A2" s="2503">
        <f>'Single Audit Cover'!E7</f>
        <v>28088001026</v>
      </c>
      <c r="B2" s="2503"/>
      <c r="C2" s="2503"/>
      <c r="D2" s="2503"/>
      <c r="E2" s="2503"/>
      <c r="F2" s="2503"/>
      <c r="G2" s="1269"/>
    </row>
    <row r="3" spans="1:7" ht="15.75" customHeight="1" x14ac:dyDescent="0.2">
      <c r="A3" s="2516" t="s">
        <v>1271</v>
      </c>
      <c r="B3" s="2516"/>
      <c r="C3" s="2516"/>
      <c r="D3" s="2516"/>
      <c r="E3" s="2516"/>
      <c r="F3" s="2516"/>
    </row>
    <row r="4" spans="1:7" ht="13.5" customHeight="1" x14ac:dyDescent="0.2">
      <c r="A4" s="2517" t="str">
        <f>'Single Audit Cover'!A4</f>
        <v>Year Ending June 30, 2019</v>
      </c>
      <c r="B4" s="2517"/>
      <c r="C4" s="2517"/>
      <c r="D4" s="2517"/>
      <c r="E4" s="2517"/>
      <c r="F4" s="2517"/>
    </row>
    <row r="5" spans="1:7" ht="8.25" customHeight="1" x14ac:dyDescent="0.2">
      <c r="C5" s="317"/>
      <c r="D5" s="317"/>
    </row>
    <row r="6" spans="1:7" ht="13.5" customHeight="1" x14ac:dyDescent="0.2">
      <c r="A6" s="1270" t="s">
        <v>1728</v>
      </c>
      <c r="C6" s="317"/>
      <c r="D6" s="317"/>
    </row>
    <row r="7" spans="1:7" ht="60.95" customHeight="1" x14ac:dyDescent="0.2">
      <c r="A7" s="2514" t="s">
        <v>1729</v>
      </c>
      <c r="B7" s="2514"/>
      <c r="C7" s="2514"/>
      <c r="D7" s="2514"/>
      <c r="E7" s="2514"/>
      <c r="F7" s="2514"/>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514" t="s">
        <v>1731</v>
      </c>
      <c r="B13" s="2514"/>
      <c r="C13" s="2514"/>
      <c r="D13" s="2514"/>
      <c r="E13" s="2514"/>
      <c r="F13" s="2514"/>
    </row>
    <row r="14" spans="1:7" ht="9.75" customHeight="1" x14ac:dyDescent="0.2">
      <c r="C14" s="1254"/>
      <c r="D14" s="1254"/>
    </row>
    <row r="15" spans="1:7" ht="13.5" customHeight="1" x14ac:dyDescent="0.2">
      <c r="C15" s="1843" t="s">
        <v>1270</v>
      </c>
      <c r="D15" s="2512" t="s">
        <v>1269</v>
      </c>
      <c r="E15" s="2512"/>
      <c r="F15" s="2512"/>
    </row>
    <row r="16" spans="1:7" ht="13.5" customHeight="1" x14ac:dyDescent="0.2">
      <c r="A16" s="1276"/>
      <c r="B16" s="1270" t="s">
        <v>1268</v>
      </c>
      <c r="C16" s="1843" t="s">
        <v>1267</v>
      </c>
      <c r="D16" s="2513" t="s">
        <v>1588</v>
      </c>
      <c r="E16" s="2513"/>
      <c r="F16" s="2513"/>
    </row>
    <row r="17" spans="1:6" ht="20.45" customHeight="1" x14ac:dyDescent="0.2">
      <c r="A17" s="1277"/>
      <c r="B17" s="1278"/>
      <c r="C17" s="1279"/>
      <c r="D17" s="2507"/>
      <c r="E17" s="2507"/>
      <c r="F17" s="2507"/>
    </row>
    <row r="18" spans="1:6" ht="20.65" customHeight="1" x14ac:dyDescent="0.2">
      <c r="A18" s="1277"/>
      <c r="B18" s="1278"/>
      <c r="C18" s="1279"/>
      <c r="D18" s="2507"/>
      <c r="E18" s="2507"/>
      <c r="F18" s="2507"/>
    </row>
    <row r="19" spans="1:6" ht="20.65" customHeight="1" x14ac:dyDescent="0.2">
      <c r="A19" s="1277"/>
      <c r="B19" s="1278"/>
      <c r="C19" s="1279"/>
      <c r="D19" s="2507"/>
      <c r="E19" s="2507"/>
      <c r="F19" s="2507"/>
    </row>
    <row r="20" spans="1:6" ht="20.65" customHeight="1" x14ac:dyDescent="0.2">
      <c r="A20" s="1277"/>
      <c r="B20" s="1278"/>
      <c r="C20" s="1279"/>
      <c r="D20" s="2507"/>
      <c r="E20" s="2507"/>
      <c r="F20" s="2507"/>
    </row>
    <row r="21" spans="1:6" ht="20.65" customHeight="1" x14ac:dyDescent="0.2">
      <c r="A21" s="1277"/>
      <c r="B21" s="1278"/>
      <c r="C21" s="1279"/>
      <c r="D21" s="2507"/>
      <c r="E21" s="2507"/>
      <c r="F21" s="2507"/>
    </row>
    <row r="22" spans="1:6" ht="20.65" customHeight="1" x14ac:dyDescent="0.2">
      <c r="A22" s="1277"/>
      <c r="B22" s="1278"/>
      <c r="C22" s="1279"/>
      <c r="D22" s="2507"/>
      <c r="E22" s="2507"/>
      <c r="F22" s="2507"/>
    </row>
    <row r="23" spans="1:6" ht="20.65" customHeight="1" x14ac:dyDescent="0.2">
      <c r="A23" s="1277"/>
      <c r="B23" s="1278"/>
      <c r="C23" s="1279"/>
      <c r="D23" s="2507"/>
      <c r="E23" s="2507"/>
      <c r="F23" s="2507"/>
    </row>
    <row r="24" spans="1:6" ht="20.65" customHeight="1" x14ac:dyDescent="0.2">
      <c r="A24" s="1277"/>
      <c r="B24" s="1278"/>
      <c r="C24" s="1279"/>
      <c r="D24" s="2507"/>
      <c r="E24" s="2507"/>
      <c r="F24" s="2507"/>
    </row>
    <row r="25" spans="1:6" ht="20.65" customHeight="1" x14ac:dyDescent="0.2">
      <c r="A25" s="1277"/>
      <c r="B25" s="1278"/>
      <c r="C25" s="1279"/>
      <c r="D25" s="2507"/>
      <c r="E25" s="2507"/>
      <c r="F25" s="2507"/>
    </row>
    <row r="26" spans="1:6" ht="20.65" customHeight="1" x14ac:dyDescent="0.2">
      <c r="A26" s="1277"/>
      <c r="B26" s="1278"/>
      <c r="C26" s="1279"/>
      <c r="D26" s="2507"/>
      <c r="E26" s="2507"/>
      <c r="F26" s="2507"/>
    </row>
    <row r="27" spans="1:6" ht="20.65" customHeight="1" x14ac:dyDescent="0.2">
      <c r="A27" s="1277"/>
      <c r="B27" s="1278"/>
      <c r="C27" s="1279"/>
      <c r="D27" s="2507"/>
      <c r="E27" s="2507"/>
      <c r="F27" s="2507"/>
    </row>
    <row r="28" spans="1:6" ht="20.65" customHeight="1" x14ac:dyDescent="0.2">
      <c r="A28" s="1277"/>
      <c r="B28" s="1278"/>
      <c r="C28" s="1279"/>
      <c r="D28" s="2507"/>
      <c r="E28" s="2507"/>
      <c r="F28" s="2507"/>
    </row>
    <row r="29" spans="1:6" ht="20.65" customHeight="1" x14ac:dyDescent="0.2">
      <c r="A29" s="1277"/>
      <c r="B29" s="1278"/>
      <c r="C29" s="1279"/>
      <c r="D29" s="2507"/>
      <c r="E29" s="2507"/>
      <c r="F29" s="2507"/>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508" t="s">
        <v>1732</v>
      </c>
      <c r="B32" s="2508"/>
      <c r="C32" s="2508"/>
      <c r="D32" s="2508"/>
      <c r="E32" s="2508"/>
      <c r="F32" s="2508"/>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509">
        <f>+C33+C34</f>
        <v>0</v>
      </c>
      <c r="F34" s="2510"/>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511" t="s">
        <v>1590</v>
      </c>
      <c r="C49" s="2511"/>
      <c r="D49" s="2511"/>
      <c r="E49" s="1393"/>
    </row>
    <row r="50" spans="1:5" s="1294" customFormat="1" ht="3.75" customHeight="1" x14ac:dyDescent="0.2">
      <c r="A50" s="1293"/>
      <c r="B50" s="1842"/>
      <c r="C50" s="1842"/>
      <c r="D50" s="1842"/>
      <c r="E50" s="1393"/>
    </row>
    <row r="51" spans="1:5" s="1294" customFormat="1" ht="20.25" customHeight="1" x14ac:dyDescent="0.2">
      <c r="A51" s="1295">
        <v>6</v>
      </c>
      <c r="B51" s="2506" t="s">
        <v>1551</v>
      </c>
      <c r="C51" s="2506"/>
      <c r="D51" s="2506"/>
    </row>
    <row r="52" spans="1:5" ht="14.25" customHeight="1" x14ac:dyDescent="0.2">
      <c r="A52" s="1295"/>
      <c r="B52" s="2506"/>
      <c r="C52" s="2506"/>
      <c r="D52" s="250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3" t="s">
        <v>1168</v>
      </c>
      <c r="B2" s="2123"/>
      <c r="C2" s="2123"/>
      <c r="D2" s="2123"/>
      <c r="E2" s="2123"/>
      <c r="F2" s="2123"/>
      <c r="G2" s="2123"/>
      <c r="H2" s="2123"/>
      <c r="I2" s="2123"/>
      <c r="J2" s="212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2070</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7" t="s">
        <v>1633</v>
      </c>
      <c r="B35" s="2138"/>
      <c r="C35" s="2138"/>
      <c r="D35" s="2138"/>
      <c r="E35" s="2139"/>
      <c r="F35" s="2139"/>
      <c r="G35" s="2139"/>
      <c r="H35" s="2139"/>
      <c r="I35" s="213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7" t="s">
        <v>313</v>
      </c>
      <c r="B47" s="2140"/>
      <c r="C47" s="2140"/>
      <c r="D47" s="2140"/>
      <c r="E47" s="2141"/>
      <c r="F47" s="2141"/>
      <c r="G47" s="2141"/>
      <c r="H47" s="2141"/>
      <c r="I47" s="214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4"/>
      <c r="C57" s="2145"/>
      <c r="D57" s="2145"/>
      <c r="E57" s="2145"/>
      <c r="F57" s="2145"/>
      <c r="G57" s="2145"/>
      <c r="H57" s="2145"/>
      <c r="I57" s="2145"/>
      <c r="J57" s="2146"/>
    </row>
    <row r="58" spans="1:10" s="181" customFormat="1" x14ac:dyDescent="0.2">
      <c r="A58" s="253"/>
      <c r="B58" s="2147"/>
      <c r="C58" s="2148"/>
      <c r="D58" s="2148"/>
      <c r="E58" s="2148"/>
      <c r="F58" s="2148"/>
      <c r="G58" s="2148"/>
      <c r="H58" s="2148"/>
      <c r="I58" s="2148"/>
      <c r="J58" s="2149"/>
    </row>
    <row r="59" spans="1:10" s="181" customFormat="1" x14ac:dyDescent="0.2">
      <c r="A59" s="253"/>
      <c r="B59" s="2147"/>
      <c r="C59" s="2148"/>
      <c r="D59" s="2148"/>
      <c r="E59" s="2148"/>
      <c r="F59" s="2148"/>
      <c r="G59" s="2148"/>
      <c r="H59" s="2148"/>
      <c r="I59" s="2148"/>
      <c r="J59" s="2149"/>
    </row>
    <row r="60" spans="1:10" s="181" customFormat="1" x14ac:dyDescent="0.2">
      <c r="A60" s="253"/>
      <c r="B60" s="2147"/>
      <c r="C60" s="2148"/>
      <c r="D60" s="2148"/>
      <c r="E60" s="2148"/>
      <c r="F60" s="2148"/>
      <c r="G60" s="2148"/>
      <c r="H60" s="2148"/>
      <c r="I60" s="2148"/>
      <c r="J60" s="2149"/>
    </row>
    <row r="61" spans="1:10" s="181" customFormat="1" x14ac:dyDescent="0.2">
      <c r="A61" s="253"/>
      <c r="B61" s="2147"/>
      <c r="C61" s="2148"/>
      <c r="D61" s="2148"/>
      <c r="E61" s="2148"/>
      <c r="F61" s="2148"/>
      <c r="G61" s="2148"/>
      <c r="H61" s="2148"/>
      <c r="I61" s="2148"/>
      <c r="J61" s="2149"/>
    </row>
    <row r="62" spans="1:10" s="181" customFormat="1" x14ac:dyDescent="0.2">
      <c r="A62" s="253"/>
      <c r="B62" s="2147"/>
      <c r="C62" s="2148"/>
      <c r="D62" s="2148"/>
      <c r="E62" s="2148"/>
      <c r="F62" s="2148"/>
      <c r="G62" s="2148"/>
      <c r="H62" s="2148"/>
      <c r="I62" s="2148"/>
      <c r="J62" s="2149"/>
    </row>
    <row r="63" spans="1:10" s="181" customFormat="1" x14ac:dyDescent="0.2">
      <c r="A63" s="253"/>
      <c r="B63" s="2147"/>
      <c r="C63" s="2148"/>
      <c r="D63" s="2148"/>
      <c r="E63" s="2148"/>
      <c r="F63" s="2148"/>
      <c r="G63" s="2148"/>
      <c r="H63" s="2148"/>
      <c r="I63" s="2148"/>
      <c r="J63" s="2149"/>
    </row>
    <row r="64" spans="1:10" s="181" customFormat="1" x14ac:dyDescent="0.2">
      <c r="A64" s="253"/>
      <c r="B64" s="2147"/>
      <c r="C64" s="2148"/>
      <c r="D64" s="2148"/>
      <c r="E64" s="2148"/>
      <c r="F64" s="2148"/>
      <c r="G64" s="2148"/>
      <c r="H64" s="2148"/>
      <c r="I64" s="2148"/>
      <c r="J64" s="2149"/>
    </row>
    <row r="65" spans="1:10" s="181" customFormat="1" x14ac:dyDescent="0.2">
      <c r="A65" s="253"/>
      <c r="B65" s="2147"/>
      <c r="C65" s="2148"/>
      <c r="D65" s="2148"/>
      <c r="E65" s="2148"/>
      <c r="F65" s="2148"/>
      <c r="G65" s="2148"/>
      <c r="H65" s="2148"/>
      <c r="I65" s="2148"/>
      <c r="J65" s="2149"/>
    </row>
    <row r="66" spans="1:10" s="181" customFormat="1" x14ac:dyDescent="0.2">
      <c r="A66" s="253"/>
      <c r="B66" s="2147"/>
      <c r="C66" s="2148"/>
      <c r="D66" s="2148"/>
      <c r="E66" s="2148"/>
      <c r="F66" s="2148"/>
      <c r="G66" s="2148"/>
      <c r="H66" s="2148"/>
      <c r="I66" s="2148"/>
      <c r="J66" s="2149"/>
    </row>
    <row r="67" spans="1:10" s="181" customFormat="1" ht="9" customHeight="1" x14ac:dyDescent="0.2">
      <c r="A67" s="254"/>
      <c r="B67" s="2150"/>
      <c r="C67" s="2151"/>
      <c r="D67" s="2151"/>
      <c r="E67" s="2151"/>
      <c r="F67" s="2151"/>
      <c r="G67" s="2151"/>
      <c r="H67" s="2151"/>
      <c r="I67" s="2151"/>
      <c r="J67" s="215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7" t="s">
        <v>1323</v>
      </c>
      <c r="B70" s="2140"/>
      <c r="C70" s="2140"/>
      <c r="D70" s="2140"/>
      <c r="E70" s="2141"/>
      <c r="F70" s="2141"/>
      <c r="G70" s="2141"/>
      <c r="H70" s="2141"/>
      <c r="I70" s="214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2" t="s">
        <v>1320</v>
      </c>
      <c r="B83" s="2142"/>
      <c r="C83" s="2142"/>
      <c r="D83" s="214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4" t="s">
        <v>2163</v>
      </c>
      <c r="C102" s="2125"/>
      <c r="D102" s="2125"/>
      <c r="E102" s="2125"/>
      <c r="F102" s="2125"/>
      <c r="G102" s="2125"/>
      <c r="H102" s="2125"/>
      <c r="I102" s="2126"/>
    </row>
    <row r="103" spans="1:9" s="181" customFormat="1" ht="11.25" customHeight="1" x14ac:dyDescent="0.2">
      <c r="A103" s="316"/>
      <c r="B103" s="2127"/>
      <c r="C103" s="2128"/>
      <c r="D103" s="2128"/>
      <c r="E103" s="2128"/>
      <c r="F103" s="2128"/>
      <c r="G103" s="2128"/>
      <c r="H103" s="2128"/>
      <c r="I103" s="2129"/>
    </row>
    <row r="104" spans="1:9" s="181" customFormat="1" ht="11.25" customHeight="1" x14ac:dyDescent="0.2">
      <c r="A104" s="316"/>
      <c r="B104" s="2127"/>
      <c r="C104" s="2128"/>
      <c r="D104" s="2128"/>
      <c r="E104" s="2128"/>
      <c r="F104" s="2128"/>
      <c r="G104" s="2128"/>
      <c r="H104" s="2128"/>
      <c r="I104" s="2129"/>
    </row>
    <row r="105" spans="1:9" s="181" customFormat="1" x14ac:dyDescent="0.2">
      <c r="A105" s="316"/>
      <c r="B105" s="2127"/>
      <c r="C105" s="2128"/>
      <c r="D105" s="2128"/>
      <c r="E105" s="2128"/>
      <c r="F105" s="2128"/>
      <c r="G105" s="2128"/>
      <c r="H105" s="2128"/>
      <c r="I105" s="2129"/>
    </row>
    <row r="106" spans="1:9" s="181" customFormat="1" ht="11.25" customHeight="1" x14ac:dyDescent="0.2">
      <c r="A106" s="316"/>
      <c r="B106" s="2127"/>
      <c r="C106" s="2128"/>
      <c r="D106" s="2128"/>
      <c r="E106" s="2128"/>
      <c r="F106" s="2128"/>
      <c r="G106" s="2128"/>
      <c r="H106" s="2128"/>
      <c r="I106" s="2129"/>
    </row>
    <row r="107" spans="1:9" s="181" customFormat="1" ht="11.25" customHeight="1" x14ac:dyDescent="0.2">
      <c r="A107" s="316"/>
      <c r="B107" s="2127"/>
      <c r="C107" s="2128"/>
      <c r="D107" s="2128"/>
      <c r="E107" s="2128"/>
      <c r="F107" s="2128"/>
      <c r="G107" s="2128"/>
      <c r="H107" s="2128"/>
      <c r="I107" s="2129"/>
    </row>
    <row r="108" spans="1:9" s="181" customFormat="1" ht="11.25" customHeight="1" x14ac:dyDescent="0.2">
      <c r="A108" s="316"/>
      <c r="B108" s="2127"/>
      <c r="C108" s="2128"/>
      <c r="D108" s="2128"/>
      <c r="E108" s="2128"/>
      <c r="F108" s="2128"/>
      <c r="G108" s="2128"/>
      <c r="H108" s="2128"/>
      <c r="I108" s="2129"/>
    </row>
    <row r="109" spans="1:9" s="181" customFormat="1" ht="11.25" customHeight="1" x14ac:dyDescent="0.2">
      <c r="A109" s="316"/>
      <c r="B109" s="2127"/>
      <c r="C109" s="2128"/>
      <c r="D109" s="2128"/>
      <c r="E109" s="2128"/>
      <c r="F109" s="2128"/>
      <c r="G109" s="2128"/>
      <c r="H109" s="2128"/>
      <c r="I109" s="2129"/>
    </row>
    <row r="110" spans="1:9" s="181" customFormat="1" ht="11.25" customHeight="1" x14ac:dyDescent="0.2">
      <c r="A110" s="316"/>
      <c r="B110" s="2127"/>
      <c r="C110" s="2128"/>
      <c r="D110" s="2128"/>
      <c r="E110" s="2128"/>
      <c r="F110" s="2128"/>
      <c r="G110" s="2128"/>
      <c r="H110" s="2128"/>
      <c r="I110" s="2129"/>
    </row>
    <row r="111" spans="1:9" s="181" customFormat="1" ht="11.25" customHeight="1" x14ac:dyDescent="0.2">
      <c r="A111" s="316"/>
      <c r="B111" s="2127"/>
      <c r="C111" s="2128"/>
      <c r="D111" s="2128"/>
      <c r="E111" s="2128"/>
      <c r="F111" s="2128"/>
      <c r="G111" s="2128"/>
      <c r="H111" s="2128"/>
      <c r="I111" s="2129"/>
    </row>
    <row r="112" spans="1:9" s="181" customFormat="1" ht="11.25" customHeight="1" x14ac:dyDescent="0.2">
      <c r="A112" s="316"/>
      <c r="B112" s="2130"/>
      <c r="C112" s="2131"/>
      <c r="D112" s="2131"/>
      <c r="E112" s="2131"/>
      <c r="F112" s="2131"/>
      <c r="G112" s="2131"/>
      <c r="H112" s="2131"/>
      <c r="I112" s="213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3" t="s">
        <v>2164</v>
      </c>
      <c r="D114" s="213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4" t="s">
        <v>1330</v>
      </c>
      <c r="D117" s="2135"/>
      <c r="E117" s="2136"/>
      <c r="F117" s="2136"/>
      <c r="G117" s="2136"/>
      <c r="H117" s="2136"/>
      <c r="I117" s="304"/>
    </row>
    <row r="118" spans="1:9" s="181" customFormat="1" ht="24" customHeight="1" x14ac:dyDescent="0.2">
      <c r="A118" s="316"/>
      <c r="B118" s="316"/>
      <c r="C118" s="316"/>
      <c r="D118" s="323" t="s">
        <v>2187</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9" t="str">
        <f>'Single Audit Cover'!A7</f>
        <v>Bradford CUSD 1</v>
      </c>
      <c r="C1" s="2530"/>
      <c r="D1" s="2530"/>
      <c r="E1" s="2530"/>
      <c r="F1" s="2530"/>
      <c r="G1" s="2530"/>
      <c r="H1" s="2530"/>
      <c r="I1" s="2530"/>
      <c r="J1" s="1403"/>
    </row>
    <row r="2" spans="2:10" s="317" customFormat="1" ht="12.75" customHeight="1" x14ac:dyDescent="0.2">
      <c r="B2" s="2531">
        <f>'Single Audit Cover'!E7</f>
        <v>28088001026</v>
      </c>
      <c r="C2" s="2532"/>
      <c r="D2" s="2532"/>
      <c r="E2" s="2532"/>
      <c r="F2" s="2532"/>
      <c r="G2" s="2532"/>
      <c r="H2" s="2532"/>
      <c r="I2" s="2532"/>
      <c r="J2" s="1403"/>
    </row>
    <row r="3" spans="2:10" s="317" customFormat="1" ht="12.75" customHeight="1" x14ac:dyDescent="0.2">
      <c r="B3" s="2533" t="s">
        <v>1285</v>
      </c>
      <c r="C3" s="2534"/>
      <c r="D3" s="2534"/>
      <c r="E3" s="2534"/>
      <c r="F3" s="2534"/>
      <c r="G3" s="2534"/>
      <c r="H3" s="2534"/>
      <c r="I3" s="2534"/>
      <c r="J3" s="1404"/>
    </row>
    <row r="4" spans="2:10" s="317" customFormat="1" ht="12.75" customHeight="1" x14ac:dyDescent="0.2">
      <c r="B4" s="2533" t="str">
        <f>'Single Audit Cover'!A4</f>
        <v>Year Ending June 30, 2019</v>
      </c>
      <c r="C4" s="2534"/>
      <c r="D4" s="2534"/>
      <c r="E4" s="2534"/>
      <c r="F4" s="2534"/>
      <c r="G4" s="2534"/>
      <c r="H4" s="2534"/>
      <c r="I4" s="2534"/>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33" t="s">
        <v>1284</v>
      </c>
      <c r="C7" s="2534"/>
      <c r="D7" s="2534"/>
      <c r="E7" s="2534"/>
      <c r="F7" s="2534"/>
      <c r="G7" s="2534"/>
      <c r="H7" s="2534"/>
      <c r="I7" s="2534"/>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35"/>
      <c r="D11" s="2535"/>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36"/>
      <c r="E29" s="2536"/>
      <c r="F29" s="2536"/>
      <c r="G29" s="2536"/>
      <c r="H29" s="2536"/>
      <c r="I29" s="2536"/>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37" t="s">
        <v>1751</v>
      </c>
      <c r="D37" s="2538"/>
      <c r="E37" s="2538"/>
      <c r="F37" s="2539"/>
      <c r="G37" s="2537" t="s">
        <v>1592</v>
      </c>
      <c r="H37" s="2538"/>
      <c r="I37" s="2539"/>
    </row>
    <row r="38" spans="2:9" ht="16.5" customHeight="1" x14ac:dyDescent="0.2">
      <c r="B38" s="1425"/>
      <c r="C38" s="2525"/>
      <c r="D38" s="2526"/>
      <c r="E38" s="2526"/>
      <c r="F38" s="2527"/>
      <c r="G38" s="2540"/>
      <c r="H38" s="2541"/>
      <c r="I38" s="2542"/>
    </row>
    <row r="39" spans="2:9" ht="16.5" customHeight="1" x14ac:dyDescent="0.2">
      <c r="B39" s="1425"/>
      <c r="C39" s="2525"/>
      <c r="D39" s="2526"/>
      <c r="E39" s="2526"/>
      <c r="F39" s="2527"/>
      <c r="G39" s="2528"/>
      <c r="H39" s="2528"/>
      <c r="I39" s="2528"/>
    </row>
    <row r="40" spans="2:9" ht="16.5" customHeight="1" x14ac:dyDescent="0.2">
      <c r="B40" s="1425"/>
      <c r="C40" s="2525"/>
      <c r="D40" s="2526"/>
      <c r="E40" s="2526"/>
      <c r="F40" s="2527"/>
      <c r="G40" s="2528"/>
      <c r="H40" s="2528"/>
      <c r="I40" s="2528"/>
    </row>
    <row r="41" spans="2:9" ht="16.5" customHeight="1" x14ac:dyDescent="0.2">
      <c r="B41" s="1425"/>
      <c r="C41" s="2525"/>
      <c r="D41" s="2526"/>
      <c r="E41" s="2526"/>
      <c r="F41" s="2527"/>
      <c r="G41" s="2528"/>
      <c r="H41" s="2528"/>
      <c r="I41" s="2528"/>
    </row>
    <row r="42" spans="2:9" ht="16.5" customHeight="1" x14ac:dyDescent="0.2">
      <c r="B42" s="1425"/>
      <c r="C42" s="2525"/>
      <c r="D42" s="2526"/>
      <c r="E42" s="2526"/>
      <c r="F42" s="2527"/>
      <c r="G42" s="2528"/>
      <c r="H42" s="2528"/>
      <c r="I42" s="2528"/>
    </row>
    <row r="43" spans="2:9" ht="16.5" customHeight="1" x14ac:dyDescent="0.2">
      <c r="B43" s="1425"/>
      <c r="C43" s="2518" t="s">
        <v>1593</v>
      </c>
      <c r="D43" s="2519"/>
      <c r="E43" s="2519"/>
      <c r="F43" s="2520"/>
      <c r="G43" s="2521">
        <f>SUM(G38:I42)</f>
        <v>0</v>
      </c>
      <c r="H43" s="2521"/>
      <c r="I43" s="2521"/>
    </row>
    <row r="44" spans="2:9" ht="12.75" customHeight="1" x14ac:dyDescent="0.2"/>
    <row r="45" spans="2:9" ht="12.75" customHeight="1" x14ac:dyDescent="0.2">
      <c r="B45" s="1416" t="s">
        <v>1841</v>
      </c>
      <c r="D45" s="2522">
        <v>0</v>
      </c>
      <c r="E45" s="2523"/>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524"/>
      <c r="F49" s="2524"/>
      <c r="G49" s="2524"/>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M45"/>
  <sheetViews>
    <sheetView showGridLines="0" zoomScale="110" zoomScaleNormal="110" workbookViewId="0"/>
  </sheetViews>
  <sheetFormatPr defaultColWidth="9.140625" defaultRowHeight="12.75" x14ac:dyDescent="0.2"/>
  <cols>
    <col min="1" max="1" width="1.5703125" style="1937" customWidth="1"/>
    <col min="2" max="2" width="21.42578125" style="1937" customWidth="1"/>
    <col min="3" max="3" width="6.140625" style="1937" customWidth="1"/>
    <col min="4" max="4" width="4.42578125" style="1937" customWidth="1"/>
    <col min="5" max="5" width="3.5703125" style="1937" customWidth="1"/>
    <col min="6" max="6" width="20.140625" style="1937" customWidth="1"/>
    <col min="7" max="7" width="3.5703125" style="1962" customWidth="1"/>
    <col min="8" max="8" width="10.5703125" style="1937" customWidth="1"/>
    <col min="9" max="9" width="3.42578125" style="1962" customWidth="1"/>
    <col min="10" max="10" width="15.42578125" style="1937" customWidth="1"/>
    <col min="11" max="11" width="8.5703125" style="1937" customWidth="1"/>
    <col min="12" max="12" width="1.42578125" style="1937" customWidth="1"/>
    <col min="13" max="13" width="3.42578125" style="1937" customWidth="1"/>
    <col min="14" max="16384" width="9.140625" style="1937"/>
  </cols>
  <sheetData>
    <row r="1" spans="1:13" ht="11.1" customHeight="1" x14ac:dyDescent="0.2">
      <c r="B1" s="2544" t="str">
        <f>'Single Audit Cover'!A7</f>
        <v>Bradford CUSD 1</v>
      </c>
      <c r="C1" s="2544"/>
      <c r="D1" s="2544"/>
      <c r="E1" s="2544"/>
      <c r="F1" s="2544"/>
      <c r="G1" s="2544"/>
      <c r="H1" s="2544"/>
      <c r="I1" s="2544"/>
      <c r="J1" s="2544"/>
      <c r="K1" s="2544"/>
      <c r="L1" s="1957"/>
      <c r="M1" s="1957"/>
    </row>
    <row r="2" spans="1:13" ht="12" customHeight="1" x14ac:dyDescent="0.2">
      <c r="B2" s="2545">
        <f>'Single Audit Cover'!E7</f>
        <v>28088001026</v>
      </c>
      <c r="C2" s="2545"/>
      <c r="D2" s="2545"/>
      <c r="E2" s="2545"/>
      <c r="F2" s="2545"/>
      <c r="G2" s="2545"/>
      <c r="H2" s="2545"/>
      <c r="I2" s="2545"/>
      <c r="J2" s="2545"/>
      <c r="K2" s="2545"/>
      <c r="L2" s="1958"/>
      <c r="M2" s="1959"/>
    </row>
    <row r="3" spans="1:13" ht="10.35" customHeight="1" x14ac:dyDescent="0.2">
      <c r="B3" s="2546" t="s">
        <v>1285</v>
      </c>
      <c r="C3" s="2546"/>
      <c r="D3" s="2546"/>
      <c r="E3" s="2546"/>
      <c r="F3" s="2546"/>
      <c r="G3" s="2546"/>
      <c r="H3" s="2546"/>
      <c r="I3" s="2546"/>
      <c r="J3" s="2546"/>
      <c r="K3" s="2546"/>
      <c r="L3" s="1960"/>
      <c r="M3" s="1960"/>
    </row>
    <row r="4" spans="1:13" ht="11.1" customHeight="1" x14ac:dyDescent="0.2">
      <c r="B4" s="2546" t="s">
        <v>1989</v>
      </c>
      <c r="C4" s="2546"/>
      <c r="D4" s="2546"/>
      <c r="E4" s="2546"/>
      <c r="F4" s="2546"/>
      <c r="G4" s="2546"/>
      <c r="H4" s="2546"/>
      <c r="I4" s="2546"/>
      <c r="J4" s="2546"/>
      <c r="K4" s="2546"/>
      <c r="L4" s="1960"/>
      <c r="M4" s="1960"/>
    </row>
    <row r="5" spans="1:13" ht="7.5" customHeight="1" x14ac:dyDescent="0.2">
      <c r="B5" s="1961" t="s">
        <v>1169</v>
      </c>
      <c r="C5" s="1961"/>
    </row>
    <row r="6" spans="1:13" ht="7.5" customHeight="1" x14ac:dyDescent="0.2">
      <c r="B6" s="1963"/>
      <c r="C6" s="1963"/>
      <c r="D6" s="1964"/>
      <c r="E6" s="1964"/>
      <c r="F6" s="1964"/>
      <c r="G6" s="1965"/>
      <c r="H6" s="1964"/>
      <c r="I6" s="1965"/>
      <c r="J6" s="1964"/>
      <c r="K6" s="1964"/>
    </row>
    <row r="7" spans="1:13" ht="12.75" customHeight="1" x14ac:dyDescent="0.2">
      <c r="A7" s="1966"/>
      <c r="B7" s="2547" t="s">
        <v>1296</v>
      </c>
      <c r="C7" s="2547"/>
      <c r="D7" s="2548"/>
      <c r="E7" s="2548"/>
      <c r="F7" s="2548"/>
      <c r="G7" s="2548"/>
      <c r="H7" s="2548"/>
      <c r="I7" s="2548"/>
      <c r="J7" s="2548"/>
      <c r="K7" s="2548"/>
      <c r="L7" s="1967"/>
    </row>
    <row r="8" spans="1:13" ht="7.5" customHeight="1" x14ac:dyDescent="0.2"/>
    <row r="9" spans="1:13" ht="9.6" customHeight="1" x14ac:dyDescent="0.2">
      <c r="B9" s="1964"/>
      <c r="C9" s="1964"/>
      <c r="D9" s="1964"/>
      <c r="E9" s="1964"/>
      <c r="F9" s="1964"/>
      <c r="G9" s="1965"/>
      <c r="H9" s="1964"/>
      <c r="I9" s="1965"/>
      <c r="J9" s="1964"/>
      <c r="K9" s="1964"/>
    </row>
    <row r="10" spans="1:13" ht="16.5" customHeight="1" x14ac:dyDescent="0.2">
      <c r="B10" s="1950" t="s">
        <v>2117</v>
      </c>
      <c r="C10" s="1968" t="s">
        <v>1991</v>
      </c>
      <c r="D10" s="1969">
        <v>1</v>
      </c>
      <c r="F10" s="1950" t="s">
        <v>1295</v>
      </c>
      <c r="G10" s="1970"/>
      <c r="H10" s="1971" t="s">
        <v>1294</v>
      </c>
      <c r="I10" s="1970" t="s">
        <v>2118</v>
      </c>
      <c r="J10" s="1972" t="s">
        <v>1293</v>
      </c>
    </row>
    <row r="11" spans="1:13" ht="13.5" customHeight="1" x14ac:dyDescent="0.2">
      <c r="I11" s="1954" t="s">
        <v>1292</v>
      </c>
      <c r="K11" s="1973">
        <v>2007</v>
      </c>
    </row>
    <row r="12" spans="1:13" ht="13.5" customHeight="1" x14ac:dyDescent="0.2">
      <c r="B12" s="1961"/>
      <c r="C12" s="1961"/>
    </row>
    <row r="13" spans="1:13" s="1966" customFormat="1" ht="13.5" customHeight="1" x14ac:dyDescent="0.2">
      <c r="B13" s="1974" t="s">
        <v>1291</v>
      </c>
      <c r="C13" s="1974"/>
      <c r="D13" s="1975"/>
      <c r="E13" s="1975"/>
      <c r="F13" s="1975"/>
      <c r="G13" s="1976"/>
      <c r="H13" s="1975"/>
      <c r="I13" s="1976"/>
      <c r="J13" s="1975"/>
      <c r="K13" s="1975"/>
    </row>
    <row r="14" spans="1:13" ht="48" customHeight="1" x14ac:dyDescent="0.2">
      <c r="B14" s="2543" t="s">
        <v>2167</v>
      </c>
      <c r="C14" s="2543"/>
      <c r="D14" s="2543"/>
      <c r="E14" s="2543"/>
      <c r="F14" s="2543"/>
      <c r="G14" s="2543"/>
      <c r="H14" s="2543"/>
      <c r="I14" s="2543"/>
      <c r="J14" s="2543"/>
      <c r="K14" s="2543"/>
    </row>
    <row r="15" spans="1:13" ht="4.5" customHeight="1" x14ac:dyDescent="0.2">
      <c r="B15" s="1951"/>
      <c r="C15" s="1951"/>
    </row>
    <row r="16" spans="1:13" s="1966" customFormat="1" ht="13.5" customHeight="1" x14ac:dyDescent="0.2">
      <c r="B16" s="1974" t="s">
        <v>1290</v>
      </c>
      <c r="C16" s="1974"/>
      <c r="D16" s="1975"/>
      <c r="E16" s="1975"/>
      <c r="F16" s="1975"/>
      <c r="G16" s="1976"/>
      <c r="H16" s="1975"/>
      <c r="I16" s="1976"/>
      <c r="J16" s="1975"/>
      <c r="K16" s="1975"/>
    </row>
    <row r="17" spans="2:11" ht="81.75" customHeight="1" x14ac:dyDescent="0.2">
      <c r="B17" s="2543" t="s">
        <v>2147</v>
      </c>
      <c r="C17" s="2543"/>
      <c r="D17" s="2543"/>
      <c r="E17" s="2543"/>
      <c r="F17" s="2543"/>
      <c r="G17" s="2543"/>
      <c r="H17" s="2543"/>
      <c r="I17" s="2543"/>
      <c r="J17" s="2543"/>
      <c r="K17" s="2543"/>
    </row>
    <row r="18" spans="2:11" ht="4.5" customHeight="1" x14ac:dyDescent="0.2">
      <c r="B18" s="1951"/>
      <c r="C18" s="1951"/>
    </row>
    <row r="19" spans="2:11" s="1966" customFormat="1" ht="13.5" customHeight="1" x14ac:dyDescent="0.2">
      <c r="B19" s="1974" t="s">
        <v>2119</v>
      </c>
      <c r="C19" s="1974"/>
      <c r="D19" s="1975"/>
      <c r="E19" s="1975"/>
      <c r="F19" s="1975"/>
      <c r="G19" s="1976"/>
      <c r="H19" s="1975"/>
      <c r="I19" s="1976"/>
      <c r="J19" s="1975"/>
      <c r="K19" s="1975"/>
    </row>
    <row r="20" spans="2:11" ht="40.5" customHeight="1" x14ac:dyDescent="0.2">
      <c r="B20" s="2549" t="s">
        <v>2148</v>
      </c>
      <c r="C20" s="2549"/>
      <c r="D20" s="2543"/>
      <c r="E20" s="2543"/>
      <c r="F20" s="2543"/>
      <c r="G20" s="2543"/>
      <c r="H20" s="2543"/>
      <c r="I20" s="2543"/>
      <c r="J20" s="2543"/>
      <c r="K20" s="2543"/>
    </row>
    <row r="21" spans="2:11" ht="4.5" customHeight="1" x14ac:dyDescent="0.2">
      <c r="B21" s="1977"/>
      <c r="C21" s="1977"/>
    </row>
    <row r="22" spans="2:11" ht="13.5" customHeight="1" x14ac:dyDescent="0.2">
      <c r="B22" s="1974" t="s">
        <v>1289</v>
      </c>
      <c r="C22" s="1974"/>
      <c r="D22" s="1964"/>
      <c r="E22" s="1964"/>
      <c r="F22" s="1964"/>
      <c r="G22" s="1965"/>
      <c r="H22" s="1964"/>
      <c r="I22" s="1965"/>
      <c r="J22" s="1964"/>
      <c r="K22" s="1964"/>
    </row>
    <row r="23" spans="2:11" ht="39.75" customHeight="1" x14ac:dyDescent="0.2">
      <c r="B23" s="2543" t="s">
        <v>2150</v>
      </c>
      <c r="C23" s="2543"/>
      <c r="D23" s="2543"/>
      <c r="E23" s="2543"/>
      <c r="F23" s="2543"/>
      <c r="G23" s="2543"/>
      <c r="H23" s="2543"/>
      <c r="I23" s="2543"/>
      <c r="J23" s="2543"/>
      <c r="K23" s="2543"/>
    </row>
    <row r="24" spans="2:11" ht="4.5" customHeight="1" x14ac:dyDescent="0.2">
      <c r="B24" s="1951"/>
      <c r="C24" s="1951"/>
    </row>
    <row r="25" spans="2:11" ht="13.5" customHeight="1" x14ac:dyDescent="0.2">
      <c r="B25" s="1974" t="s">
        <v>1288</v>
      </c>
      <c r="C25" s="1974"/>
      <c r="D25" s="1964"/>
      <c r="E25" s="1964"/>
      <c r="F25" s="1964"/>
      <c r="G25" s="1965"/>
      <c r="H25" s="1964"/>
      <c r="I25" s="1965"/>
      <c r="J25" s="1964"/>
      <c r="K25" s="1964"/>
    </row>
    <row r="26" spans="2:11" ht="39.75" customHeight="1" x14ac:dyDescent="0.2">
      <c r="B26" s="2543" t="s">
        <v>2149</v>
      </c>
      <c r="C26" s="2543"/>
      <c r="D26" s="2543"/>
      <c r="E26" s="2543"/>
      <c r="F26" s="2543"/>
      <c r="G26" s="2543"/>
      <c r="H26" s="2543"/>
      <c r="I26" s="2543"/>
      <c r="J26" s="2543"/>
      <c r="K26" s="2543"/>
    </row>
    <row r="27" spans="2:11" ht="4.5" customHeight="1" x14ac:dyDescent="0.2">
      <c r="B27" s="1951"/>
      <c r="C27" s="1951"/>
    </row>
    <row r="28" spans="2:11" ht="13.5" customHeight="1" x14ac:dyDescent="0.2">
      <c r="B28" s="1978" t="s">
        <v>1287</v>
      </c>
      <c r="C28" s="1978"/>
      <c r="D28" s="1964"/>
      <c r="E28" s="1964"/>
      <c r="F28" s="1964"/>
      <c r="G28" s="1965"/>
      <c r="H28" s="1964"/>
      <c r="I28" s="1965"/>
      <c r="J28" s="1964"/>
      <c r="K28" s="1964"/>
    </row>
    <row r="29" spans="2:11" ht="27" customHeight="1" x14ac:dyDescent="0.2">
      <c r="B29" s="2543" t="s">
        <v>2120</v>
      </c>
      <c r="C29" s="2543"/>
      <c r="D29" s="2543"/>
      <c r="E29" s="2543"/>
      <c r="F29" s="2543"/>
      <c r="G29" s="2543"/>
      <c r="H29" s="2543"/>
      <c r="I29" s="2543"/>
      <c r="J29" s="2543"/>
      <c r="K29" s="2543"/>
    </row>
    <row r="30" spans="2:11" ht="4.5" customHeight="1" x14ac:dyDescent="0.2">
      <c r="B30" s="1951"/>
      <c r="C30" s="1951"/>
    </row>
    <row r="31" spans="2:11" ht="13.5" customHeight="1" x14ac:dyDescent="0.2">
      <c r="B31" s="1979" t="s">
        <v>2121</v>
      </c>
      <c r="C31" s="1979"/>
      <c r="D31" s="1963"/>
      <c r="E31" s="1964"/>
      <c r="F31" s="1964"/>
      <c r="G31" s="1965"/>
      <c r="H31" s="1964"/>
      <c r="I31" s="1965"/>
      <c r="J31" s="1964"/>
      <c r="K31" s="1964"/>
    </row>
    <row r="32" spans="2:11" ht="57" customHeight="1" x14ac:dyDescent="0.2">
      <c r="B32" s="2543" t="s">
        <v>2151</v>
      </c>
      <c r="C32" s="2543"/>
      <c r="D32" s="2543"/>
      <c r="E32" s="2543"/>
      <c r="F32" s="2543"/>
      <c r="G32" s="2543"/>
      <c r="H32" s="2543"/>
      <c r="I32" s="2543"/>
      <c r="J32" s="2543"/>
      <c r="K32" s="2543"/>
    </row>
    <row r="33" spans="2:13" ht="4.5" customHeight="1" x14ac:dyDescent="0.2">
      <c r="B33" s="1951"/>
      <c r="C33" s="1951"/>
    </row>
    <row r="34" spans="2:13" ht="11.1" hidden="1" customHeight="1" x14ac:dyDescent="0.2">
      <c r="B34" s="1980" t="s">
        <v>2122</v>
      </c>
      <c r="C34" s="1981"/>
      <c r="D34" s="1982"/>
      <c r="E34" s="1982"/>
      <c r="F34" s="1982"/>
      <c r="G34" s="1983"/>
      <c r="H34" s="1982"/>
      <c r="I34" s="1983"/>
      <c r="J34" s="1982"/>
      <c r="K34" s="1984"/>
    </row>
    <row r="35" spans="2:13" ht="13.5" hidden="1" customHeight="1" x14ac:dyDescent="0.2">
      <c r="B35" s="1985" t="s">
        <v>2123</v>
      </c>
      <c r="C35" s="1986"/>
      <c r="D35" s="1987"/>
      <c r="E35" s="1988"/>
      <c r="F35" s="1989" t="s">
        <v>2124</v>
      </c>
      <c r="G35" s="1990"/>
      <c r="H35" s="1991"/>
      <c r="I35" s="1992"/>
      <c r="J35" s="1993"/>
      <c r="K35" s="1994"/>
    </row>
    <row r="36" spans="2:13" ht="13.5" hidden="1" customHeight="1" x14ac:dyDescent="0.2">
      <c r="B36" s="1985" t="s">
        <v>2125</v>
      </c>
      <c r="C36" s="1986"/>
      <c r="D36" s="1995"/>
      <c r="E36" s="1991"/>
      <c r="F36" s="1996" t="s">
        <v>2126</v>
      </c>
      <c r="G36" s="1990"/>
      <c r="H36" s="1991"/>
      <c r="I36" s="1992"/>
      <c r="J36" s="1993"/>
      <c r="K36" s="1994"/>
      <c r="M36" s="1997"/>
    </row>
    <row r="37" spans="2:13" ht="11.45" hidden="1" customHeight="1" x14ac:dyDescent="0.2">
      <c r="B37" s="1998"/>
      <c r="C37" s="1993"/>
      <c r="D37" s="1993"/>
      <c r="E37" s="1993"/>
      <c r="F37" s="1993"/>
      <c r="G37" s="1999"/>
      <c r="H37" s="1993"/>
      <c r="I37" s="1999"/>
      <c r="J37" s="1993"/>
      <c r="K37" s="2000"/>
    </row>
    <row r="38" spans="2:13" ht="8.25" customHeight="1" thickBot="1" x14ac:dyDescent="0.25"/>
    <row r="39" spans="2:13" ht="11.85" customHeight="1" x14ac:dyDescent="0.2">
      <c r="B39" s="2001" t="s">
        <v>2127</v>
      </c>
      <c r="C39" s="2001"/>
      <c r="D39" s="2002"/>
      <c r="E39" s="2002"/>
      <c r="F39" s="2002"/>
    </row>
    <row r="40" spans="2:13" ht="9.6" customHeight="1" x14ac:dyDescent="0.2">
      <c r="B40" s="1945" t="s">
        <v>1842</v>
      </c>
      <c r="C40" s="1945"/>
    </row>
    <row r="41" spans="2:13" ht="9.6" customHeight="1" x14ac:dyDescent="0.2">
      <c r="B41" s="1945" t="s">
        <v>1843</v>
      </c>
      <c r="C41" s="1945"/>
    </row>
    <row r="42" spans="2:13" ht="11.85" customHeight="1" x14ac:dyDescent="0.2">
      <c r="B42" s="1956" t="s">
        <v>2128</v>
      </c>
      <c r="C42" s="1956"/>
    </row>
    <row r="43" spans="2:13" ht="9.6" customHeight="1" x14ac:dyDescent="0.2">
      <c r="B43" s="1945" t="s">
        <v>1286</v>
      </c>
      <c r="C43" s="1945"/>
      <c r="M43" s="2003"/>
    </row>
    <row r="44" spans="2:13" ht="12.6" customHeight="1" x14ac:dyDescent="0.2">
      <c r="B44" s="1956" t="s">
        <v>2129</v>
      </c>
      <c r="C44" s="1956"/>
      <c r="M44" s="2003"/>
    </row>
    <row r="45" spans="2:13" ht="9.6" customHeight="1" x14ac:dyDescent="0.2">
      <c r="B45" s="1945"/>
      <c r="C45" s="1945"/>
      <c r="M45" s="20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9" t="str">
        <f>'Single Audit Cover'!A7</f>
        <v>Bradford CUSD 1</v>
      </c>
      <c r="C1" s="2529"/>
      <c r="D1" s="2529"/>
      <c r="E1" s="2529"/>
      <c r="F1" s="2529"/>
      <c r="G1" s="2529"/>
      <c r="H1" s="2529"/>
      <c r="I1" s="2529"/>
      <c r="J1" s="2529"/>
      <c r="K1" s="2529"/>
      <c r="L1" s="1368"/>
      <c r="M1" s="1368"/>
    </row>
    <row r="2" spans="1:13" ht="12" customHeight="1" x14ac:dyDescent="0.2">
      <c r="B2" s="2531">
        <f>'Single Audit Cover'!E7</f>
        <v>28088001026</v>
      </c>
      <c r="C2" s="2531"/>
      <c r="D2" s="2531"/>
      <c r="E2" s="2531"/>
      <c r="F2" s="2531"/>
      <c r="G2" s="2531"/>
      <c r="H2" s="2531"/>
      <c r="I2" s="2531"/>
      <c r="J2" s="2531"/>
      <c r="K2" s="2531"/>
      <c r="L2" s="1369"/>
      <c r="M2" s="1370"/>
    </row>
    <row r="3" spans="1:13" ht="10.35" customHeight="1" x14ac:dyDescent="0.2">
      <c r="B3" s="2552" t="s">
        <v>1285</v>
      </c>
      <c r="C3" s="2552"/>
      <c r="D3" s="2552"/>
      <c r="E3" s="2552"/>
      <c r="F3" s="2552"/>
      <c r="G3" s="2552"/>
      <c r="H3" s="2552"/>
      <c r="I3" s="2552"/>
      <c r="J3" s="2552"/>
      <c r="K3" s="2552"/>
      <c r="L3" s="1934"/>
      <c r="M3" s="1934"/>
    </row>
    <row r="4" spans="1:13" ht="14.25" customHeight="1" x14ac:dyDescent="0.2">
      <c r="B4" s="2553" t="str">
        <f>'Single Audit Cover'!A4</f>
        <v>Year Ending June 30, 2019</v>
      </c>
      <c r="C4" s="2553"/>
      <c r="D4" s="2553"/>
      <c r="E4" s="2553"/>
      <c r="F4" s="2553"/>
      <c r="G4" s="2553"/>
      <c r="H4" s="2553"/>
      <c r="I4" s="2553"/>
      <c r="J4" s="2553"/>
      <c r="K4" s="255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53" t="s">
        <v>1296</v>
      </c>
      <c r="C7" s="2553"/>
      <c r="D7" s="2554"/>
      <c r="E7" s="2554"/>
      <c r="F7" s="2554"/>
      <c r="G7" s="2554"/>
      <c r="H7" s="2554"/>
      <c r="I7" s="2554"/>
      <c r="J7" s="2554"/>
      <c r="K7" s="255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2</v>
      </c>
      <c r="E10" s="322"/>
      <c r="F10" s="1381" t="s">
        <v>1295</v>
      </c>
      <c r="G10" s="1382"/>
      <c r="H10" s="1383" t="s">
        <v>1294</v>
      </c>
      <c r="I10" s="1382" t="s">
        <v>2118</v>
      </c>
      <c r="J10" s="1384" t="s">
        <v>1293</v>
      </c>
      <c r="K10" s="322"/>
      <c r="L10" s="1375"/>
    </row>
    <row r="11" spans="1:13" ht="13.5" customHeight="1" x14ac:dyDescent="0.2">
      <c r="B11" s="322"/>
      <c r="C11" s="322"/>
      <c r="D11" s="322"/>
      <c r="E11" s="322"/>
      <c r="F11" s="322"/>
      <c r="G11" s="1377"/>
      <c r="H11" s="322"/>
      <c r="I11" s="1385" t="s">
        <v>1292</v>
      </c>
      <c r="J11" s="322"/>
      <c r="K11" s="1386">
        <v>2007</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51" t="s">
        <v>2152</v>
      </c>
      <c r="C14" s="2551"/>
      <c r="D14" s="2551"/>
      <c r="E14" s="2551"/>
      <c r="F14" s="2551"/>
      <c r="G14" s="2551"/>
      <c r="H14" s="2551"/>
      <c r="I14" s="2551"/>
      <c r="J14" s="2551"/>
      <c r="K14" s="255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51" t="s">
        <v>2153</v>
      </c>
      <c r="C17" s="2551"/>
      <c r="D17" s="2551"/>
      <c r="E17" s="2551"/>
      <c r="F17" s="2551"/>
      <c r="G17" s="2551"/>
      <c r="H17" s="2551"/>
      <c r="I17" s="2551"/>
      <c r="J17" s="2551"/>
      <c r="K17" s="2551"/>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55" t="s">
        <v>2101</v>
      </c>
      <c r="C20" s="2555"/>
      <c r="D20" s="2551"/>
      <c r="E20" s="2551"/>
      <c r="F20" s="2551"/>
      <c r="G20" s="2551"/>
      <c r="H20" s="2551"/>
      <c r="I20" s="2551"/>
      <c r="J20" s="2551"/>
      <c r="K20" s="255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51" t="s">
        <v>2102</v>
      </c>
      <c r="C23" s="2551"/>
      <c r="D23" s="2551"/>
      <c r="E23" s="2551"/>
      <c r="F23" s="2551"/>
      <c r="G23" s="2551"/>
      <c r="H23" s="2551"/>
      <c r="I23" s="2551"/>
      <c r="J23" s="2551"/>
      <c r="K23" s="255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51" t="s">
        <v>2103</v>
      </c>
      <c r="C26" s="2551"/>
      <c r="D26" s="2551"/>
      <c r="E26" s="2551"/>
      <c r="F26" s="2551"/>
      <c r="G26" s="2551"/>
      <c r="H26" s="2551"/>
      <c r="I26" s="2551"/>
      <c r="J26" s="2551"/>
      <c r="K26" s="255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50" t="s">
        <v>2104</v>
      </c>
      <c r="C29" s="2550"/>
      <c r="D29" s="2551"/>
      <c r="E29" s="2551"/>
      <c r="F29" s="2551"/>
      <c r="G29" s="2551"/>
      <c r="H29" s="2551"/>
      <c r="I29" s="2551"/>
      <c r="J29" s="2551"/>
      <c r="K29" s="255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50" t="s">
        <v>2105</v>
      </c>
      <c r="C32" s="2550"/>
      <c r="D32" s="2551"/>
      <c r="E32" s="2551"/>
      <c r="F32" s="2551"/>
      <c r="G32" s="2551"/>
      <c r="H32" s="2551"/>
      <c r="I32" s="2551"/>
      <c r="J32" s="2551"/>
      <c r="K32" s="255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9" t="str">
        <f>'Single Audit Cover'!A7</f>
        <v>Bradford CUSD 1</v>
      </c>
      <c r="C1" s="2529"/>
      <c r="D1" s="2529"/>
      <c r="E1" s="2529"/>
      <c r="F1" s="2529"/>
      <c r="G1" s="2529"/>
      <c r="H1" s="2529"/>
      <c r="I1" s="2529"/>
      <c r="J1" s="2529"/>
      <c r="K1" s="2529"/>
      <c r="L1" s="1368"/>
      <c r="M1" s="1368"/>
    </row>
    <row r="2" spans="1:13" ht="12" customHeight="1" x14ac:dyDescent="0.2">
      <c r="B2" s="2531">
        <f>'Single Audit Cover'!E7</f>
        <v>28088001026</v>
      </c>
      <c r="C2" s="2531"/>
      <c r="D2" s="2531"/>
      <c r="E2" s="2531"/>
      <c r="F2" s="2531"/>
      <c r="G2" s="2531"/>
      <c r="H2" s="2531"/>
      <c r="I2" s="2531"/>
      <c r="J2" s="2531"/>
      <c r="K2" s="2531"/>
      <c r="L2" s="1369"/>
      <c r="M2" s="1370"/>
    </row>
    <row r="3" spans="1:13" ht="10.35" customHeight="1" x14ac:dyDescent="0.2">
      <c r="B3" s="2552" t="s">
        <v>1285</v>
      </c>
      <c r="C3" s="2552"/>
      <c r="D3" s="2552"/>
      <c r="E3" s="2552"/>
      <c r="F3" s="2552"/>
      <c r="G3" s="2552"/>
      <c r="H3" s="2552"/>
      <c r="I3" s="2552"/>
      <c r="J3" s="2552"/>
      <c r="K3" s="2552"/>
      <c r="L3" s="1934"/>
      <c r="M3" s="1934"/>
    </row>
    <row r="4" spans="1:13" ht="14.25" customHeight="1" x14ac:dyDescent="0.2">
      <c r="B4" s="2553" t="str">
        <f>'Single Audit Cover'!A4</f>
        <v>Year Ending June 30, 2019</v>
      </c>
      <c r="C4" s="2553"/>
      <c r="D4" s="2553"/>
      <c r="E4" s="2553"/>
      <c r="F4" s="2553"/>
      <c r="G4" s="2553"/>
      <c r="H4" s="2553"/>
      <c r="I4" s="2553"/>
      <c r="J4" s="2553"/>
      <c r="K4" s="255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53" t="s">
        <v>1296</v>
      </c>
      <c r="C7" s="2553"/>
      <c r="D7" s="2554"/>
      <c r="E7" s="2554"/>
      <c r="F7" s="2554"/>
      <c r="G7" s="2554"/>
      <c r="H7" s="2554"/>
      <c r="I7" s="2554"/>
      <c r="J7" s="2554"/>
      <c r="K7" s="255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3</v>
      </c>
      <c r="E10" s="322"/>
      <c r="F10" s="1381" t="s">
        <v>1295</v>
      </c>
      <c r="G10" s="1382"/>
      <c r="H10" s="1383" t="s">
        <v>1294</v>
      </c>
      <c r="I10" s="1382" t="s">
        <v>2118</v>
      </c>
      <c r="J10" s="1384" t="s">
        <v>1293</v>
      </c>
      <c r="K10" s="322"/>
      <c r="L10" s="1375"/>
    </row>
    <row r="11" spans="1:13" ht="13.5" customHeight="1" x14ac:dyDescent="0.2">
      <c r="B11" s="322"/>
      <c r="C11" s="322"/>
      <c r="D11" s="322"/>
      <c r="E11" s="322"/>
      <c r="F11" s="322"/>
      <c r="G11" s="1377"/>
      <c r="H11" s="322"/>
      <c r="I11" s="1385" t="s">
        <v>1292</v>
      </c>
      <c r="J11" s="322"/>
      <c r="K11" s="1386">
        <v>2017</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51" t="s">
        <v>2154</v>
      </c>
      <c r="C14" s="2551"/>
      <c r="D14" s="2551"/>
      <c r="E14" s="2551"/>
      <c r="F14" s="2551"/>
      <c r="G14" s="2551"/>
      <c r="H14" s="2551"/>
      <c r="I14" s="2551"/>
      <c r="J14" s="2551"/>
      <c r="K14" s="255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51" t="s">
        <v>2135</v>
      </c>
      <c r="C17" s="2551"/>
      <c r="D17" s="2551"/>
      <c r="E17" s="2551"/>
      <c r="F17" s="2551"/>
      <c r="G17" s="2551"/>
      <c r="H17" s="2551"/>
      <c r="I17" s="2551"/>
      <c r="J17" s="2551"/>
      <c r="K17" s="2551"/>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55" t="s">
        <v>2136</v>
      </c>
      <c r="C20" s="2555"/>
      <c r="D20" s="2551"/>
      <c r="E20" s="2551"/>
      <c r="F20" s="2551"/>
      <c r="G20" s="2551"/>
      <c r="H20" s="2551"/>
      <c r="I20" s="2551"/>
      <c r="J20" s="2551"/>
      <c r="K20" s="255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51" t="s">
        <v>2155</v>
      </c>
      <c r="C23" s="2551"/>
      <c r="D23" s="2551"/>
      <c r="E23" s="2551"/>
      <c r="F23" s="2551"/>
      <c r="G23" s="2551"/>
      <c r="H23" s="2551"/>
      <c r="I23" s="2551"/>
      <c r="J23" s="2551"/>
      <c r="K23" s="255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51" t="s">
        <v>2137</v>
      </c>
      <c r="C26" s="2551"/>
      <c r="D26" s="2551"/>
      <c r="E26" s="2551"/>
      <c r="F26" s="2551"/>
      <c r="G26" s="2551"/>
      <c r="H26" s="2551"/>
      <c r="I26" s="2551"/>
      <c r="J26" s="2551"/>
      <c r="K26" s="255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50" t="s">
        <v>2133</v>
      </c>
      <c r="C29" s="2550"/>
      <c r="D29" s="2551"/>
      <c r="E29" s="2551"/>
      <c r="F29" s="2551"/>
      <c r="G29" s="2551"/>
      <c r="H29" s="2551"/>
      <c r="I29" s="2551"/>
      <c r="J29" s="2551"/>
      <c r="K29" s="255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50" t="s">
        <v>2138</v>
      </c>
      <c r="C32" s="2550"/>
      <c r="D32" s="2551"/>
      <c r="E32" s="2551"/>
      <c r="F32" s="2551"/>
      <c r="G32" s="2551"/>
      <c r="H32" s="2551"/>
      <c r="I32" s="2551"/>
      <c r="J32" s="2551"/>
      <c r="K32" s="255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4"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5"/>
  <sheetViews>
    <sheetView showGridLines="0" zoomScale="110" zoomScaleNormal="110" workbookViewId="0"/>
  </sheetViews>
  <sheetFormatPr defaultColWidth="9.140625" defaultRowHeight="12.75" x14ac:dyDescent="0.2"/>
  <cols>
    <col min="1" max="1" width="1.5703125" style="1937" customWidth="1"/>
    <col min="2" max="2" width="21.42578125" style="1937" customWidth="1"/>
    <col min="3" max="3" width="6.140625" style="1937" customWidth="1"/>
    <col min="4" max="4" width="4.42578125" style="1937" customWidth="1"/>
    <col min="5" max="5" width="3.5703125" style="1937" customWidth="1"/>
    <col min="6" max="6" width="20.140625" style="1937" customWidth="1"/>
    <col min="7" max="7" width="3.5703125" style="1962" customWidth="1"/>
    <col min="8" max="8" width="10.5703125" style="1937" customWidth="1"/>
    <col min="9" max="9" width="3.42578125" style="1962" customWidth="1"/>
    <col min="10" max="10" width="15.42578125" style="1937" customWidth="1"/>
    <col min="11" max="11" width="8.5703125" style="1937" customWidth="1"/>
    <col min="12" max="12" width="1.42578125" style="1937" customWidth="1"/>
    <col min="13" max="13" width="3.42578125" style="1937" customWidth="1"/>
    <col min="14" max="16384" width="9.140625" style="1937"/>
  </cols>
  <sheetData>
    <row r="1" spans="1:13" ht="11.1" customHeight="1" x14ac:dyDescent="0.2">
      <c r="B1" s="2556" t="s">
        <v>2186</v>
      </c>
      <c r="C1" s="2556"/>
      <c r="D1" s="2556"/>
      <c r="E1" s="2556"/>
      <c r="F1" s="2556"/>
      <c r="G1" s="2556"/>
      <c r="H1" s="2556"/>
      <c r="I1" s="2556"/>
      <c r="J1" s="2556"/>
      <c r="K1" s="2556"/>
      <c r="L1" s="1957"/>
      <c r="M1" s="1957"/>
    </row>
    <row r="2" spans="1:13" ht="12" customHeight="1" x14ac:dyDescent="0.2">
      <c r="B2" s="2557" t="s">
        <v>2073</v>
      </c>
      <c r="C2" s="2557"/>
      <c r="D2" s="2557"/>
      <c r="E2" s="2557"/>
      <c r="F2" s="2557"/>
      <c r="G2" s="2557"/>
      <c r="H2" s="2557"/>
      <c r="I2" s="2557"/>
      <c r="J2" s="2557"/>
      <c r="K2" s="2557"/>
      <c r="L2" s="1958"/>
      <c r="M2" s="1959"/>
    </row>
    <row r="3" spans="1:13" ht="10.35" customHeight="1" x14ac:dyDescent="0.2">
      <c r="B3" s="2547" t="s">
        <v>1285</v>
      </c>
      <c r="C3" s="2547"/>
      <c r="D3" s="2547"/>
      <c r="E3" s="2547"/>
      <c r="F3" s="2547"/>
      <c r="G3" s="2547"/>
      <c r="H3" s="2547"/>
      <c r="I3" s="2547"/>
      <c r="J3" s="2547"/>
      <c r="K3" s="2547"/>
      <c r="L3" s="1960"/>
      <c r="M3" s="1960"/>
    </row>
    <row r="4" spans="1:13" ht="14.25" customHeight="1" x14ac:dyDescent="0.2">
      <c r="B4" s="2547" t="str">
        <f>'Single Audit Cover'!A4</f>
        <v>Year Ending June 30, 2019</v>
      </c>
      <c r="C4" s="2547"/>
      <c r="D4" s="2547"/>
      <c r="E4" s="2547"/>
      <c r="F4" s="2547"/>
      <c r="G4" s="2547"/>
      <c r="H4" s="2547"/>
      <c r="I4" s="2547"/>
      <c r="J4" s="2547"/>
      <c r="K4" s="2547"/>
      <c r="L4" s="1960"/>
      <c r="M4" s="1960"/>
    </row>
    <row r="5" spans="1:13" ht="7.5" customHeight="1" x14ac:dyDescent="0.2">
      <c r="B5" s="1961" t="s">
        <v>1169</v>
      </c>
      <c r="C5" s="1961"/>
    </row>
    <row r="6" spans="1:13" ht="7.5" customHeight="1" x14ac:dyDescent="0.2">
      <c r="B6" s="1963"/>
      <c r="C6" s="1963"/>
      <c r="D6" s="1964"/>
      <c r="E6" s="1964"/>
      <c r="F6" s="1964"/>
      <c r="G6" s="1965"/>
      <c r="H6" s="1964"/>
      <c r="I6" s="1965"/>
      <c r="J6" s="1964"/>
      <c r="K6" s="1964"/>
    </row>
    <row r="7" spans="1:13" ht="12.75" customHeight="1" x14ac:dyDescent="0.2">
      <c r="A7" s="1966"/>
      <c r="B7" s="2547" t="s">
        <v>1296</v>
      </c>
      <c r="C7" s="2547"/>
      <c r="D7" s="2548"/>
      <c r="E7" s="2548"/>
      <c r="F7" s="2548"/>
      <c r="G7" s="2548"/>
      <c r="H7" s="2548"/>
      <c r="I7" s="2548"/>
      <c r="J7" s="2548"/>
      <c r="K7" s="2548"/>
      <c r="L7" s="1967"/>
    </row>
    <row r="8" spans="1:13" ht="7.5" customHeight="1" x14ac:dyDescent="0.2"/>
    <row r="9" spans="1:13" ht="9.6" customHeight="1" x14ac:dyDescent="0.2">
      <c r="B9" s="1964"/>
      <c r="C9" s="1964"/>
      <c r="D9" s="1964"/>
      <c r="E9" s="1964"/>
      <c r="F9" s="1964"/>
      <c r="G9" s="1965"/>
      <c r="H9" s="1964"/>
      <c r="I9" s="1965"/>
      <c r="J9" s="1964"/>
      <c r="K9" s="1964"/>
    </row>
    <row r="10" spans="1:13" ht="16.5" customHeight="1" x14ac:dyDescent="0.2">
      <c r="B10" s="1950" t="s">
        <v>2117</v>
      </c>
      <c r="C10" s="1968" t="s">
        <v>1991</v>
      </c>
      <c r="D10" s="1969">
        <v>4</v>
      </c>
      <c r="F10" s="1950" t="s">
        <v>1295</v>
      </c>
      <c r="G10" s="1970"/>
      <c r="H10" s="1971" t="s">
        <v>1294</v>
      </c>
      <c r="I10" s="1970" t="s">
        <v>2118</v>
      </c>
      <c r="J10" s="2006" t="s">
        <v>1293</v>
      </c>
    </row>
    <row r="11" spans="1:13" ht="13.5" customHeight="1" x14ac:dyDescent="0.2">
      <c r="I11" s="2007" t="s">
        <v>1292</v>
      </c>
      <c r="K11" s="1973">
        <v>2017</v>
      </c>
    </row>
    <row r="12" spans="1:13" ht="13.5" customHeight="1" x14ac:dyDescent="0.2">
      <c r="B12" s="1961"/>
      <c r="C12" s="1961"/>
    </row>
    <row r="13" spans="1:13" s="1966" customFormat="1" ht="13.5" customHeight="1" x14ac:dyDescent="0.2">
      <c r="B13" s="1974" t="s">
        <v>1291</v>
      </c>
      <c r="C13" s="1974"/>
      <c r="D13" s="1975"/>
      <c r="E13" s="1975"/>
      <c r="F13" s="1975"/>
      <c r="G13" s="1976"/>
      <c r="H13" s="1975"/>
      <c r="I13" s="1976"/>
      <c r="J13" s="1975"/>
      <c r="K13" s="1975"/>
    </row>
    <row r="14" spans="1:13" ht="71.25" customHeight="1" x14ac:dyDescent="0.2">
      <c r="B14" s="2543" t="s">
        <v>2139</v>
      </c>
      <c r="C14" s="2543"/>
      <c r="D14" s="2543"/>
      <c r="E14" s="2543"/>
      <c r="F14" s="2543"/>
      <c r="G14" s="2543"/>
      <c r="H14" s="2543"/>
      <c r="I14" s="2543"/>
      <c r="J14" s="2543"/>
      <c r="K14" s="2543"/>
    </row>
    <row r="15" spans="1:13" ht="4.5" customHeight="1" x14ac:dyDescent="0.2">
      <c r="B15" s="1951"/>
      <c r="C15" s="1951"/>
    </row>
    <row r="16" spans="1:13" s="1966" customFormat="1" ht="13.5" customHeight="1" x14ac:dyDescent="0.2">
      <c r="B16" s="1974" t="s">
        <v>1290</v>
      </c>
      <c r="C16" s="1974"/>
      <c r="D16" s="1975"/>
      <c r="E16" s="1975"/>
      <c r="F16" s="1975"/>
      <c r="G16" s="1976"/>
      <c r="H16" s="1975"/>
      <c r="I16" s="1976"/>
      <c r="J16" s="1975"/>
      <c r="K16" s="1975"/>
    </row>
    <row r="17" spans="2:11" ht="45.75" customHeight="1" x14ac:dyDescent="0.2">
      <c r="B17" s="2543" t="s">
        <v>2168</v>
      </c>
      <c r="C17" s="2543"/>
      <c r="D17" s="2543"/>
      <c r="E17" s="2543"/>
      <c r="F17" s="2543"/>
      <c r="G17" s="2543"/>
      <c r="H17" s="2543"/>
      <c r="I17" s="2543"/>
      <c r="J17" s="2543"/>
      <c r="K17" s="2543"/>
    </row>
    <row r="18" spans="2:11" ht="4.5" customHeight="1" x14ac:dyDescent="0.2">
      <c r="B18" s="1951"/>
      <c r="C18" s="1951"/>
    </row>
    <row r="19" spans="2:11" s="1966" customFormat="1" ht="13.5" customHeight="1" x14ac:dyDescent="0.2">
      <c r="B19" s="1974" t="s">
        <v>2140</v>
      </c>
      <c r="C19" s="1974"/>
      <c r="D19" s="1975"/>
      <c r="E19" s="1975"/>
      <c r="F19" s="1975"/>
      <c r="G19" s="1976"/>
      <c r="H19" s="1975"/>
      <c r="I19" s="1976"/>
      <c r="J19" s="1975"/>
      <c r="K19" s="1975"/>
    </row>
    <row r="20" spans="2:11" ht="35.450000000000003" customHeight="1" x14ac:dyDescent="0.2">
      <c r="B20" s="2549" t="s">
        <v>2141</v>
      </c>
      <c r="C20" s="2549"/>
      <c r="D20" s="2543"/>
      <c r="E20" s="2543"/>
      <c r="F20" s="2543"/>
      <c r="G20" s="2543"/>
      <c r="H20" s="2543"/>
      <c r="I20" s="2543"/>
      <c r="J20" s="2543"/>
      <c r="K20" s="2543"/>
    </row>
    <row r="21" spans="2:11" ht="4.5" customHeight="1" x14ac:dyDescent="0.2">
      <c r="B21" s="1977"/>
      <c r="C21" s="1977"/>
    </row>
    <row r="22" spans="2:11" ht="13.5" customHeight="1" x14ac:dyDescent="0.2">
      <c r="B22" s="1974" t="s">
        <v>1289</v>
      </c>
      <c r="C22" s="1974"/>
      <c r="D22" s="1964"/>
      <c r="E22" s="1964"/>
      <c r="F22" s="1964"/>
      <c r="G22" s="1965"/>
      <c r="H22" s="1964"/>
      <c r="I22" s="1965"/>
      <c r="J22" s="1964"/>
      <c r="K22" s="1964"/>
    </row>
    <row r="23" spans="2:11" ht="45" customHeight="1" x14ac:dyDescent="0.2">
      <c r="B23" s="2543" t="s">
        <v>2142</v>
      </c>
      <c r="C23" s="2543"/>
      <c r="D23" s="2543"/>
      <c r="E23" s="2543"/>
      <c r="F23" s="2543"/>
      <c r="G23" s="2543"/>
      <c r="H23" s="2543"/>
      <c r="I23" s="2543"/>
      <c r="J23" s="2543"/>
      <c r="K23" s="2543"/>
    </row>
    <row r="24" spans="2:11" ht="4.5" customHeight="1" x14ac:dyDescent="0.2">
      <c r="B24" s="1951"/>
      <c r="C24" s="1951"/>
    </row>
    <row r="25" spans="2:11" ht="13.5" customHeight="1" x14ac:dyDescent="0.2">
      <c r="B25" s="1974" t="s">
        <v>1288</v>
      </c>
      <c r="C25" s="1974"/>
      <c r="D25" s="1964"/>
      <c r="E25" s="1964"/>
      <c r="F25" s="1964"/>
      <c r="G25" s="1965"/>
      <c r="H25" s="1964"/>
      <c r="I25" s="1965"/>
      <c r="J25" s="1964"/>
      <c r="K25" s="1964"/>
    </row>
    <row r="26" spans="2:11" ht="26.45" customHeight="1" x14ac:dyDescent="0.2">
      <c r="B26" s="2543" t="s">
        <v>2143</v>
      </c>
      <c r="C26" s="2543"/>
      <c r="D26" s="2543"/>
      <c r="E26" s="2543"/>
      <c r="F26" s="2543"/>
      <c r="G26" s="2543"/>
      <c r="H26" s="2543"/>
      <c r="I26" s="2543"/>
      <c r="J26" s="2543"/>
      <c r="K26" s="2543"/>
    </row>
    <row r="27" spans="2:11" ht="4.5" customHeight="1" x14ac:dyDescent="0.2">
      <c r="B27" s="1951"/>
      <c r="C27" s="1951"/>
    </row>
    <row r="28" spans="2:11" ht="13.5" customHeight="1" x14ac:dyDescent="0.2">
      <c r="B28" s="1978" t="s">
        <v>1287</v>
      </c>
      <c r="C28" s="1978"/>
      <c r="D28" s="1964"/>
      <c r="E28" s="1964"/>
      <c r="F28" s="1964"/>
      <c r="G28" s="1965"/>
      <c r="H28" s="1964"/>
      <c r="I28" s="1965"/>
      <c r="J28" s="1964"/>
      <c r="K28" s="1964"/>
    </row>
    <row r="29" spans="2:11" ht="45.75" customHeight="1" x14ac:dyDescent="0.2">
      <c r="B29" s="2543" t="s">
        <v>2169</v>
      </c>
      <c r="C29" s="2543"/>
      <c r="D29" s="2543"/>
      <c r="E29" s="2543"/>
      <c r="F29" s="2543"/>
      <c r="G29" s="2543"/>
      <c r="H29" s="2543"/>
      <c r="I29" s="2543"/>
      <c r="J29" s="2543"/>
      <c r="K29" s="2543"/>
    </row>
    <row r="30" spans="2:11" ht="4.5" customHeight="1" x14ac:dyDescent="0.2">
      <c r="B30" s="1951"/>
      <c r="C30" s="1951"/>
    </row>
    <row r="31" spans="2:11" ht="13.5" customHeight="1" x14ac:dyDescent="0.2">
      <c r="B31" s="1979" t="s">
        <v>2121</v>
      </c>
      <c r="C31" s="1979"/>
      <c r="D31" s="1963"/>
      <c r="E31" s="1964"/>
      <c r="F31" s="1964"/>
      <c r="G31" s="1965"/>
      <c r="H31" s="1964"/>
      <c r="I31" s="1965"/>
      <c r="J31" s="1964"/>
      <c r="K31" s="1964"/>
    </row>
    <row r="32" spans="2:11" ht="45.75" customHeight="1" x14ac:dyDescent="0.2">
      <c r="B32" s="2543" t="s">
        <v>2145</v>
      </c>
      <c r="C32" s="2543"/>
      <c r="D32" s="2543"/>
      <c r="E32" s="2543"/>
      <c r="F32" s="2543"/>
      <c r="G32" s="2543"/>
      <c r="H32" s="2543"/>
      <c r="I32" s="2543"/>
      <c r="J32" s="2543"/>
      <c r="K32" s="2543"/>
    </row>
    <row r="33" spans="1:13" ht="4.5" customHeight="1" x14ac:dyDescent="0.2">
      <c r="B33" s="1951"/>
      <c r="C33" s="1951"/>
    </row>
    <row r="34" spans="1:13" ht="11.1" hidden="1" customHeight="1" x14ac:dyDescent="0.2">
      <c r="B34" s="1980" t="s">
        <v>2122</v>
      </c>
      <c r="C34" s="1981"/>
      <c r="D34" s="1982"/>
      <c r="E34" s="1982"/>
      <c r="F34" s="1982"/>
      <c r="G34" s="1983"/>
      <c r="H34" s="1982"/>
      <c r="I34" s="1983"/>
      <c r="J34" s="1982"/>
      <c r="K34" s="1984"/>
    </row>
    <row r="35" spans="1:13" ht="13.5" hidden="1" customHeight="1" x14ac:dyDescent="0.2">
      <c r="B35" s="1985" t="s">
        <v>2123</v>
      </c>
      <c r="C35" s="1986"/>
      <c r="D35" s="1987"/>
      <c r="E35" s="1988"/>
      <c r="F35" s="1989" t="s">
        <v>2124</v>
      </c>
      <c r="G35" s="1990"/>
      <c r="H35" s="1991"/>
      <c r="I35" s="1992"/>
      <c r="J35" s="1993"/>
      <c r="K35" s="1994"/>
    </row>
    <row r="36" spans="1:13" ht="13.5" hidden="1" customHeight="1" x14ac:dyDescent="0.2">
      <c r="B36" s="1985" t="s">
        <v>2125</v>
      </c>
      <c r="C36" s="1986"/>
      <c r="D36" s="1995"/>
      <c r="E36" s="1991"/>
      <c r="F36" s="1996" t="s">
        <v>2126</v>
      </c>
      <c r="G36" s="1990"/>
      <c r="H36" s="1991"/>
      <c r="I36" s="1992"/>
      <c r="J36" s="1993"/>
      <c r="K36" s="1994"/>
      <c r="M36" s="1997"/>
    </row>
    <row r="37" spans="1:13" ht="11.45" hidden="1" customHeight="1" x14ac:dyDescent="0.2">
      <c r="B37" s="1998"/>
      <c r="C37" s="1993"/>
      <c r="D37" s="1993"/>
      <c r="E37" s="1993"/>
      <c r="F37" s="1993"/>
      <c r="G37" s="1999"/>
      <c r="H37" s="1993"/>
      <c r="I37" s="1999"/>
      <c r="J37" s="1993"/>
      <c r="K37" s="2000"/>
    </row>
    <row r="38" spans="1:13" ht="8.25" customHeight="1" x14ac:dyDescent="0.2">
      <c r="A38" s="1952"/>
      <c r="B38" s="1952"/>
      <c r="C38" s="1952"/>
      <c r="D38" s="1952"/>
      <c r="E38" s="1952"/>
      <c r="F38" s="1952"/>
      <c r="G38" s="2008"/>
      <c r="H38" s="1952"/>
      <c r="I38" s="2008"/>
      <c r="J38" s="1952"/>
      <c r="K38" s="1952"/>
    </row>
    <row r="39" spans="1:13" ht="11.85" customHeight="1" x14ac:dyDescent="0.2">
      <c r="B39" s="1956" t="s">
        <v>2127</v>
      </c>
      <c r="C39" s="1956"/>
    </row>
    <row r="40" spans="1:13" ht="9.6" customHeight="1" x14ac:dyDescent="0.2">
      <c r="B40" s="1945" t="s">
        <v>1842</v>
      </c>
      <c r="C40" s="1945"/>
    </row>
    <row r="41" spans="1:13" ht="9.6" customHeight="1" x14ac:dyDescent="0.2">
      <c r="B41" s="1945" t="s">
        <v>1843</v>
      </c>
      <c r="C41" s="1945"/>
    </row>
    <row r="42" spans="1:13" ht="11.85" customHeight="1" x14ac:dyDescent="0.2">
      <c r="B42" s="1956" t="s">
        <v>2128</v>
      </c>
      <c r="C42" s="1956"/>
    </row>
    <row r="43" spans="1:13" ht="9.6" customHeight="1" x14ac:dyDescent="0.2">
      <c r="B43" s="1945" t="s">
        <v>1286</v>
      </c>
      <c r="C43" s="1945"/>
      <c r="M43" s="2003"/>
    </row>
    <row r="44" spans="1:13" ht="12.6" customHeight="1" x14ac:dyDescent="0.2">
      <c r="B44" s="1956" t="s">
        <v>2144</v>
      </c>
      <c r="C44" s="1956"/>
      <c r="M44" s="2003"/>
    </row>
    <row r="45" spans="1:13" ht="9.6" customHeight="1" x14ac:dyDescent="0.2">
      <c r="B45" s="1945"/>
      <c r="C45" s="1945"/>
      <c r="M45" s="20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5"/>
  <sheetViews>
    <sheetView showGridLines="0" zoomScale="110" zoomScaleNormal="110" workbookViewId="0"/>
  </sheetViews>
  <sheetFormatPr defaultColWidth="9.140625" defaultRowHeight="12.75" x14ac:dyDescent="0.2"/>
  <cols>
    <col min="1" max="1" width="1.5703125" style="1937" customWidth="1"/>
    <col min="2" max="2" width="21.42578125" style="1937" customWidth="1"/>
    <col min="3" max="3" width="6.140625" style="1937" customWidth="1"/>
    <col min="4" max="4" width="4.42578125" style="1937" customWidth="1"/>
    <col min="5" max="5" width="3.5703125" style="1937" customWidth="1"/>
    <col min="6" max="6" width="20.140625" style="1937" customWidth="1"/>
    <col min="7" max="7" width="3.5703125" style="1962" customWidth="1"/>
    <col min="8" max="8" width="10.5703125" style="1937" customWidth="1"/>
    <col min="9" max="9" width="3.42578125" style="1962" customWidth="1"/>
    <col min="10" max="10" width="15.42578125" style="1937" customWidth="1"/>
    <col min="11" max="11" width="8.5703125" style="1937" customWidth="1"/>
    <col min="12" max="12" width="1.42578125" style="1937" customWidth="1"/>
    <col min="13" max="13" width="3.42578125" style="1937" customWidth="1"/>
    <col min="14" max="16384" width="9.140625" style="1937"/>
  </cols>
  <sheetData>
    <row r="1" spans="1:13" ht="11.1" customHeight="1" x14ac:dyDescent="0.2">
      <c r="B1" s="2556" t="str">
        <f>'Single Audit Cover'!A7</f>
        <v>Bradford CUSD 1</v>
      </c>
      <c r="C1" s="2556"/>
      <c r="D1" s="2556"/>
      <c r="E1" s="2556"/>
      <c r="F1" s="2556"/>
      <c r="G1" s="2556"/>
      <c r="H1" s="2556"/>
      <c r="I1" s="2556"/>
      <c r="J1" s="2556"/>
      <c r="K1" s="2556"/>
      <c r="L1" s="1957"/>
      <c r="M1" s="1957"/>
    </row>
    <row r="2" spans="1:13" ht="12" customHeight="1" x14ac:dyDescent="0.2">
      <c r="B2" s="2557">
        <f>'Single Audit Cover'!E7</f>
        <v>28088001026</v>
      </c>
      <c r="C2" s="2557"/>
      <c r="D2" s="2557"/>
      <c r="E2" s="2557"/>
      <c r="F2" s="2557"/>
      <c r="G2" s="2557"/>
      <c r="H2" s="2557"/>
      <c r="I2" s="2557"/>
      <c r="J2" s="2557"/>
      <c r="K2" s="2557"/>
      <c r="L2" s="1958"/>
      <c r="M2" s="1959"/>
    </row>
    <row r="3" spans="1:13" ht="10.35" customHeight="1" x14ac:dyDescent="0.2">
      <c r="B3" s="2547" t="s">
        <v>1285</v>
      </c>
      <c r="C3" s="2547"/>
      <c r="D3" s="2547"/>
      <c r="E3" s="2547"/>
      <c r="F3" s="2547"/>
      <c r="G3" s="2547"/>
      <c r="H3" s="2547"/>
      <c r="I3" s="2547"/>
      <c r="J3" s="2547"/>
      <c r="K3" s="2547"/>
      <c r="L3" s="1960"/>
      <c r="M3" s="1960"/>
    </row>
    <row r="4" spans="1:13" ht="14.25" customHeight="1" x14ac:dyDescent="0.2">
      <c r="B4" s="2547" t="str">
        <f>'Single Audit Cover'!A4</f>
        <v>Year Ending June 30, 2019</v>
      </c>
      <c r="C4" s="2547"/>
      <c r="D4" s="2547"/>
      <c r="E4" s="2547"/>
      <c r="F4" s="2547"/>
      <c r="G4" s="2547"/>
      <c r="H4" s="2547"/>
      <c r="I4" s="2547"/>
      <c r="J4" s="2547"/>
      <c r="K4" s="2547"/>
      <c r="L4" s="1960"/>
      <c r="M4" s="1960"/>
    </row>
    <row r="5" spans="1:13" ht="7.5" customHeight="1" x14ac:dyDescent="0.2">
      <c r="B5" s="1961" t="s">
        <v>1169</v>
      </c>
      <c r="C5" s="1961"/>
    </row>
    <row r="6" spans="1:13" ht="7.5" customHeight="1" x14ac:dyDescent="0.2">
      <c r="B6" s="1963"/>
      <c r="C6" s="1963"/>
      <c r="D6" s="1964"/>
      <c r="E6" s="1964"/>
      <c r="F6" s="1964"/>
      <c r="G6" s="1965"/>
      <c r="H6" s="1964"/>
      <c r="I6" s="1965"/>
      <c r="J6" s="1964"/>
      <c r="K6" s="1964"/>
    </row>
    <row r="7" spans="1:13" ht="12.75" customHeight="1" x14ac:dyDescent="0.2">
      <c r="A7" s="1966"/>
      <c r="B7" s="2547" t="s">
        <v>1296</v>
      </c>
      <c r="C7" s="2547"/>
      <c r="D7" s="2548"/>
      <c r="E7" s="2548"/>
      <c r="F7" s="2548"/>
      <c r="G7" s="2548"/>
      <c r="H7" s="2548"/>
      <c r="I7" s="2548"/>
      <c r="J7" s="2548"/>
      <c r="K7" s="2548"/>
      <c r="L7" s="1967"/>
    </row>
    <row r="8" spans="1:13" ht="7.5" customHeight="1" x14ac:dyDescent="0.2"/>
    <row r="9" spans="1:13" ht="9.6" customHeight="1" x14ac:dyDescent="0.2">
      <c r="B9" s="1964"/>
      <c r="C9" s="1964"/>
      <c r="D9" s="1964"/>
      <c r="E9" s="1964"/>
      <c r="F9" s="1964"/>
      <c r="G9" s="1965"/>
      <c r="H9" s="1964"/>
      <c r="I9" s="1965"/>
      <c r="J9" s="1964"/>
      <c r="K9" s="1964"/>
    </row>
    <row r="10" spans="1:13" ht="16.5" customHeight="1" x14ac:dyDescent="0.2">
      <c r="B10" s="1950" t="s">
        <v>2117</v>
      </c>
      <c r="C10" s="1968" t="s">
        <v>1991</v>
      </c>
      <c r="D10" s="1969">
        <v>5</v>
      </c>
      <c r="F10" s="1950" t="s">
        <v>1295</v>
      </c>
      <c r="G10" s="1970" t="s">
        <v>2070</v>
      </c>
      <c r="H10" s="1971" t="s">
        <v>1294</v>
      </c>
      <c r="I10" s="1970"/>
      <c r="J10" s="2006" t="s">
        <v>1293</v>
      </c>
    </row>
    <row r="11" spans="1:13" ht="13.5" customHeight="1" x14ac:dyDescent="0.2">
      <c r="I11" s="2007" t="s">
        <v>1292</v>
      </c>
      <c r="K11" s="1973"/>
    </row>
    <row r="12" spans="1:13" ht="13.5" customHeight="1" x14ac:dyDescent="0.2">
      <c r="B12" s="1961"/>
      <c r="C12" s="1961"/>
    </row>
    <row r="13" spans="1:13" s="1966" customFormat="1" ht="13.5" customHeight="1" x14ac:dyDescent="0.2">
      <c r="B13" s="1974" t="s">
        <v>1291</v>
      </c>
      <c r="C13" s="1974"/>
      <c r="D13" s="1975"/>
      <c r="E13" s="1975"/>
      <c r="F13" s="1975"/>
      <c r="G13" s="1976"/>
      <c r="H13" s="1975"/>
      <c r="I13" s="1976"/>
      <c r="J13" s="1975"/>
      <c r="K13" s="1975"/>
    </row>
    <row r="14" spans="1:13" ht="96" customHeight="1" x14ac:dyDescent="0.2">
      <c r="B14" s="2558" t="s">
        <v>2179</v>
      </c>
      <c r="C14" s="2558"/>
      <c r="D14" s="2558"/>
      <c r="E14" s="2558"/>
      <c r="F14" s="2558"/>
      <c r="G14" s="2558"/>
      <c r="H14" s="2558"/>
      <c r="I14" s="2558"/>
      <c r="J14" s="2558"/>
      <c r="K14" s="2558"/>
    </row>
    <row r="15" spans="1:13" ht="4.5" customHeight="1" x14ac:dyDescent="0.2">
      <c r="B15" s="1951"/>
      <c r="C15" s="1951"/>
    </row>
    <row r="16" spans="1:13" s="1966" customFormat="1" ht="13.5" customHeight="1" x14ac:dyDescent="0.2">
      <c r="B16" s="1974" t="s">
        <v>1290</v>
      </c>
      <c r="C16" s="1974"/>
      <c r="D16" s="1975"/>
      <c r="E16" s="1975"/>
      <c r="F16" s="1975"/>
      <c r="G16" s="1976"/>
      <c r="H16" s="1975"/>
      <c r="I16" s="1976"/>
      <c r="J16" s="1975"/>
      <c r="K16" s="1975"/>
    </row>
    <row r="17" spans="2:11" ht="54.95" customHeight="1" x14ac:dyDescent="0.2">
      <c r="B17" s="2543" t="s">
        <v>2180</v>
      </c>
      <c r="C17" s="2543"/>
      <c r="D17" s="2543"/>
      <c r="E17" s="2543"/>
      <c r="F17" s="2543"/>
      <c r="G17" s="2543"/>
      <c r="H17" s="2543"/>
      <c r="I17" s="2543"/>
      <c r="J17" s="2543"/>
      <c r="K17" s="2543"/>
    </row>
    <row r="18" spans="2:11" ht="4.5" customHeight="1" x14ac:dyDescent="0.2">
      <c r="B18" s="1951"/>
      <c r="C18" s="1951"/>
    </row>
    <row r="19" spans="2:11" s="1966" customFormat="1" ht="13.5" customHeight="1" x14ac:dyDescent="0.2">
      <c r="B19" s="1974" t="s">
        <v>2140</v>
      </c>
      <c r="C19" s="1974"/>
      <c r="D19" s="1975"/>
      <c r="E19" s="1975"/>
      <c r="F19" s="1975"/>
      <c r="G19" s="1976"/>
      <c r="H19" s="1975"/>
      <c r="I19" s="1976"/>
      <c r="J19" s="1975"/>
      <c r="K19" s="1975"/>
    </row>
    <row r="20" spans="2:11" ht="45.75" customHeight="1" x14ac:dyDescent="0.2">
      <c r="B20" s="2549" t="s">
        <v>2185</v>
      </c>
      <c r="C20" s="2549"/>
      <c r="D20" s="2543"/>
      <c r="E20" s="2543"/>
      <c r="F20" s="2543"/>
      <c r="G20" s="2543"/>
      <c r="H20" s="2543"/>
      <c r="I20" s="2543"/>
      <c r="J20" s="2543"/>
      <c r="K20" s="2543"/>
    </row>
    <row r="21" spans="2:11" ht="4.5" customHeight="1" x14ac:dyDescent="0.2">
      <c r="B21" s="1977"/>
      <c r="C21" s="1977"/>
    </row>
    <row r="22" spans="2:11" ht="13.5" customHeight="1" x14ac:dyDescent="0.2">
      <c r="B22" s="1974" t="s">
        <v>1289</v>
      </c>
      <c r="C22" s="1974"/>
      <c r="D22" s="1964"/>
      <c r="E22" s="1964"/>
      <c r="F22" s="1964"/>
      <c r="G22" s="1965"/>
      <c r="H22" s="1964"/>
      <c r="I22" s="1965"/>
      <c r="J22" s="1964"/>
      <c r="K22" s="1964"/>
    </row>
    <row r="23" spans="2:11" ht="45.75" customHeight="1" x14ac:dyDescent="0.2">
      <c r="B23" s="2543" t="s">
        <v>2181</v>
      </c>
      <c r="C23" s="2543"/>
      <c r="D23" s="2543"/>
      <c r="E23" s="2543"/>
      <c r="F23" s="2543"/>
      <c r="G23" s="2543"/>
      <c r="H23" s="2543"/>
      <c r="I23" s="2543"/>
      <c r="J23" s="2543"/>
      <c r="K23" s="2543"/>
    </row>
    <row r="24" spans="2:11" ht="4.5" customHeight="1" x14ac:dyDescent="0.2">
      <c r="B24" s="1951"/>
      <c r="C24" s="1951"/>
    </row>
    <row r="25" spans="2:11" ht="13.5" customHeight="1" x14ac:dyDescent="0.2">
      <c r="B25" s="1974" t="s">
        <v>1288</v>
      </c>
      <c r="C25" s="1974"/>
      <c r="D25" s="1964"/>
      <c r="E25" s="1964"/>
      <c r="F25" s="1964"/>
      <c r="G25" s="1965"/>
      <c r="H25" s="1964"/>
      <c r="I25" s="1965"/>
      <c r="J25" s="1964"/>
      <c r="K25" s="1964"/>
    </row>
    <row r="26" spans="2:11" ht="45.75" customHeight="1" x14ac:dyDescent="0.2">
      <c r="B26" s="2543" t="s">
        <v>2182</v>
      </c>
      <c r="C26" s="2543"/>
      <c r="D26" s="2543"/>
      <c r="E26" s="2543"/>
      <c r="F26" s="2543"/>
      <c r="G26" s="2543"/>
      <c r="H26" s="2543"/>
      <c r="I26" s="2543"/>
      <c r="J26" s="2543"/>
      <c r="K26" s="2543"/>
    </row>
    <row r="27" spans="2:11" ht="4.5" customHeight="1" x14ac:dyDescent="0.2">
      <c r="B27" s="1951"/>
      <c r="C27" s="1951"/>
    </row>
    <row r="28" spans="2:11" ht="13.5" customHeight="1" x14ac:dyDescent="0.2">
      <c r="B28" s="1978" t="s">
        <v>1287</v>
      </c>
      <c r="C28" s="1978"/>
      <c r="D28" s="1964"/>
      <c r="E28" s="1964"/>
      <c r="F28" s="1964"/>
      <c r="G28" s="1965"/>
      <c r="H28" s="1964"/>
      <c r="I28" s="1965"/>
      <c r="J28" s="1964"/>
      <c r="K28" s="1964"/>
    </row>
    <row r="29" spans="2:11" ht="55.5" customHeight="1" x14ac:dyDescent="0.2">
      <c r="B29" s="2543" t="s">
        <v>2183</v>
      </c>
      <c r="C29" s="2543"/>
      <c r="D29" s="2543"/>
      <c r="E29" s="2543"/>
      <c r="F29" s="2543"/>
      <c r="G29" s="2543"/>
      <c r="H29" s="2543"/>
      <c r="I29" s="2543"/>
      <c r="J29" s="2543"/>
      <c r="K29" s="2543"/>
    </row>
    <row r="30" spans="2:11" ht="4.5" customHeight="1" x14ac:dyDescent="0.2">
      <c r="B30" s="1951"/>
      <c r="C30" s="1951"/>
    </row>
    <row r="31" spans="2:11" ht="13.5" customHeight="1" x14ac:dyDescent="0.2">
      <c r="B31" s="1979" t="s">
        <v>2121</v>
      </c>
      <c r="C31" s="1979"/>
      <c r="D31" s="1963"/>
      <c r="E31" s="1964"/>
      <c r="F31" s="1964"/>
      <c r="G31" s="1965"/>
      <c r="H31" s="1964"/>
      <c r="I31" s="1965"/>
      <c r="J31" s="1964"/>
      <c r="K31" s="1964"/>
    </row>
    <row r="32" spans="2:11" ht="45.75" customHeight="1" x14ac:dyDescent="0.2">
      <c r="B32" s="2543" t="s">
        <v>2145</v>
      </c>
      <c r="C32" s="2543"/>
      <c r="D32" s="2543"/>
      <c r="E32" s="2543"/>
      <c r="F32" s="2543"/>
      <c r="G32" s="2543"/>
      <c r="H32" s="2543"/>
      <c r="I32" s="2543"/>
      <c r="J32" s="2543"/>
      <c r="K32" s="2543"/>
    </row>
    <row r="33" spans="1:13" ht="4.5" customHeight="1" x14ac:dyDescent="0.2">
      <c r="B33" s="1951"/>
      <c r="C33" s="1951"/>
    </row>
    <row r="34" spans="1:13" ht="11.1" hidden="1" customHeight="1" x14ac:dyDescent="0.2">
      <c r="B34" s="1980" t="s">
        <v>2122</v>
      </c>
      <c r="C34" s="1981"/>
      <c r="D34" s="1982"/>
      <c r="E34" s="1982"/>
      <c r="F34" s="1982"/>
      <c r="G34" s="1983"/>
      <c r="H34" s="1982"/>
      <c r="I34" s="1983"/>
      <c r="J34" s="1982"/>
      <c r="K34" s="1984"/>
    </row>
    <row r="35" spans="1:13" ht="13.5" hidden="1" customHeight="1" x14ac:dyDescent="0.2">
      <c r="B35" s="1985" t="s">
        <v>2123</v>
      </c>
      <c r="C35" s="1986"/>
      <c r="D35" s="1987"/>
      <c r="E35" s="1988"/>
      <c r="F35" s="1989" t="s">
        <v>2124</v>
      </c>
      <c r="G35" s="1990"/>
      <c r="H35" s="1991"/>
      <c r="I35" s="1992"/>
      <c r="J35" s="1993"/>
      <c r="K35" s="1994"/>
    </row>
    <row r="36" spans="1:13" ht="13.5" hidden="1" customHeight="1" x14ac:dyDescent="0.2">
      <c r="B36" s="1985" t="s">
        <v>2125</v>
      </c>
      <c r="C36" s="1986"/>
      <c r="D36" s="1995"/>
      <c r="E36" s="1991"/>
      <c r="F36" s="1996" t="s">
        <v>2126</v>
      </c>
      <c r="G36" s="1990"/>
      <c r="H36" s="1991"/>
      <c r="I36" s="1992"/>
      <c r="J36" s="1993"/>
      <c r="K36" s="1994"/>
      <c r="M36" s="1997"/>
    </row>
    <row r="37" spans="1:13" ht="11.45" hidden="1" customHeight="1" x14ac:dyDescent="0.2">
      <c r="B37" s="1998"/>
      <c r="C37" s="1993"/>
      <c r="D37" s="1993"/>
      <c r="E37" s="1993"/>
      <c r="F37" s="1993"/>
      <c r="G37" s="1999"/>
      <c r="H37" s="1993"/>
      <c r="I37" s="1999"/>
      <c r="J37" s="1993"/>
      <c r="K37" s="2000"/>
    </row>
    <row r="38" spans="1:13" ht="8.25" hidden="1" customHeight="1" x14ac:dyDescent="0.2">
      <c r="A38" s="1952"/>
      <c r="B38" s="1952"/>
      <c r="C38" s="1952"/>
      <c r="D38" s="1952"/>
      <c r="E38" s="1952"/>
      <c r="F38" s="1952"/>
      <c r="G38" s="2008"/>
      <c r="H38" s="1952"/>
      <c r="I38" s="2008"/>
      <c r="J38" s="1952"/>
      <c r="K38" s="1952"/>
    </row>
    <row r="39" spans="1:13" ht="11.85" customHeight="1" x14ac:dyDescent="0.2">
      <c r="B39" s="1956" t="s">
        <v>2127</v>
      </c>
      <c r="C39" s="1956"/>
    </row>
    <row r="40" spans="1:13" ht="9.6" customHeight="1" x14ac:dyDescent="0.2">
      <c r="B40" s="1945" t="s">
        <v>1842</v>
      </c>
      <c r="C40" s="1945"/>
    </row>
    <row r="41" spans="1:13" ht="9.6" customHeight="1" x14ac:dyDescent="0.2">
      <c r="B41" s="1945" t="s">
        <v>1843</v>
      </c>
      <c r="C41" s="1945"/>
    </row>
    <row r="42" spans="1:13" ht="11.85" customHeight="1" x14ac:dyDescent="0.2">
      <c r="B42" s="1956" t="s">
        <v>2128</v>
      </c>
      <c r="C42" s="1956"/>
    </row>
    <row r="43" spans="1:13" ht="9.6" customHeight="1" x14ac:dyDescent="0.2">
      <c r="B43" s="1945" t="s">
        <v>1286</v>
      </c>
      <c r="C43" s="1945"/>
      <c r="M43" s="2003"/>
    </row>
    <row r="44" spans="1:13" ht="12.6" customHeight="1" x14ac:dyDescent="0.2">
      <c r="B44" s="1956" t="s">
        <v>2144</v>
      </c>
      <c r="C44" s="1956"/>
      <c r="M44" s="2003"/>
    </row>
    <row r="45" spans="1:13" ht="9.6" customHeight="1" x14ac:dyDescent="0.2">
      <c r="B45" s="1945"/>
      <c r="C45" s="1945"/>
      <c r="M45" s="20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2" t="str">
        <f>'Single Audit Cover'!A7</f>
        <v>Bradford CUSD 1</v>
      </c>
      <c r="C1" s="2562"/>
      <c r="D1" s="2562"/>
      <c r="E1" s="2562"/>
      <c r="F1" s="2562"/>
      <c r="G1" s="2562"/>
      <c r="H1" s="2562"/>
      <c r="I1" s="2562"/>
      <c r="J1" s="2562"/>
      <c r="K1" s="2562"/>
      <c r="L1" s="1446"/>
    </row>
    <row r="2" spans="1:12" ht="12.75" customHeight="1" x14ac:dyDescent="0.2">
      <c r="B2" s="2563">
        <f>'Single Audit Cover'!E7</f>
        <v>28088001026</v>
      </c>
      <c r="C2" s="2563"/>
      <c r="D2" s="2563"/>
      <c r="E2" s="2563"/>
      <c r="F2" s="2563"/>
      <c r="G2" s="2563"/>
      <c r="H2" s="2563"/>
      <c r="I2" s="2563"/>
      <c r="J2" s="2563"/>
      <c r="K2" s="2563"/>
      <c r="L2" s="1447"/>
    </row>
    <row r="3" spans="1:12" ht="12.75" customHeight="1" x14ac:dyDescent="0.2">
      <c r="B3" s="2552" t="s">
        <v>1285</v>
      </c>
      <c r="C3" s="2552"/>
      <c r="D3" s="2552"/>
      <c r="E3" s="2552"/>
      <c r="F3" s="2552"/>
      <c r="G3" s="2552"/>
      <c r="H3" s="2552"/>
      <c r="I3" s="2552"/>
      <c r="J3" s="2552"/>
      <c r="K3" s="2552"/>
      <c r="L3" s="1371"/>
    </row>
    <row r="4" spans="1:12" ht="12.75" customHeight="1" x14ac:dyDescent="0.2">
      <c r="B4" s="2552" t="str">
        <f>'Single Audit Cover'!A4</f>
        <v>Year Ending June 30, 2019</v>
      </c>
      <c r="C4" s="2552"/>
      <c r="D4" s="2552"/>
      <c r="E4" s="2552"/>
      <c r="F4" s="2552"/>
      <c r="G4" s="2552"/>
      <c r="H4" s="2552"/>
      <c r="I4" s="2552"/>
      <c r="J4" s="2552"/>
      <c r="K4" s="2552"/>
      <c r="L4" s="1371"/>
    </row>
    <row r="5" spans="1:12" ht="5.25" customHeight="1" x14ac:dyDescent="0.2">
      <c r="B5" s="1254" t="s">
        <v>1169</v>
      </c>
      <c r="C5" s="1254"/>
      <c r="L5" s="322"/>
    </row>
    <row r="6" spans="1:12" ht="30.75" customHeight="1" x14ac:dyDescent="0.2">
      <c r="A6" s="322"/>
      <c r="B6" s="2564" t="s">
        <v>1308</v>
      </c>
      <c r="C6" s="2564"/>
      <c r="D6" s="2564"/>
      <c r="E6" s="2564"/>
      <c r="F6" s="2564"/>
      <c r="G6" s="2564"/>
      <c r="H6" s="2564"/>
      <c r="I6" s="2564"/>
      <c r="J6" s="2564"/>
      <c r="K6" s="2564"/>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36"/>
      <c r="G12" s="2536"/>
      <c r="H12" s="2536"/>
      <c r="I12" s="2536"/>
      <c r="J12" s="2536"/>
      <c r="K12" s="2536"/>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59"/>
      <c r="E14" s="2559"/>
      <c r="F14" s="2559"/>
      <c r="H14" s="1456" t="s">
        <v>1303</v>
      </c>
      <c r="I14" s="2560"/>
      <c r="J14" s="2560"/>
      <c r="K14" s="256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60"/>
      <c r="E16" s="2560"/>
      <c r="F16" s="2560"/>
      <c r="G16" s="2560"/>
      <c r="H16" s="2560"/>
      <c r="I16" s="2560"/>
      <c r="J16" s="2560"/>
      <c r="K16" s="2560"/>
      <c r="L16" s="322"/>
    </row>
    <row r="17" spans="2:12" ht="13.5" customHeight="1" x14ac:dyDescent="0.2">
      <c r="B17" s="1381" t="s">
        <v>1301</v>
      </c>
      <c r="C17" s="1381"/>
      <c r="D17" s="2561"/>
      <c r="E17" s="2561"/>
      <c r="F17" s="2561"/>
      <c r="G17" s="2561"/>
      <c r="H17" s="2561"/>
      <c r="I17" s="2561"/>
      <c r="J17" s="2561"/>
      <c r="K17" s="2561"/>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51"/>
      <c r="C20" s="2551"/>
      <c r="D20" s="2551"/>
      <c r="E20" s="2551"/>
      <c r="F20" s="2551"/>
      <c r="G20" s="2551"/>
      <c r="H20" s="2551"/>
      <c r="I20" s="2551"/>
      <c r="J20" s="2551"/>
      <c r="K20" s="255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51"/>
      <c r="C23" s="2551"/>
      <c r="D23" s="2551"/>
      <c r="E23" s="2551"/>
      <c r="F23" s="2551"/>
      <c r="G23" s="2551"/>
      <c r="H23" s="2551"/>
      <c r="I23" s="2551"/>
      <c r="J23" s="2551"/>
      <c r="K23" s="255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51"/>
      <c r="C26" s="2551"/>
      <c r="D26" s="2551"/>
      <c r="E26" s="2551"/>
      <c r="F26" s="2551"/>
      <c r="G26" s="2551"/>
      <c r="H26" s="2551"/>
      <c r="I26" s="2551"/>
      <c r="J26" s="2551"/>
      <c r="K26" s="255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51"/>
      <c r="C29" s="2551"/>
      <c r="D29" s="2551"/>
      <c r="E29" s="2551"/>
      <c r="F29" s="2551"/>
      <c r="G29" s="2551"/>
      <c r="H29" s="2551"/>
      <c r="I29" s="2551"/>
      <c r="J29" s="2551"/>
      <c r="K29" s="255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51"/>
      <c r="C32" s="2551"/>
      <c r="D32" s="2551"/>
      <c r="E32" s="2551"/>
      <c r="F32" s="2551"/>
      <c r="G32" s="2551"/>
      <c r="H32" s="2551"/>
      <c r="I32" s="2551"/>
      <c r="J32" s="2551"/>
      <c r="K32" s="255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51"/>
      <c r="C35" s="2551"/>
      <c r="D35" s="2551"/>
      <c r="E35" s="2551"/>
      <c r="F35" s="2551"/>
      <c r="G35" s="2551"/>
      <c r="H35" s="2551"/>
      <c r="I35" s="2551"/>
      <c r="J35" s="2551"/>
      <c r="K35" s="255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51"/>
      <c r="C38" s="2551"/>
      <c r="D38" s="2551"/>
      <c r="E38" s="2551"/>
      <c r="F38" s="2551"/>
      <c r="G38" s="2551"/>
      <c r="H38" s="2551"/>
      <c r="I38" s="2551"/>
      <c r="J38" s="2551"/>
      <c r="K38" s="255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51"/>
      <c r="C41" s="2551"/>
      <c r="D41" s="2551"/>
      <c r="E41" s="2551"/>
      <c r="F41" s="2551"/>
      <c r="G41" s="2551"/>
      <c r="H41" s="2551"/>
      <c r="I41" s="2551"/>
      <c r="J41" s="2551"/>
      <c r="K41" s="255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29" t="str">
        <f>'Single Audit Cover'!A7</f>
        <v>Bradford CUSD 1</v>
      </c>
      <c r="C1" s="2529"/>
      <c r="D1" s="2529"/>
      <c r="E1" s="1466"/>
    </row>
    <row r="2" spans="2:5" s="1276" customFormat="1" ht="12.75" customHeight="1" x14ac:dyDescent="0.2">
      <c r="B2" s="2531">
        <f>'Single Audit Cover'!E7</f>
        <v>28088001026</v>
      </c>
      <c r="C2" s="2531"/>
      <c r="D2" s="2531"/>
      <c r="E2" s="1467"/>
    </row>
    <row r="3" spans="2:5" ht="12.75" customHeight="1" x14ac:dyDescent="0.2">
      <c r="B3" s="2552" t="s">
        <v>1766</v>
      </c>
      <c r="C3" s="2552"/>
      <c r="D3" s="2552"/>
      <c r="E3" s="1268"/>
    </row>
    <row r="4" spans="2:5" s="1276" customFormat="1" ht="12.75" customHeight="1" x14ac:dyDescent="0.2">
      <c r="B4" s="2565" t="str">
        <f>'Single Audit Cover'!A4</f>
        <v>Year Ending June 30, 2019</v>
      </c>
      <c r="C4" s="2565"/>
      <c r="D4" s="2565"/>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2090</v>
      </c>
      <c r="C7" s="324" t="s">
        <v>2170</v>
      </c>
      <c r="D7" s="324" t="s">
        <v>2091</v>
      </c>
      <c r="E7" s="324"/>
    </row>
    <row r="8" spans="2:5" ht="13.5" customHeight="1" x14ac:dyDescent="0.2">
      <c r="B8" s="1471" t="s">
        <v>2092</v>
      </c>
      <c r="C8" s="324" t="s">
        <v>2171</v>
      </c>
      <c r="D8" s="324" t="s">
        <v>2093</v>
      </c>
      <c r="E8" s="324"/>
    </row>
    <row r="9" spans="2:5" ht="13.5" customHeight="1" x14ac:dyDescent="0.2">
      <c r="B9" s="1472" t="s">
        <v>2094</v>
      </c>
      <c r="C9" s="323" t="s">
        <v>2095</v>
      </c>
      <c r="D9" s="323" t="s">
        <v>2096</v>
      </c>
      <c r="E9" s="323"/>
    </row>
    <row r="10" spans="2:5" ht="13.5" customHeight="1" x14ac:dyDescent="0.2">
      <c r="B10" s="1471" t="s">
        <v>2097</v>
      </c>
      <c r="C10" s="323" t="s">
        <v>2098</v>
      </c>
      <c r="D10" s="323" t="s">
        <v>2146</v>
      </c>
      <c r="E10" s="323"/>
    </row>
    <row r="11" spans="2:5" ht="13.5" customHeight="1" x14ac:dyDescent="0.2">
      <c r="B11" s="1471"/>
      <c r="C11" s="323" t="s">
        <v>2099</v>
      </c>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37" customWidth="1"/>
    <col min="2" max="2" width="11.28515625" style="1937" customWidth="1"/>
    <col min="3" max="3" width="6.42578125" style="1937" customWidth="1"/>
    <col min="4" max="4" width="5.42578125" style="1937" customWidth="1"/>
    <col min="5" max="5" width="74.7109375" style="1937" customWidth="1"/>
    <col min="6" max="6" width="1.5703125" style="1937" customWidth="1"/>
    <col min="7" max="8" width="2.42578125" style="1937" customWidth="1"/>
    <col min="9" max="9" width="9.28515625" style="1937" customWidth="1"/>
    <col min="10" max="10" width="14.42578125" style="1937" customWidth="1"/>
    <col min="11" max="11" width="7.28515625" style="1937" customWidth="1"/>
    <col min="12" max="12" width="3.140625" style="1937" customWidth="1"/>
    <col min="13" max="16384" width="9.140625" style="1937"/>
  </cols>
  <sheetData>
    <row r="1" spans="2:12" hidden="1" x14ac:dyDescent="0.2">
      <c r="B1" s="1937" t="str">
        <f>'CAP 2019-001'!B11:E11</f>
        <v>Bradford CUSD 1</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556" t="str">
        <f>'Single Audit Cover'!A7</f>
        <v>Bradford CUSD 1</v>
      </c>
      <c r="C11" s="2556"/>
      <c r="D11" s="2556"/>
      <c r="E11" s="2556"/>
      <c r="F11" s="1936"/>
      <c r="G11" s="1936"/>
      <c r="H11" s="1936"/>
      <c r="I11" s="1936"/>
      <c r="J11" s="1936"/>
      <c r="K11" s="1936"/>
      <c r="L11" s="1936"/>
    </row>
    <row r="12" spans="2:12" ht="13.5" customHeight="1" x14ac:dyDescent="0.2">
      <c r="B12" s="2566" t="s">
        <v>2130</v>
      </c>
      <c r="C12" s="2566"/>
      <c r="D12" s="2566"/>
      <c r="E12" s="2566"/>
      <c r="F12" s="1938"/>
      <c r="G12" s="1938"/>
      <c r="H12" s="1938"/>
      <c r="I12" s="1938"/>
      <c r="J12" s="1938"/>
      <c r="K12" s="1938"/>
      <c r="L12" s="1938"/>
    </row>
    <row r="13" spans="2:12" ht="13.5" customHeight="1" x14ac:dyDescent="0.2">
      <c r="B13" s="2547">
        <f>'Single Audit Cover'!E7</f>
        <v>28088001026</v>
      </c>
      <c r="C13" s="2547"/>
      <c r="D13" s="2547"/>
      <c r="E13" s="2547"/>
      <c r="F13" s="1939"/>
      <c r="G13" s="1939"/>
      <c r="H13" s="1939"/>
      <c r="I13" s="1939"/>
      <c r="J13" s="1939"/>
      <c r="K13" s="1939"/>
      <c r="L13" s="1939"/>
    </row>
    <row r="14" spans="2:12" ht="13.5" customHeight="1" x14ac:dyDescent="0.2">
      <c r="B14" s="2567" t="s">
        <v>1989</v>
      </c>
      <c r="C14" s="2567"/>
      <c r="D14" s="2567"/>
      <c r="E14" s="2567"/>
      <c r="F14" s="1940"/>
      <c r="G14" s="1940"/>
      <c r="H14" s="1940"/>
      <c r="I14" s="1940"/>
      <c r="J14" s="1940"/>
      <c r="K14" s="1940"/>
      <c r="L14" s="1940"/>
    </row>
    <row r="15" spans="2:12" ht="29.85" customHeight="1" x14ac:dyDescent="0.2"/>
    <row r="16" spans="2:12" ht="13.5" customHeight="1" x14ac:dyDescent="0.2">
      <c r="B16" s="1941" t="s">
        <v>2107</v>
      </c>
      <c r="C16" s="1941"/>
      <c r="D16" s="1942"/>
      <c r="E16" s="1943"/>
      <c r="F16" s="1943"/>
      <c r="G16" s="1944"/>
      <c r="H16" s="1944"/>
      <c r="I16" s="1944"/>
    </row>
    <row r="17" spans="2:5" ht="13.5" customHeight="1" x14ac:dyDescent="0.2">
      <c r="B17" s="1937" t="s">
        <v>1169</v>
      </c>
    </row>
    <row r="18" spans="2:5" ht="13.5" customHeight="1" x14ac:dyDescent="0.2">
      <c r="B18" s="1945" t="s">
        <v>2108</v>
      </c>
      <c r="C18" s="1946" t="s">
        <v>1991</v>
      </c>
      <c r="D18" s="1947">
        <v>1</v>
      </c>
    </row>
    <row r="19" spans="2:5" ht="13.5" customHeight="1" x14ac:dyDescent="0.2">
      <c r="B19" s="1948"/>
      <c r="C19" s="1948"/>
      <c r="D19" s="1948"/>
    </row>
    <row r="20" spans="2:5" ht="13.5" customHeight="1" x14ac:dyDescent="0.2">
      <c r="B20" s="1945" t="s">
        <v>2109</v>
      </c>
      <c r="C20" s="1945"/>
    </row>
    <row r="21" spans="2:5" ht="66.75" customHeight="1" x14ac:dyDescent="0.2">
      <c r="B21" s="2568" t="s">
        <v>2131</v>
      </c>
      <c r="C21" s="2543"/>
      <c r="D21" s="2543"/>
      <c r="E21" s="2543"/>
    </row>
    <row r="22" spans="2:5" ht="13.5" customHeight="1" x14ac:dyDescent="0.2"/>
    <row r="23" spans="2:5" ht="13.5" customHeight="1" x14ac:dyDescent="0.2">
      <c r="B23" s="1945" t="s">
        <v>2110</v>
      </c>
      <c r="C23" s="1945"/>
    </row>
    <row r="24" spans="2:5" ht="76.5" customHeight="1" x14ac:dyDescent="0.2">
      <c r="B24" s="2543" t="s">
        <v>2172</v>
      </c>
      <c r="C24" s="2543"/>
      <c r="D24" s="2543"/>
      <c r="E24" s="2543"/>
    </row>
    <row r="25" spans="2:5" ht="13.5" customHeight="1" x14ac:dyDescent="0.2"/>
    <row r="26" spans="2:5" ht="13.5" customHeight="1" x14ac:dyDescent="0.2">
      <c r="B26" s="1945" t="s">
        <v>2111</v>
      </c>
      <c r="C26" s="1945"/>
      <c r="E26" s="2004" t="s">
        <v>2132</v>
      </c>
    </row>
    <row r="27" spans="2:5" ht="13.5" customHeight="1" x14ac:dyDescent="0.2"/>
    <row r="28" spans="2:5" ht="13.5" customHeight="1" x14ac:dyDescent="0.2">
      <c r="B28" s="1945" t="s">
        <v>2112</v>
      </c>
      <c r="C28" s="1945"/>
      <c r="E28" s="1949" t="s">
        <v>2116</v>
      </c>
    </row>
    <row r="29" spans="2:5" ht="13.5" customHeight="1" x14ac:dyDescent="0.2"/>
    <row r="30" spans="2:5" ht="13.5" customHeight="1" x14ac:dyDescent="0.2">
      <c r="B30" s="1945" t="s">
        <v>2113</v>
      </c>
      <c r="C30" s="1945"/>
      <c r="E30" s="1949" t="s">
        <v>2173</v>
      </c>
    </row>
    <row r="31" spans="2:5" ht="13.5" customHeight="1" x14ac:dyDescent="0.2">
      <c r="E31" s="1949"/>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c r="B37" s="1951"/>
      <c r="C37" s="1951"/>
      <c r="D37" s="1951"/>
    </row>
    <row r="38" spans="2:4" ht="13.5" customHeight="1" x14ac:dyDescent="0.2"/>
    <row r="39" spans="2:4" ht="13.5" customHeight="1" x14ac:dyDescent="0.2">
      <c r="B39" s="1951"/>
      <c r="C39" s="1951"/>
      <c r="D39" s="1951"/>
    </row>
    <row r="40" spans="2:4" ht="13.5" customHeight="1" x14ac:dyDescent="0.2">
      <c r="B40" s="1951"/>
      <c r="C40" s="1951"/>
      <c r="D40" s="1951"/>
    </row>
    <row r="41" spans="2:4" ht="13.5" customHeight="1" x14ac:dyDescent="0.2">
      <c r="B41" s="1951"/>
      <c r="C41" s="1951"/>
      <c r="D41" s="1951"/>
    </row>
    <row r="42" spans="2:4" ht="13.5" customHeight="1" x14ac:dyDescent="0.2">
      <c r="B42" s="1951"/>
      <c r="C42" s="1951"/>
      <c r="D42" s="1951"/>
    </row>
    <row r="43" spans="2:4" ht="12.2" customHeight="1" x14ac:dyDescent="0.2">
      <c r="B43" s="1954"/>
      <c r="C43" s="1954"/>
      <c r="D43" s="1954"/>
    </row>
    <row r="44" spans="2:4" ht="12.75" customHeight="1" x14ac:dyDescent="0.2">
      <c r="B44" s="1945"/>
      <c r="C44" s="1945"/>
      <c r="D44" s="1945"/>
    </row>
    <row r="45" spans="2:4" ht="12.75" customHeight="1" x14ac:dyDescent="0.2">
      <c r="B45" s="1945"/>
      <c r="C45" s="1945"/>
      <c r="D45" s="1945"/>
    </row>
    <row r="46" spans="2:4" x14ac:dyDescent="0.2">
      <c r="B46" s="1945"/>
      <c r="C46" s="1945"/>
      <c r="D46" s="1945"/>
    </row>
    <row r="47" spans="2:4" x14ac:dyDescent="0.2">
      <c r="B47" s="1945"/>
      <c r="C47" s="1945"/>
      <c r="D47" s="1945"/>
    </row>
    <row r="51" spans="2:4" x14ac:dyDescent="0.2">
      <c r="B51" s="1955"/>
      <c r="C51" s="1955"/>
      <c r="D51" s="19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6"/>
      <c r="C64" s="1956"/>
      <c r="D64" s="1956"/>
    </row>
    <row r="65" spans="2:4" x14ac:dyDescent="0.2">
      <c r="B65" s="1945"/>
      <c r="C65" s="1945"/>
      <c r="D65" s="1945"/>
    </row>
    <row r="66" spans="2:4" x14ac:dyDescent="0.2">
      <c r="B66" s="1945"/>
      <c r="C66" s="1945"/>
      <c r="D66" s="1945"/>
    </row>
    <row r="67" spans="2:4" x14ac:dyDescent="0.2">
      <c r="B67" s="1956"/>
      <c r="C67" s="1956"/>
      <c r="D67" s="1956"/>
    </row>
    <row r="68" spans="2:4" x14ac:dyDescent="0.2">
      <c r="B68" s="1956"/>
      <c r="C68" s="1956"/>
      <c r="D68" s="1956"/>
    </row>
    <row r="69" spans="2:4" x14ac:dyDescent="0.2">
      <c r="B69" s="1956"/>
      <c r="C69" s="1956"/>
      <c r="D69" s="1956"/>
    </row>
    <row r="70" spans="2:4" x14ac:dyDescent="0.2">
      <c r="B70" s="1945"/>
      <c r="C70" s="1945"/>
      <c r="D70" s="1945"/>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L70"/>
  <sheetViews>
    <sheetView showGridLines="0" zoomScale="110" zoomScaleNormal="110" zoomScaleSheetLayoutView="100" workbookViewId="0"/>
  </sheetViews>
  <sheetFormatPr defaultColWidth="9.140625" defaultRowHeight="12.75" x14ac:dyDescent="0.2"/>
  <cols>
    <col min="1" max="1" width="1.5703125" style="1937" customWidth="1"/>
    <col min="2" max="2" width="11.28515625" style="1937" customWidth="1"/>
    <col min="3" max="3" width="6.42578125" style="1937" customWidth="1"/>
    <col min="4" max="4" width="5.42578125" style="1937" customWidth="1"/>
    <col min="5" max="5" width="74.7109375" style="1937" customWidth="1"/>
    <col min="6" max="6" width="1.5703125" style="1937" customWidth="1"/>
    <col min="7" max="8" width="2.42578125" style="1937" customWidth="1"/>
    <col min="9" max="9" width="9.28515625" style="1937" customWidth="1"/>
    <col min="10" max="10" width="14.42578125" style="1937" customWidth="1"/>
    <col min="11" max="11" width="7.28515625" style="1937" customWidth="1"/>
    <col min="12" max="12" width="3.140625" style="1937" customWidth="1"/>
    <col min="13" max="16384" width="9.140625" style="1937"/>
  </cols>
  <sheetData>
    <row r="1" spans="2:12" ht="13.5" customHeight="1" x14ac:dyDescent="0.2">
      <c r="B1" s="2556" t="str">
        <f>COVER!A17</f>
        <v>Bradford CUSD 1</v>
      </c>
      <c r="C1" s="2556"/>
      <c r="D1" s="2556"/>
      <c r="E1" s="2556"/>
      <c r="F1" s="1936"/>
      <c r="G1" s="1936"/>
      <c r="H1" s="1936"/>
      <c r="I1" s="1936"/>
      <c r="J1" s="1936"/>
      <c r="K1" s="1936"/>
      <c r="L1" s="1936"/>
    </row>
    <row r="2" spans="2:12" ht="13.5" customHeight="1" x14ac:dyDescent="0.2">
      <c r="B2" s="2557">
        <f>'Single Audit Cover'!E7</f>
        <v>28088001026</v>
      </c>
      <c r="C2" s="2557"/>
      <c r="D2" s="2557"/>
      <c r="E2" s="2557"/>
      <c r="F2" s="1938"/>
      <c r="G2" s="1938"/>
      <c r="H2" s="1938"/>
      <c r="I2" s="1938"/>
      <c r="J2" s="1938"/>
      <c r="K2" s="1938"/>
      <c r="L2" s="1938"/>
    </row>
    <row r="3" spans="2:12" ht="13.5" customHeight="1" x14ac:dyDescent="0.2">
      <c r="B3" s="2547" t="s">
        <v>2106</v>
      </c>
      <c r="C3" s="2547"/>
      <c r="D3" s="2547"/>
      <c r="E3" s="2547"/>
      <c r="F3" s="1939"/>
      <c r="G3" s="1939"/>
      <c r="H3" s="1939"/>
      <c r="I3" s="1939"/>
      <c r="J3" s="1939"/>
      <c r="K3" s="1939"/>
      <c r="L3" s="1939"/>
    </row>
    <row r="4" spans="2:12" ht="13.5" customHeight="1" x14ac:dyDescent="0.2">
      <c r="B4" s="2567" t="s">
        <v>1989</v>
      </c>
      <c r="C4" s="2567"/>
      <c r="D4" s="2567"/>
      <c r="E4" s="2567"/>
      <c r="F4" s="1940"/>
      <c r="G4" s="1940"/>
      <c r="H4" s="1940"/>
      <c r="I4" s="1940"/>
      <c r="J4" s="1940"/>
      <c r="K4" s="1940"/>
      <c r="L4" s="1940"/>
    </row>
    <row r="5" spans="2:12" ht="29.85" customHeight="1" x14ac:dyDescent="0.2"/>
    <row r="6" spans="2:12" ht="13.5" customHeight="1" x14ac:dyDescent="0.2">
      <c r="B6" s="1941" t="s">
        <v>2107</v>
      </c>
      <c r="C6" s="1941"/>
      <c r="D6" s="1942"/>
      <c r="E6" s="1943"/>
      <c r="F6" s="1943"/>
      <c r="G6" s="1944"/>
      <c r="H6" s="1944"/>
      <c r="I6" s="1944"/>
    </row>
    <row r="7" spans="2:12" ht="13.5" customHeight="1" x14ac:dyDescent="0.2">
      <c r="B7" s="1937" t="s">
        <v>1169</v>
      </c>
    </row>
    <row r="8" spans="2:12" ht="13.5" customHeight="1" x14ac:dyDescent="0.2">
      <c r="B8" s="1945" t="s">
        <v>2108</v>
      </c>
      <c r="C8" s="1946" t="s">
        <v>1991</v>
      </c>
      <c r="D8" s="1947">
        <v>2</v>
      </c>
    </row>
    <row r="9" spans="2:12" ht="13.5" customHeight="1" x14ac:dyDescent="0.2">
      <c r="B9" s="1948"/>
      <c r="C9" s="1948"/>
      <c r="D9" s="1948"/>
    </row>
    <row r="10" spans="2:12" ht="13.5" customHeight="1" x14ac:dyDescent="0.2">
      <c r="B10" s="1945" t="s">
        <v>2109</v>
      </c>
      <c r="C10" s="1945"/>
    </row>
    <row r="11" spans="2:12" ht="66.75" customHeight="1" x14ac:dyDescent="0.2">
      <c r="B11" s="2543" t="s">
        <v>2115</v>
      </c>
      <c r="C11" s="2543"/>
      <c r="D11" s="2543"/>
      <c r="E11" s="2543"/>
    </row>
    <row r="12" spans="2:12" ht="13.5" customHeight="1" x14ac:dyDescent="0.2"/>
    <row r="13" spans="2:12" ht="13.5" customHeight="1" x14ac:dyDescent="0.2">
      <c r="B13" s="1945" t="s">
        <v>2110</v>
      </c>
      <c r="C13" s="1945"/>
    </row>
    <row r="14" spans="2:12" ht="76.5" customHeight="1" x14ac:dyDescent="0.2">
      <c r="B14" s="2543" t="s">
        <v>2174</v>
      </c>
      <c r="C14" s="2543"/>
      <c r="D14" s="2543"/>
      <c r="E14" s="2543"/>
    </row>
    <row r="15" spans="2:12" ht="13.5" customHeight="1" x14ac:dyDescent="0.2"/>
    <row r="16" spans="2:12" ht="13.5" customHeight="1" x14ac:dyDescent="0.2">
      <c r="B16" s="1945" t="s">
        <v>2111</v>
      </c>
      <c r="C16" s="1945"/>
      <c r="E16" s="2004" t="s">
        <v>2132</v>
      </c>
    </row>
    <row r="17" spans="2:5" ht="13.5" customHeight="1" x14ac:dyDescent="0.2"/>
    <row r="18" spans="2:5" ht="13.5" customHeight="1" x14ac:dyDescent="0.2">
      <c r="B18" s="1945" t="s">
        <v>2112</v>
      </c>
      <c r="C18" s="1945"/>
      <c r="E18" s="1949" t="s">
        <v>2116</v>
      </c>
    </row>
    <row r="19" spans="2:5" ht="13.5" customHeight="1" x14ac:dyDescent="0.2"/>
    <row r="20" spans="2:5" ht="13.5" customHeight="1" x14ac:dyDescent="0.2">
      <c r="B20" s="1945" t="s">
        <v>2113</v>
      </c>
      <c r="C20" s="1945"/>
      <c r="E20" s="1949" t="s">
        <v>2175</v>
      </c>
    </row>
    <row r="21" spans="2:5" ht="13.5" customHeight="1" x14ac:dyDescent="0.2">
      <c r="E21" s="1949"/>
    </row>
    <row r="22" spans="2:5" ht="13.5" customHeight="1" x14ac:dyDescent="0.2">
      <c r="E22" s="1949"/>
    </row>
    <row r="23" spans="2:5" ht="13.5" customHeight="1" x14ac:dyDescent="0.2"/>
    <row r="24" spans="2:5" ht="13.5" customHeight="1" x14ac:dyDescent="0.2"/>
    <row r="25" spans="2:5" ht="13.5" customHeight="1" x14ac:dyDescent="0.2">
      <c r="B25" s="1950"/>
      <c r="C25" s="1950"/>
      <c r="D25" s="1950"/>
    </row>
    <row r="26" spans="2:5" ht="13.5" customHeight="1" x14ac:dyDescent="0.2">
      <c r="B26" s="1950"/>
      <c r="C26" s="1950"/>
      <c r="D26" s="1950"/>
    </row>
    <row r="27" spans="2:5" ht="13.5" customHeight="1" x14ac:dyDescent="0.2">
      <c r="B27" s="1950"/>
      <c r="C27" s="1950"/>
      <c r="D27" s="19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1"/>
      <c r="C35" s="1951"/>
      <c r="D35" s="1951"/>
    </row>
    <row r="36" spans="2:5" ht="13.5" customHeight="1" x14ac:dyDescent="0.2"/>
    <row r="37" spans="2:5" ht="13.5" customHeight="1" x14ac:dyDescent="0.2">
      <c r="B37" s="1951"/>
      <c r="C37" s="1951"/>
      <c r="D37" s="1951"/>
    </row>
    <row r="38" spans="2:5" ht="13.5" customHeight="1" x14ac:dyDescent="0.2">
      <c r="B38" s="1951"/>
      <c r="C38" s="1951"/>
      <c r="D38" s="1951"/>
    </row>
    <row r="39" spans="2:5" ht="13.5" customHeight="1" x14ac:dyDescent="0.2">
      <c r="B39" s="1951"/>
      <c r="C39" s="1951"/>
      <c r="D39" s="1951"/>
    </row>
    <row r="40" spans="2:5" ht="13.5" customHeight="1" x14ac:dyDescent="0.2">
      <c r="B40" s="1951"/>
      <c r="C40" s="1951"/>
      <c r="D40" s="1951"/>
    </row>
    <row r="41" spans="2:5" ht="13.5" customHeight="1" x14ac:dyDescent="0.2">
      <c r="B41" s="1952"/>
      <c r="C41" s="1952"/>
      <c r="D41" s="1952"/>
      <c r="E41" s="1952"/>
    </row>
    <row r="42" spans="2:5" ht="12.2" customHeight="1" x14ac:dyDescent="0.2">
      <c r="B42" s="1953" t="s">
        <v>2114</v>
      </c>
      <c r="C42" s="1953"/>
      <c r="D42" s="1953"/>
    </row>
    <row r="43" spans="2:5" ht="12.2" customHeight="1" x14ac:dyDescent="0.2">
      <c r="B43" s="1954"/>
      <c r="C43" s="1954"/>
      <c r="D43" s="1954"/>
    </row>
    <row r="44" spans="2:5" ht="12.75" customHeight="1" x14ac:dyDescent="0.2">
      <c r="B44" s="1945"/>
      <c r="C44" s="1945"/>
      <c r="D44" s="1945"/>
    </row>
    <row r="45" spans="2:5" ht="12.75" customHeight="1" x14ac:dyDescent="0.2">
      <c r="B45" s="1945"/>
      <c r="C45" s="1945"/>
      <c r="D45" s="1945"/>
    </row>
    <row r="46" spans="2:5" x14ac:dyDescent="0.2">
      <c r="B46" s="1945"/>
      <c r="C46" s="1945"/>
      <c r="D46" s="1945"/>
    </row>
    <row r="47" spans="2:5" x14ac:dyDescent="0.2">
      <c r="B47" s="1945"/>
      <c r="C47" s="1945"/>
      <c r="D47" s="1945"/>
    </row>
    <row r="51" spans="2:4" x14ac:dyDescent="0.2">
      <c r="B51" s="1955"/>
      <c r="C51" s="1955"/>
      <c r="D51" s="19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6"/>
      <c r="C64" s="1956"/>
      <c r="D64" s="1956"/>
    </row>
    <row r="65" spans="2:4" x14ac:dyDescent="0.2">
      <c r="B65" s="1945"/>
      <c r="C65" s="1945"/>
      <c r="D65" s="1945"/>
    </row>
    <row r="66" spans="2:4" x14ac:dyDescent="0.2">
      <c r="B66" s="1945"/>
      <c r="C66" s="1945"/>
      <c r="D66" s="1945"/>
    </row>
    <row r="67" spans="2:4" x14ac:dyDescent="0.2">
      <c r="B67" s="1956"/>
      <c r="C67" s="1956"/>
      <c r="D67" s="1956"/>
    </row>
    <row r="68" spans="2:4" x14ac:dyDescent="0.2">
      <c r="B68" s="1956"/>
      <c r="C68" s="1956"/>
      <c r="D68" s="1956"/>
    </row>
    <row r="69" spans="2:4" x14ac:dyDescent="0.2">
      <c r="B69" s="1956"/>
      <c r="C69" s="1956"/>
      <c r="D69" s="1956"/>
    </row>
    <row r="70" spans="2:4" x14ac:dyDescent="0.2">
      <c r="B70" s="1945"/>
      <c r="C70" s="1945"/>
      <c r="D70" s="19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3" t="s">
        <v>386</v>
      </c>
      <c r="B1" s="2153"/>
      <c r="C1" s="2153"/>
      <c r="D1" s="2153"/>
      <c r="E1" s="2153"/>
      <c r="F1" s="2153"/>
      <c r="G1" s="2153"/>
      <c r="H1" s="2153"/>
      <c r="I1" s="2153"/>
      <c r="J1" s="2153"/>
      <c r="K1" s="2153"/>
      <c r="L1" s="2153"/>
      <c r="M1" s="215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61095195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3.1300000000000001E-2</v>
      </c>
      <c r="E10" s="356" t="s">
        <v>1005</v>
      </c>
      <c r="F10" s="355">
        <v>5.0000000000000001E-3</v>
      </c>
      <c r="G10" s="356" t="s">
        <v>1005</v>
      </c>
      <c r="H10" s="355">
        <v>2E-3</v>
      </c>
      <c r="I10" s="356" t="s">
        <v>1006</v>
      </c>
      <c r="J10" s="1729">
        <f>ROUND(D10+F10+H10,5)</f>
        <v>3.8300000000000001E-2</v>
      </c>
      <c r="K10" s="222"/>
      <c r="L10" s="355">
        <v>5.0000000000000001E-4</v>
      </c>
      <c r="M10" s="222"/>
    </row>
    <row r="11" spans="1:14" ht="7.5" customHeight="1" x14ac:dyDescent="0.2">
      <c r="B11" s="222"/>
      <c r="C11" s="222"/>
      <c r="D11" s="2163" t="str">
        <f>IF(SUM(J10)&lt;=0.0999999,"","Enter the Tax Rates by moving the decimal two places to the left.")</f>
        <v/>
      </c>
      <c r="E11" s="2164"/>
      <c r="F11" s="2164"/>
      <c r="G11" s="2164"/>
      <c r="H11" s="2164"/>
      <c r="I11" s="2164"/>
      <c r="J11" s="216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3200543</v>
      </c>
      <c r="E16" s="356"/>
      <c r="F16" s="1730">
        <f>SUM('Acct Summary 7-8'!C17,'Acct Summary 7-8'!D17,'Acct Summary 7-8'!F17)</f>
        <v>2364565</v>
      </c>
      <c r="G16" s="356"/>
      <c r="H16" s="1730">
        <f>SUM(D16-F16)</f>
        <v>835978</v>
      </c>
      <c r="I16" s="222"/>
      <c r="J16" s="1730">
        <f>SUM('Acct Summary 7-8'!C81,'Acct Summary 7-8'!D81,'Acct Summary 7-8'!F81,'Acct Summary 7-8'!I81)</f>
        <v>3553866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8431136.9100000001</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4"/>
      <c r="C54" s="2155"/>
      <c r="D54" s="2155"/>
      <c r="E54" s="2155"/>
      <c r="F54" s="2155"/>
      <c r="G54" s="2155"/>
      <c r="H54" s="2155"/>
      <c r="I54" s="2155"/>
      <c r="J54" s="2155"/>
      <c r="K54" s="2155"/>
      <c r="L54" s="2156"/>
      <c r="M54" s="380"/>
    </row>
    <row r="55" spans="1:13" ht="12.75" customHeight="1" x14ac:dyDescent="0.2">
      <c r="B55" s="2157"/>
      <c r="C55" s="2158"/>
      <c r="D55" s="2158"/>
      <c r="E55" s="2158"/>
      <c r="F55" s="2158"/>
      <c r="G55" s="2158"/>
      <c r="H55" s="2158"/>
      <c r="I55" s="2158"/>
      <c r="J55" s="2158"/>
      <c r="K55" s="2158"/>
      <c r="L55" s="2159"/>
      <c r="M55" s="380"/>
    </row>
    <row r="56" spans="1:13" ht="12.75" customHeight="1" x14ac:dyDescent="0.2">
      <c r="B56" s="2157"/>
      <c r="C56" s="2158"/>
      <c r="D56" s="2158"/>
      <c r="E56" s="2158"/>
      <c r="F56" s="2158"/>
      <c r="G56" s="2158"/>
      <c r="H56" s="2158"/>
      <c r="I56" s="2158"/>
      <c r="J56" s="2158"/>
      <c r="K56" s="2158"/>
      <c r="L56" s="2159"/>
      <c r="M56" s="222"/>
    </row>
    <row r="57" spans="1:13" ht="12.75" customHeight="1" x14ac:dyDescent="0.2">
      <c r="B57" s="2157"/>
      <c r="C57" s="2158"/>
      <c r="D57" s="2158"/>
      <c r="E57" s="2158"/>
      <c r="F57" s="2158"/>
      <c r="G57" s="2158"/>
      <c r="H57" s="2158"/>
      <c r="I57" s="2158"/>
      <c r="J57" s="2158"/>
      <c r="K57" s="2158"/>
      <c r="L57" s="2159"/>
      <c r="M57" s="222"/>
    </row>
    <row r="58" spans="1:13" x14ac:dyDescent="0.2">
      <c r="B58" s="2160"/>
      <c r="C58" s="2161"/>
      <c r="D58" s="2161"/>
      <c r="E58" s="2161"/>
      <c r="F58" s="2161"/>
      <c r="G58" s="2161"/>
      <c r="H58" s="2161"/>
      <c r="I58" s="2161"/>
      <c r="J58" s="2161"/>
      <c r="K58" s="2161"/>
      <c r="L58" s="216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5"/>
      <c r="D61" s="216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L70"/>
  <sheetViews>
    <sheetView showGridLines="0" zoomScale="110" zoomScaleNormal="110" zoomScaleSheetLayoutView="100" workbookViewId="0"/>
  </sheetViews>
  <sheetFormatPr defaultColWidth="9.140625" defaultRowHeight="12.75" x14ac:dyDescent="0.2"/>
  <cols>
    <col min="1" max="1" width="1.5703125" style="1937" customWidth="1"/>
    <col min="2" max="2" width="11.28515625" style="1937" customWidth="1"/>
    <col min="3" max="3" width="6.42578125" style="1937" customWidth="1"/>
    <col min="4" max="4" width="5.42578125" style="1937" customWidth="1"/>
    <col min="5" max="5" width="74.7109375" style="1937" customWidth="1"/>
    <col min="6" max="6" width="1.5703125" style="1937" customWidth="1"/>
    <col min="7" max="8" width="2.42578125" style="1937" customWidth="1"/>
    <col min="9" max="9" width="9.28515625" style="1937" customWidth="1"/>
    <col min="10" max="10" width="14.42578125" style="1937" customWidth="1"/>
    <col min="11" max="11" width="7.28515625" style="1937" customWidth="1"/>
    <col min="12" max="12" width="3.140625" style="1937" customWidth="1"/>
    <col min="13" max="16384" width="9.140625" style="1937"/>
  </cols>
  <sheetData>
    <row r="1" spans="2:12" ht="13.5" customHeight="1" x14ac:dyDescent="0.2">
      <c r="B1" s="2556" t="str">
        <f>'Single Audit Cover'!A7</f>
        <v>Bradford CUSD 1</v>
      </c>
      <c r="C1" s="2556"/>
      <c r="D1" s="2556"/>
      <c r="E1" s="2556"/>
      <c r="F1" s="1936"/>
      <c r="G1" s="1936"/>
      <c r="H1" s="1936"/>
      <c r="I1" s="1936"/>
      <c r="J1" s="1936"/>
      <c r="K1" s="1936"/>
      <c r="L1" s="1936"/>
    </row>
    <row r="2" spans="2:12" ht="13.5" customHeight="1" x14ac:dyDescent="0.2">
      <c r="B2" s="2557">
        <f>'Single Audit Cover'!E7</f>
        <v>28088001026</v>
      </c>
      <c r="C2" s="2557"/>
      <c r="D2" s="2557"/>
      <c r="E2" s="2557"/>
      <c r="F2" s="1938"/>
      <c r="G2" s="1938"/>
      <c r="H2" s="1938"/>
      <c r="I2" s="1938"/>
      <c r="J2" s="1938"/>
      <c r="K2" s="1938"/>
      <c r="L2" s="1938"/>
    </row>
    <row r="3" spans="2:12" ht="13.5" customHeight="1" x14ac:dyDescent="0.2">
      <c r="B3" s="2547" t="s">
        <v>2106</v>
      </c>
      <c r="C3" s="2547"/>
      <c r="D3" s="2547"/>
      <c r="E3" s="2547"/>
      <c r="F3" s="1939"/>
      <c r="G3" s="1939"/>
      <c r="H3" s="1939"/>
      <c r="I3" s="1939"/>
      <c r="J3" s="1939"/>
      <c r="K3" s="1939"/>
      <c r="L3" s="1939"/>
    </row>
    <row r="4" spans="2:12" ht="13.5" customHeight="1" x14ac:dyDescent="0.2">
      <c r="B4" s="2567" t="s">
        <v>1989</v>
      </c>
      <c r="C4" s="2567"/>
      <c r="D4" s="2567"/>
      <c r="E4" s="2567"/>
      <c r="F4" s="1940"/>
      <c r="G4" s="1940"/>
      <c r="H4" s="1940"/>
      <c r="I4" s="1940"/>
      <c r="J4" s="1940"/>
      <c r="K4" s="1940"/>
      <c r="L4" s="1940"/>
    </row>
    <row r="5" spans="2:12" ht="29.85" customHeight="1" x14ac:dyDescent="0.2"/>
    <row r="6" spans="2:12" ht="13.5" customHeight="1" x14ac:dyDescent="0.2">
      <c r="B6" s="1941" t="s">
        <v>2107</v>
      </c>
      <c r="C6" s="1941"/>
      <c r="D6" s="1942"/>
      <c r="E6" s="1943"/>
      <c r="F6" s="1943"/>
      <c r="G6" s="1944"/>
      <c r="H6" s="1944"/>
      <c r="I6" s="1944"/>
    </row>
    <row r="7" spans="2:12" ht="13.5" customHeight="1" x14ac:dyDescent="0.2">
      <c r="B7" s="1937" t="s">
        <v>1169</v>
      </c>
    </row>
    <row r="8" spans="2:12" ht="13.5" customHeight="1" x14ac:dyDescent="0.2">
      <c r="B8" s="1945" t="s">
        <v>2108</v>
      </c>
      <c r="C8" s="1946" t="s">
        <v>1991</v>
      </c>
      <c r="D8" s="1947">
        <v>3</v>
      </c>
    </row>
    <row r="9" spans="2:12" ht="13.5" customHeight="1" x14ac:dyDescent="0.2">
      <c r="B9" s="1948"/>
      <c r="C9" s="1948"/>
      <c r="D9" s="1948"/>
    </row>
    <row r="10" spans="2:12" ht="13.5" customHeight="1" x14ac:dyDescent="0.2">
      <c r="B10" s="1945" t="s">
        <v>2109</v>
      </c>
      <c r="C10" s="1945"/>
    </row>
    <row r="11" spans="2:12" ht="66.75" customHeight="1" x14ac:dyDescent="0.2">
      <c r="B11" s="2543" t="s">
        <v>2134</v>
      </c>
      <c r="C11" s="2543"/>
      <c r="D11" s="2543"/>
      <c r="E11" s="2543"/>
    </row>
    <row r="12" spans="2:12" ht="13.5" customHeight="1" x14ac:dyDescent="0.2"/>
    <row r="13" spans="2:12" ht="13.5" customHeight="1" x14ac:dyDescent="0.2">
      <c r="B13" s="1945" t="s">
        <v>2110</v>
      </c>
      <c r="C13" s="1945"/>
    </row>
    <row r="14" spans="2:12" ht="76.5" customHeight="1" x14ac:dyDescent="0.2">
      <c r="B14" s="2543" t="s">
        <v>2177</v>
      </c>
      <c r="C14" s="2543"/>
      <c r="D14" s="2543"/>
      <c r="E14" s="2543"/>
    </row>
    <row r="15" spans="2:12" ht="13.5" customHeight="1" x14ac:dyDescent="0.2"/>
    <row r="16" spans="2:12" ht="13.5" customHeight="1" x14ac:dyDescent="0.2">
      <c r="B16" s="1945" t="s">
        <v>2111</v>
      </c>
      <c r="C16" s="1945"/>
      <c r="E16" s="2005" t="s">
        <v>2132</v>
      </c>
    </row>
    <row r="17" spans="2:5" ht="13.5" customHeight="1" x14ac:dyDescent="0.2"/>
    <row r="18" spans="2:5" ht="13.5" customHeight="1" x14ac:dyDescent="0.2">
      <c r="B18" s="1945" t="s">
        <v>2112</v>
      </c>
      <c r="C18" s="1945"/>
      <c r="E18" s="1949" t="s">
        <v>2116</v>
      </c>
    </row>
    <row r="19" spans="2:5" ht="13.5" customHeight="1" x14ac:dyDescent="0.2"/>
    <row r="20" spans="2:5" ht="13.5" customHeight="1" x14ac:dyDescent="0.2">
      <c r="B20" s="1945" t="s">
        <v>2113</v>
      </c>
      <c r="C20" s="1945"/>
      <c r="E20" s="1949" t="s">
        <v>2176</v>
      </c>
    </row>
    <row r="21" spans="2:5" ht="13.5" customHeight="1" x14ac:dyDescent="0.2">
      <c r="E21" s="1949"/>
    </row>
    <row r="22" spans="2:5" ht="13.5" customHeight="1" x14ac:dyDescent="0.2">
      <c r="E22" s="1949"/>
    </row>
    <row r="23" spans="2:5" ht="13.5" customHeight="1" x14ac:dyDescent="0.2"/>
    <row r="24" spans="2:5" ht="13.5" customHeight="1" x14ac:dyDescent="0.2"/>
    <row r="25" spans="2:5" ht="13.5" customHeight="1" x14ac:dyDescent="0.2">
      <c r="B25" s="1950"/>
      <c r="C25" s="1950"/>
      <c r="D25" s="1950"/>
    </row>
    <row r="26" spans="2:5" ht="13.5" customHeight="1" x14ac:dyDescent="0.2">
      <c r="B26" s="1950"/>
      <c r="C26" s="1950"/>
      <c r="D26" s="1950"/>
    </row>
    <row r="27" spans="2:5" ht="13.5" customHeight="1" x14ac:dyDescent="0.2">
      <c r="B27" s="1950"/>
      <c r="C27" s="1950"/>
      <c r="D27" s="19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1"/>
      <c r="C35" s="1951"/>
      <c r="D35" s="1951"/>
    </row>
    <row r="36" spans="2:5" ht="13.5" customHeight="1" x14ac:dyDescent="0.2"/>
    <row r="37" spans="2:5" ht="13.5" customHeight="1" x14ac:dyDescent="0.2">
      <c r="B37" s="1951"/>
      <c r="C37" s="1951"/>
      <c r="D37" s="1951"/>
    </row>
    <row r="38" spans="2:5" ht="13.5" customHeight="1" x14ac:dyDescent="0.2">
      <c r="B38" s="1951"/>
      <c r="C38" s="1951"/>
      <c r="D38" s="1951"/>
    </row>
    <row r="39" spans="2:5" ht="13.5" customHeight="1" x14ac:dyDescent="0.2">
      <c r="B39" s="1951"/>
      <c r="C39" s="1951"/>
      <c r="D39" s="1951"/>
    </row>
    <row r="40" spans="2:5" ht="13.5" customHeight="1" x14ac:dyDescent="0.2">
      <c r="B40" s="1951"/>
      <c r="C40" s="1951"/>
      <c r="D40" s="1951"/>
    </row>
    <row r="41" spans="2:5" ht="13.5" customHeight="1" x14ac:dyDescent="0.2">
      <c r="B41" s="1952"/>
      <c r="C41" s="1952"/>
      <c r="D41" s="1952"/>
      <c r="E41" s="1952"/>
    </row>
    <row r="42" spans="2:5" ht="12.2" customHeight="1" x14ac:dyDescent="0.2">
      <c r="B42" s="1953" t="s">
        <v>2114</v>
      </c>
      <c r="C42" s="1953"/>
      <c r="D42" s="1953"/>
    </row>
    <row r="43" spans="2:5" ht="12.2" customHeight="1" x14ac:dyDescent="0.2">
      <c r="B43" s="1954"/>
      <c r="C43" s="1954"/>
      <c r="D43" s="1954"/>
    </row>
    <row r="44" spans="2:5" ht="12.75" customHeight="1" x14ac:dyDescent="0.2">
      <c r="B44" s="1945"/>
      <c r="C44" s="1945"/>
      <c r="D44" s="1945"/>
    </row>
    <row r="45" spans="2:5" ht="12.75" customHeight="1" x14ac:dyDescent="0.2">
      <c r="B45" s="1945"/>
      <c r="C45" s="1945"/>
      <c r="D45" s="1945"/>
    </row>
    <row r="46" spans="2:5" x14ac:dyDescent="0.2">
      <c r="B46" s="1945"/>
      <c r="C46" s="1945"/>
      <c r="D46" s="1945"/>
    </row>
    <row r="47" spans="2:5" x14ac:dyDescent="0.2">
      <c r="B47" s="1945"/>
      <c r="C47" s="1945"/>
      <c r="D47" s="1945"/>
    </row>
    <row r="51" spans="2:4" x14ac:dyDescent="0.2">
      <c r="B51" s="1955"/>
      <c r="C51" s="1955"/>
      <c r="D51" s="19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6"/>
      <c r="C64" s="1956"/>
      <c r="D64" s="1956"/>
    </row>
    <row r="65" spans="2:4" x14ac:dyDescent="0.2">
      <c r="B65" s="1945"/>
      <c r="C65" s="1945"/>
      <c r="D65" s="1945"/>
    </row>
    <row r="66" spans="2:4" x14ac:dyDescent="0.2">
      <c r="B66" s="1945"/>
      <c r="C66" s="1945"/>
      <c r="D66" s="1945"/>
    </row>
    <row r="67" spans="2:4" x14ac:dyDescent="0.2">
      <c r="B67" s="1956"/>
      <c r="C67" s="1956"/>
      <c r="D67" s="1956"/>
    </row>
    <row r="68" spans="2:4" x14ac:dyDescent="0.2">
      <c r="B68" s="1956"/>
      <c r="C68" s="1956"/>
      <c r="D68" s="1956"/>
    </row>
    <row r="69" spans="2:4" x14ac:dyDescent="0.2">
      <c r="B69" s="1956"/>
      <c r="C69" s="1956"/>
      <c r="D69" s="1956"/>
    </row>
    <row r="70" spans="2:4" x14ac:dyDescent="0.2">
      <c r="B70" s="1945"/>
      <c r="C70" s="1945"/>
      <c r="D70" s="19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L70"/>
  <sheetViews>
    <sheetView showGridLines="0" zoomScale="110" zoomScaleNormal="110" zoomScaleSheetLayoutView="100" workbookViewId="0"/>
  </sheetViews>
  <sheetFormatPr defaultColWidth="9.140625" defaultRowHeight="12.75" x14ac:dyDescent="0.2"/>
  <cols>
    <col min="1" max="1" width="1.5703125" style="1937" customWidth="1"/>
    <col min="2" max="2" width="11.28515625" style="1937" customWidth="1"/>
    <col min="3" max="3" width="6.42578125" style="1937" customWidth="1"/>
    <col min="4" max="4" width="5.42578125" style="1937" customWidth="1"/>
    <col min="5" max="5" width="74.7109375" style="1937" customWidth="1"/>
    <col min="6" max="6" width="1.5703125" style="1937" customWidth="1"/>
    <col min="7" max="8" width="2.42578125" style="1937" customWidth="1"/>
    <col min="9" max="9" width="9.28515625" style="1937" customWidth="1"/>
    <col min="10" max="10" width="14.42578125" style="1937" customWidth="1"/>
    <col min="11" max="11" width="7.28515625" style="1937" customWidth="1"/>
    <col min="12" max="12" width="3.140625" style="1937" customWidth="1"/>
    <col min="13" max="16384" width="9.140625" style="1937"/>
  </cols>
  <sheetData>
    <row r="1" spans="2:12" ht="13.5" customHeight="1" x14ac:dyDescent="0.2">
      <c r="B1" s="2556" t="str">
        <f>'Single Audit Cover'!A7</f>
        <v>Bradford CUSD 1</v>
      </c>
      <c r="C1" s="2556"/>
      <c r="D1" s="2556"/>
      <c r="E1" s="2556"/>
      <c r="F1" s="1936"/>
      <c r="G1" s="1936"/>
      <c r="H1" s="1936"/>
      <c r="I1" s="1936"/>
      <c r="J1" s="1936"/>
      <c r="K1" s="1936"/>
      <c r="L1" s="1936"/>
    </row>
    <row r="2" spans="2:12" ht="13.5" customHeight="1" x14ac:dyDescent="0.2">
      <c r="B2" s="2557">
        <f>'Single Audit Cover'!E7</f>
        <v>28088001026</v>
      </c>
      <c r="C2" s="2557"/>
      <c r="D2" s="2557"/>
      <c r="E2" s="2557"/>
      <c r="F2" s="1938"/>
      <c r="G2" s="1938"/>
      <c r="H2" s="1938"/>
      <c r="I2" s="1938"/>
      <c r="J2" s="1938"/>
      <c r="K2" s="1938"/>
      <c r="L2" s="1938"/>
    </row>
    <row r="3" spans="2:12" ht="13.5" customHeight="1" x14ac:dyDescent="0.2">
      <c r="B3" s="2547" t="s">
        <v>2106</v>
      </c>
      <c r="C3" s="2547"/>
      <c r="D3" s="2547"/>
      <c r="E3" s="2547"/>
      <c r="F3" s="1939"/>
      <c r="G3" s="1939"/>
      <c r="H3" s="1939"/>
      <c r="I3" s="1939"/>
      <c r="J3" s="1939"/>
      <c r="K3" s="1939"/>
      <c r="L3" s="1939"/>
    </row>
    <row r="4" spans="2:12" ht="13.5" customHeight="1" x14ac:dyDescent="0.2">
      <c r="B4" s="2567" t="s">
        <v>1989</v>
      </c>
      <c r="C4" s="2567"/>
      <c r="D4" s="2567"/>
      <c r="E4" s="2567"/>
      <c r="F4" s="1940"/>
      <c r="G4" s="1940"/>
      <c r="H4" s="1940"/>
      <c r="I4" s="1940"/>
      <c r="J4" s="1940"/>
      <c r="K4" s="1940"/>
      <c r="L4" s="1940"/>
    </row>
    <row r="5" spans="2:12" ht="29.85" customHeight="1" x14ac:dyDescent="0.2"/>
    <row r="6" spans="2:12" ht="13.5" customHeight="1" x14ac:dyDescent="0.2">
      <c r="B6" s="1941" t="s">
        <v>2107</v>
      </c>
      <c r="C6" s="1941"/>
      <c r="D6" s="1942"/>
      <c r="E6" s="1943"/>
      <c r="F6" s="1943"/>
      <c r="G6" s="1944"/>
      <c r="H6" s="1944"/>
      <c r="I6" s="1944"/>
    </row>
    <row r="7" spans="2:12" ht="13.5" customHeight="1" x14ac:dyDescent="0.2">
      <c r="B7" s="1937" t="s">
        <v>1169</v>
      </c>
    </row>
    <row r="8" spans="2:12" ht="13.5" customHeight="1" x14ac:dyDescent="0.2">
      <c r="B8" s="1945" t="s">
        <v>2108</v>
      </c>
      <c r="C8" s="1946" t="s">
        <v>1991</v>
      </c>
      <c r="D8" s="1947">
        <v>4</v>
      </c>
    </row>
    <row r="9" spans="2:12" ht="13.5" customHeight="1" x14ac:dyDescent="0.2">
      <c r="B9" s="1948"/>
      <c r="C9" s="1948"/>
      <c r="D9" s="1948"/>
    </row>
    <row r="10" spans="2:12" ht="13.5" customHeight="1" x14ac:dyDescent="0.2">
      <c r="B10" s="1945" t="s">
        <v>2109</v>
      </c>
      <c r="C10" s="1945"/>
    </row>
    <row r="11" spans="2:12" ht="66.75" customHeight="1" x14ac:dyDescent="0.2">
      <c r="B11" s="2543" t="s">
        <v>2168</v>
      </c>
      <c r="C11" s="2543"/>
      <c r="D11" s="2543"/>
      <c r="E11" s="2543"/>
    </row>
    <row r="12" spans="2:12" ht="13.5" customHeight="1" x14ac:dyDescent="0.2"/>
    <row r="13" spans="2:12" ht="13.5" customHeight="1" x14ac:dyDescent="0.2">
      <c r="B13" s="1945" t="s">
        <v>2110</v>
      </c>
      <c r="C13" s="1945"/>
    </row>
    <row r="14" spans="2:12" ht="76.5" customHeight="1" x14ac:dyDescent="0.2">
      <c r="B14" s="2543" t="s">
        <v>2178</v>
      </c>
      <c r="C14" s="2543"/>
      <c r="D14" s="2543"/>
      <c r="E14" s="2543"/>
    </row>
    <row r="15" spans="2:12" ht="13.5" customHeight="1" x14ac:dyDescent="0.2"/>
    <row r="16" spans="2:12" ht="13.5" customHeight="1" x14ac:dyDescent="0.2">
      <c r="B16" s="1945" t="s">
        <v>2111</v>
      </c>
      <c r="C16" s="1945"/>
      <c r="E16" s="2005" t="s">
        <v>2132</v>
      </c>
    </row>
    <row r="17" spans="2:5" ht="13.5" customHeight="1" x14ac:dyDescent="0.2"/>
    <row r="18" spans="2:5" ht="13.5" customHeight="1" x14ac:dyDescent="0.2">
      <c r="B18" s="1945" t="s">
        <v>2112</v>
      </c>
      <c r="C18" s="1945"/>
      <c r="E18" s="1949" t="s">
        <v>2116</v>
      </c>
    </row>
    <row r="19" spans="2:5" ht="13.5" customHeight="1" x14ac:dyDescent="0.2"/>
    <row r="20" spans="2:5" ht="13.5" customHeight="1" x14ac:dyDescent="0.2">
      <c r="B20" s="1945" t="s">
        <v>2113</v>
      </c>
      <c r="C20" s="1945"/>
      <c r="E20" s="1949" t="s">
        <v>2176</v>
      </c>
    </row>
    <row r="21" spans="2:5" ht="13.5" customHeight="1" x14ac:dyDescent="0.2">
      <c r="E21" s="1949"/>
    </row>
    <row r="22" spans="2:5" ht="13.5" customHeight="1" x14ac:dyDescent="0.2">
      <c r="E22" s="1949"/>
    </row>
    <row r="23" spans="2:5" ht="13.5" customHeight="1" x14ac:dyDescent="0.2"/>
    <row r="24" spans="2:5" ht="13.5" customHeight="1" x14ac:dyDescent="0.2"/>
    <row r="25" spans="2:5" ht="13.5" customHeight="1" x14ac:dyDescent="0.2">
      <c r="B25" s="1950"/>
      <c r="C25" s="1950"/>
      <c r="D25" s="1950"/>
    </row>
    <row r="26" spans="2:5" ht="13.5" customHeight="1" x14ac:dyDescent="0.2">
      <c r="B26" s="1950"/>
      <c r="C26" s="1950"/>
      <c r="D26" s="1950"/>
    </row>
    <row r="27" spans="2:5" ht="13.5" customHeight="1" x14ac:dyDescent="0.2">
      <c r="B27" s="1950"/>
      <c r="C27" s="1950"/>
      <c r="D27" s="19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1"/>
      <c r="C35" s="1951"/>
      <c r="D35" s="1951"/>
    </row>
    <row r="36" spans="2:5" ht="13.5" customHeight="1" x14ac:dyDescent="0.2"/>
    <row r="37" spans="2:5" ht="13.5" customHeight="1" x14ac:dyDescent="0.2">
      <c r="B37" s="1951"/>
      <c r="C37" s="1951"/>
      <c r="D37" s="1951"/>
    </row>
    <row r="38" spans="2:5" ht="13.5" customHeight="1" x14ac:dyDescent="0.2">
      <c r="B38" s="1951"/>
      <c r="C38" s="1951"/>
      <c r="D38" s="1951"/>
    </row>
    <row r="39" spans="2:5" ht="13.5" customHeight="1" x14ac:dyDescent="0.2">
      <c r="B39" s="1951"/>
      <c r="C39" s="1951"/>
      <c r="D39" s="1951"/>
    </row>
    <row r="40" spans="2:5" ht="13.5" customHeight="1" x14ac:dyDescent="0.2">
      <c r="B40" s="1951"/>
      <c r="C40" s="1951"/>
      <c r="D40" s="1951"/>
    </row>
    <row r="41" spans="2:5" ht="13.5" customHeight="1" x14ac:dyDescent="0.2">
      <c r="B41" s="1952"/>
      <c r="C41" s="1952"/>
      <c r="D41" s="1952"/>
      <c r="E41" s="1952"/>
    </row>
    <row r="42" spans="2:5" ht="12.2" customHeight="1" x14ac:dyDescent="0.2">
      <c r="B42" s="1953" t="s">
        <v>2114</v>
      </c>
      <c r="C42" s="1953"/>
      <c r="D42" s="1953"/>
    </row>
    <row r="43" spans="2:5" ht="12.2" customHeight="1" x14ac:dyDescent="0.2">
      <c r="B43" s="1954"/>
      <c r="C43" s="1954"/>
      <c r="D43" s="1954"/>
    </row>
    <row r="44" spans="2:5" ht="12.75" customHeight="1" x14ac:dyDescent="0.2">
      <c r="B44" s="1945"/>
      <c r="C44" s="1945"/>
      <c r="D44" s="1945"/>
    </row>
    <row r="45" spans="2:5" ht="12.75" customHeight="1" x14ac:dyDescent="0.2">
      <c r="B45" s="1945"/>
      <c r="C45" s="1945"/>
      <c r="D45" s="1945"/>
    </row>
    <row r="46" spans="2:5" x14ac:dyDescent="0.2">
      <c r="B46" s="1945"/>
      <c r="C46" s="1945"/>
      <c r="D46" s="1945"/>
    </row>
    <row r="47" spans="2:5" x14ac:dyDescent="0.2">
      <c r="B47" s="1945"/>
      <c r="C47" s="1945"/>
      <c r="D47" s="1945"/>
    </row>
    <row r="51" spans="2:4" x14ac:dyDescent="0.2">
      <c r="B51" s="1955"/>
      <c r="C51" s="1955"/>
      <c r="D51" s="19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6"/>
      <c r="C64" s="1956"/>
      <c r="D64" s="1956"/>
    </row>
    <row r="65" spans="2:4" x14ac:dyDescent="0.2">
      <c r="B65" s="1945"/>
      <c r="C65" s="1945"/>
      <c r="D65" s="1945"/>
    </row>
    <row r="66" spans="2:4" x14ac:dyDescent="0.2">
      <c r="B66" s="1945"/>
      <c r="C66" s="1945"/>
      <c r="D66" s="1945"/>
    </row>
    <row r="67" spans="2:4" x14ac:dyDescent="0.2">
      <c r="B67" s="1956"/>
      <c r="C67" s="1956"/>
      <c r="D67" s="1956"/>
    </row>
    <row r="68" spans="2:4" x14ac:dyDescent="0.2">
      <c r="B68" s="1956"/>
      <c r="C68" s="1956"/>
      <c r="D68" s="1956"/>
    </row>
    <row r="69" spans="2:4" x14ac:dyDescent="0.2">
      <c r="B69" s="1956"/>
      <c r="C69" s="1956"/>
      <c r="D69" s="1956"/>
    </row>
    <row r="70" spans="2:4" x14ac:dyDescent="0.2">
      <c r="B70" s="1945"/>
      <c r="C70" s="1945"/>
      <c r="D70" s="19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L70"/>
  <sheetViews>
    <sheetView showGridLines="0" zoomScale="110" zoomScaleNormal="110" zoomScaleSheetLayoutView="100" workbookViewId="0"/>
  </sheetViews>
  <sheetFormatPr defaultColWidth="9.140625" defaultRowHeight="12.75" x14ac:dyDescent="0.2"/>
  <cols>
    <col min="1" max="1" width="1.5703125" style="1937" customWidth="1"/>
    <col min="2" max="2" width="11.28515625" style="1937" customWidth="1"/>
    <col min="3" max="3" width="6.42578125" style="1937" customWidth="1"/>
    <col min="4" max="4" width="5.42578125" style="1937" customWidth="1"/>
    <col min="5" max="5" width="74.7109375" style="1937" customWidth="1"/>
    <col min="6" max="6" width="1.5703125" style="1937" customWidth="1"/>
    <col min="7" max="8" width="2.42578125" style="1937" customWidth="1"/>
    <col min="9" max="9" width="9.28515625" style="1937" customWidth="1"/>
    <col min="10" max="10" width="14.42578125" style="1937" customWidth="1"/>
    <col min="11" max="11" width="7.28515625" style="1937" customWidth="1"/>
    <col min="12" max="12" width="3.140625" style="1937" customWidth="1"/>
    <col min="13" max="16384" width="9.140625" style="1937"/>
  </cols>
  <sheetData>
    <row r="1" spans="2:12" ht="13.5" customHeight="1" x14ac:dyDescent="0.2">
      <c r="B1" s="2556" t="str">
        <f>'Single Audit Cover'!A7</f>
        <v>Bradford CUSD 1</v>
      </c>
      <c r="C1" s="2556"/>
      <c r="D1" s="2556"/>
      <c r="E1" s="2556"/>
      <c r="F1" s="1936"/>
      <c r="G1" s="1936"/>
      <c r="H1" s="1936"/>
      <c r="I1" s="1936"/>
      <c r="J1" s="1936"/>
      <c r="K1" s="1936"/>
      <c r="L1" s="1936"/>
    </row>
    <row r="2" spans="2:12" ht="13.5" customHeight="1" x14ac:dyDescent="0.2">
      <c r="B2" s="2557">
        <f>'Single Audit Cover'!E7</f>
        <v>28088001026</v>
      </c>
      <c r="C2" s="2557"/>
      <c r="D2" s="2557"/>
      <c r="E2" s="2557"/>
      <c r="F2" s="1938"/>
      <c r="G2" s="1938"/>
      <c r="H2" s="1938"/>
      <c r="I2" s="1938"/>
      <c r="J2" s="1938"/>
      <c r="K2" s="1938"/>
      <c r="L2" s="1938"/>
    </row>
    <row r="3" spans="2:12" ht="13.5" customHeight="1" x14ac:dyDescent="0.2">
      <c r="B3" s="2547" t="s">
        <v>2106</v>
      </c>
      <c r="C3" s="2547"/>
      <c r="D3" s="2547"/>
      <c r="E3" s="2547"/>
      <c r="F3" s="1939"/>
      <c r="G3" s="1939"/>
      <c r="H3" s="1939"/>
      <c r="I3" s="1939"/>
      <c r="J3" s="1939"/>
      <c r="K3" s="1939"/>
      <c r="L3" s="1939"/>
    </row>
    <row r="4" spans="2:12" ht="13.5" customHeight="1" x14ac:dyDescent="0.2">
      <c r="B4" s="2567" t="s">
        <v>1989</v>
      </c>
      <c r="C4" s="2567"/>
      <c r="D4" s="2567"/>
      <c r="E4" s="2567"/>
      <c r="F4" s="1940"/>
      <c r="G4" s="1940"/>
      <c r="H4" s="1940"/>
      <c r="I4" s="1940"/>
      <c r="J4" s="1940"/>
      <c r="K4" s="1940"/>
      <c r="L4" s="1940"/>
    </row>
    <row r="5" spans="2:12" ht="29.85" customHeight="1" x14ac:dyDescent="0.2"/>
    <row r="6" spans="2:12" ht="13.5" customHeight="1" x14ac:dyDescent="0.2">
      <c r="B6" s="1941" t="s">
        <v>2107</v>
      </c>
      <c r="C6" s="1941"/>
      <c r="D6" s="1942"/>
      <c r="E6" s="1943"/>
      <c r="F6" s="1943"/>
      <c r="G6" s="1944"/>
      <c r="H6" s="1944"/>
      <c r="I6" s="1944"/>
    </row>
    <row r="7" spans="2:12" ht="13.5" customHeight="1" x14ac:dyDescent="0.2">
      <c r="B7" s="1937" t="s">
        <v>1169</v>
      </c>
    </row>
    <row r="8" spans="2:12" ht="13.5" customHeight="1" x14ac:dyDescent="0.2">
      <c r="B8" s="1945" t="s">
        <v>2108</v>
      </c>
      <c r="C8" s="1946" t="s">
        <v>1991</v>
      </c>
      <c r="D8" s="1947">
        <v>5</v>
      </c>
    </row>
    <row r="9" spans="2:12" ht="13.5" customHeight="1" x14ac:dyDescent="0.2">
      <c r="B9" s="1948"/>
      <c r="C9" s="1948"/>
      <c r="D9" s="1948"/>
    </row>
    <row r="10" spans="2:12" ht="13.5" customHeight="1" x14ac:dyDescent="0.2">
      <c r="B10" s="1945" t="s">
        <v>2109</v>
      </c>
      <c r="C10" s="1945"/>
    </row>
    <row r="11" spans="2:12" ht="66.75" customHeight="1" x14ac:dyDescent="0.2">
      <c r="B11" s="2543" t="str">
        <f>+'Finding 2019-005'!B17:K17</f>
        <v>The treasurer's bond did not cover 25% of the highest available cash and investment balance.</v>
      </c>
      <c r="C11" s="2543"/>
      <c r="D11" s="2543"/>
      <c r="E11" s="2543"/>
    </row>
    <row r="12" spans="2:12" ht="13.5" customHeight="1" x14ac:dyDescent="0.2"/>
    <row r="13" spans="2:12" ht="13.5" customHeight="1" x14ac:dyDescent="0.2">
      <c r="B13" s="1945" t="s">
        <v>2110</v>
      </c>
      <c r="C13" s="1945"/>
    </row>
    <row r="14" spans="2:12" ht="76.5" customHeight="1" x14ac:dyDescent="0.2">
      <c r="B14" s="2543" t="s">
        <v>2184</v>
      </c>
      <c r="C14" s="2543"/>
      <c r="D14" s="2543"/>
      <c r="E14" s="2543"/>
    </row>
    <row r="15" spans="2:12" ht="13.5" customHeight="1" x14ac:dyDescent="0.2"/>
    <row r="16" spans="2:12" ht="13.5" customHeight="1" x14ac:dyDescent="0.2">
      <c r="B16" s="1945" t="s">
        <v>2111</v>
      </c>
      <c r="C16" s="1945"/>
      <c r="E16" s="2005" t="s">
        <v>2132</v>
      </c>
    </row>
    <row r="17" spans="2:5" ht="13.5" customHeight="1" x14ac:dyDescent="0.2"/>
    <row r="18" spans="2:5" ht="13.5" customHeight="1" x14ac:dyDescent="0.2">
      <c r="B18" s="1945" t="s">
        <v>2112</v>
      </c>
      <c r="C18" s="1945"/>
      <c r="E18" s="1949" t="s">
        <v>2116</v>
      </c>
    </row>
    <row r="19" spans="2:5" ht="13.5" customHeight="1" x14ac:dyDescent="0.2"/>
    <row r="20" spans="2:5" ht="13.5" customHeight="1" x14ac:dyDescent="0.2">
      <c r="B20" s="1945" t="s">
        <v>2113</v>
      </c>
      <c r="C20" s="1945"/>
      <c r="E20" s="1949" t="s">
        <v>2176</v>
      </c>
    </row>
    <row r="21" spans="2:5" ht="13.5" customHeight="1" x14ac:dyDescent="0.2">
      <c r="E21" s="1949"/>
    </row>
    <row r="22" spans="2:5" ht="13.5" customHeight="1" x14ac:dyDescent="0.2">
      <c r="E22" s="1949"/>
    </row>
    <row r="23" spans="2:5" ht="13.5" customHeight="1" x14ac:dyDescent="0.2"/>
    <row r="24" spans="2:5" ht="13.5" customHeight="1" x14ac:dyDescent="0.2"/>
    <row r="25" spans="2:5" ht="13.5" customHeight="1" x14ac:dyDescent="0.2">
      <c r="B25" s="1950"/>
      <c r="C25" s="1950"/>
      <c r="D25" s="1950"/>
    </row>
    <row r="26" spans="2:5" ht="13.5" customHeight="1" x14ac:dyDescent="0.2">
      <c r="B26" s="1950"/>
      <c r="C26" s="1950"/>
      <c r="D26" s="1950"/>
    </row>
    <row r="27" spans="2:5" ht="13.5" customHeight="1" x14ac:dyDescent="0.2">
      <c r="B27" s="1950"/>
      <c r="C27" s="1950"/>
      <c r="D27" s="19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1"/>
      <c r="C35" s="1951"/>
      <c r="D35" s="1951"/>
    </row>
    <row r="36" spans="2:5" ht="13.5" customHeight="1" x14ac:dyDescent="0.2"/>
    <row r="37" spans="2:5" ht="13.5" customHeight="1" x14ac:dyDescent="0.2">
      <c r="B37" s="1951"/>
      <c r="C37" s="1951"/>
      <c r="D37" s="1951"/>
    </row>
    <row r="38" spans="2:5" ht="13.5" customHeight="1" x14ac:dyDescent="0.2">
      <c r="B38" s="1951"/>
      <c r="C38" s="1951"/>
      <c r="D38" s="1951"/>
    </row>
    <row r="39" spans="2:5" ht="13.5" customHeight="1" x14ac:dyDescent="0.2">
      <c r="B39" s="1951"/>
      <c r="C39" s="1951"/>
      <c r="D39" s="1951"/>
    </row>
    <row r="40" spans="2:5" ht="13.5" customHeight="1" x14ac:dyDescent="0.2">
      <c r="B40" s="1951"/>
      <c r="C40" s="1951"/>
      <c r="D40" s="1951"/>
    </row>
    <row r="41" spans="2:5" ht="13.5" customHeight="1" x14ac:dyDescent="0.2">
      <c r="B41" s="1952"/>
      <c r="C41" s="1952"/>
      <c r="D41" s="1952"/>
      <c r="E41" s="1952"/>
    </row>
    <row r="42" spans="2:5" ht="12.2" customHeight="1" x14ac:dyDescent="0.2">
      <c r="B42" s="1953" t="s">
        <v>2114</v>
      </c>
      <c r="C42" s="1953"/>
      <c r="D42" s="1953"/>
    </row>
    <row r="43" spans="2:5" ht="12.2" customHeight="1" x14ac:dyDescent="0.2">
      <c r="B43" s="1954"/>
      <c r="C43" s="1954"/>
      <c r="D43" s="1954"/>
    </row>
    <row r="44" spans="2:5" ht="12.75" customHeight="1" x14ac:dyDescent="0.2">
      <c r="B44" s="1945"/>
      <c r="C44" s="1945"/>
      <c r="D44" s="1945"/>
    </row>
    <row r="45" spans="2:5" ht="12.75" customHeight="1" x14ac:dyDescent="0.2">
      <c r="B45" s="1945"/>
      <c r="C45" s="1945"/>
      <c r="D45" s="1945"/>
    </row>
    <row r="46" spans="2:5" x14ac:dyDescent="0.2">
      <c r="B46" s="1945"/>
      <c r="C46" s="1945"/>
      <c r="D46" s="1945"/>
    </row>
    <row r="47" spans="2:5" x14ac:dyDescent="0.2">
      <c r="B47" s="1945"/>
      <c r="C47" s="1945"/>
      <c r="D47" s="1945"/>
    </row>
    <row r="51" spans="2:4" x14ac:dyDescent="0.2">
      <c r="B51" s="1955"/>
      <c r="C51" s="1955"/>
      <c r="D51" s="19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6"/>
      <c r="C64" s="1956"/>
      <c r="D64" s="1956"/>
    </row>
    <row r="65" spans="2:4" x14ac:dyDescent="0.2">
      <c r="B65" s="1945"/>
      <c r="C65" s="1945"/>
      <c r="D65" s="1945"/>
    </row>
    <row r="66" spans="2:4" x14ac:dyDescent="0.2">
      <c r="B66" s="1945"/>
      <c r="C66" s="1945"/>
      <c r="D66" s="1945"/>
    </row>
    <row r="67" spans="2:4" x14ac:dyDescent="0.2">
      <c r="B67" s="1956"/>
      <c r="C67" s="1956"/>
      <c r="D67" s="1956"/>
    </row>
    <row r="68" spans="2:4" x14ac:dyDescent="0.2">
      <c r="B68" s="1956"/>
      <c r="C68" s="1956"/>
      <c r="D68" s="1956"/>
    </row>
    <row r="69" spans="2:4" x14ac:dyDescent="0.2">
      <c r="B69" s="1956"/>
      <c r="C69" s="1956"/>
      <c r="D69" s="1956"/>
    </row>
    <row r="70" spans="2:4" x14ac:dyDescent="0.2">
      <c r="B70" s="1945"/>
      <c r="C70" s="1945"/>
      <c r="D70" s="19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8"/>
      <c r="B1" s="2169"/>
      <c r="C1" s="2169"/>
      <c r="D1" s="384"/>
      <c r="E1" s="384"/>
      <c r="F1" s="384"/>
      <c r="G1" s="384"/>
      <c r="H1" s="384"/>
      <c r="I1" s="384"/>
      <c r="J1" s="384"/>
      <c r="K1" s="384"/>
      <c r="L1" s="384"/>
      <c r="M1" s="384"/>
      <c r="N1" s="384"/>
      <c r="O1" s="2168"/>
      <c r="P1" s="2169"/>
      <c r="Q1" s="2169"/>
    </row>
    <row r="2" spans="1:18" ht="15" x14ac:dyDescent="0.2">
      <c r="A2" s="2172" t="s">
        <v>556</v>
      </c>
      <c r="B2" s="2172"/>
      <c r="C2" s="2172"/>
      <c r="D2" s="2172"/>
      <c r="E2" s="2172"/>
      <c r="F2" s="2172"/>
      <c r="G2" s="2172"/>
      <c r="H2" s="2172"/>
      <c r="I2" s="2172"/>
      <c r="J2" s="2172"/>
      <c r="K2" s="2172"/>
      <c r="L2" s="2172"/>
      <c r="M2" s="2172"/>
      <c r="N2" s="2172"/>
      <c r="O2" s="2172"/>
      <c r="P2" s="2172"/>
      <c r="Q2" s="2172"/>
      <c r="R2" s="2172"/>
    </row>
    <row r="3" spans="1:18" ht="12.75" x14ac:dyDescent="0.2">
      <c r="A3" s="2173" t="s">
        <v>1413</v>
      </c>
      <c r="B3" s="2173"/>
      <c r="C3" s="2173"/>
      <c r="D3" s="2173"/>
      <c r="E3" s="2173"/>
      <c r="F3" s="2173"/>
      <c r="G3" s="2173"/>
      <c r="H3" s="2173"/>
      <c r="I3" s="2173"/>
      <c r="J3" s="2173"/>
      <c r="K3" s="2173"/>
      <c r="L3" s="2173"/>
      <c r="M3" s="2173"/>
      <c r="N3" s="2173"/>
      <c r="O3" s="2173"/>
      <c r="P3" s="2173"/>
      <c r="Q3" s="2173"/>
      <c r="R3" s="2173"/>
    </row>
    <row r="4" spans="1:18" x14ac:dyDescent="0.2">
      <c r="A4" s="2174" t="s">
        <v>1554</v>
      </c>
      <c r="B4" s="2174"/>
      <c r="C4" s="2174"/>
      <c r="D4" s="2174"/>
      <c r="E4" s="2174"/>
      <c r="F4" s="2174"/>
      <c r="G4" s="2174"/>
      <c r="H4" s="2174"/>
      <c r="I4" s="2174"/>
      <c r="J4" s="2174"/>
      <c r="K4" s="2174"/>
      <c r="L4" s="2174"/>
      <c r="M4" s="2174"/>
      <c r="N4" s="2174"/>
      <c r="O4" s="2174"/>
      <c r="P4" s="2174"/>
      <c r="Q4" s="2174"/>
      <c r="R4" s="217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Bradford CUSD 1</v>
      </c>
      <c r="E7" s="391"/>
      <c r="G7" s="252"/>
      <c r="H7" s="387"/>
      <c r="I7" s="387"/>
      <c r="J7" s="387"/>
      <c r="K7" s="387"/>
      <c r="L7" s="329"/>
      <c r="M7" s="329"/>
      <c r="N7" s="329"/>
      <c r="O7" s="329"/>
      <c r="P7" s="329"/>
    </row>
    <row r="8" spans="1:18" ht="12.75" x14ac:dyDescent="0.2">
      <c r="A8" s="329"/>
      <c r="B8" s="329"/>
      <c r="C8" s="389" t="s">
        <v>1125</v>
      </c>
      <c r="D8" s="392">
        <f>COVER!A13</f>
        <v>28088001026</v>
      </c>
      <c r="E8" s="393"/>
      <c r="G8" s="329"/>
      <c r="H8" s="329"/>
      <c r="I8" s="329"/>
      <c r="J8" s="329"/>
      <c r="K8" s="329"/>
      <c r="L8" s="329"/>
      <c r="M8" s="329"/>
      <c r="N8" s="329"/>
      <c r="O8" s="329"/>
      <c r="P8" s="329"/>
    </row>
    <row r="9" spans="1:18" ht="12.75" x14ac:dyDescent="0.2">
      <c r="A9" s="329"/>
      <c r="B9" s="329"/>
      <c r="C9" s="389" t="s">
        <v>713</v>
      </c>
      <c r="D9" s="394" t="str">
        <f>COVER!A15</f>
        <v>Stark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3553866</v>
      </c>
      <c r="I12" s="404"/>
      <c r="J12" s="404"/>
      <c r="K12" s="405">
        <f>TRUNC((H12/H13*100000),5)/100000</f>
        <v>1.1103947048</v>
      </c>
      <c r="L12" s="406"/>
      <c r="M12" s="360" t="s">
        <v>1144</v>
      </c>
      <c r="N12" s="360"/>
      <c r="O12" s="407">
        <v>0.35</v>
      </c>
      <c r="P12" s="218"/>
      <c r="Q12" s="218"/>
    </row>
    <row r="13" spans="1:18" s="408" customFormat="1" ht="12.75" x14ac:dyDescent="0.2">
      <c r="A13" s="218"/>
      <c r="B13" s="401"/>
      <c r="C13" s="2170" t="s">
        <v>1324</v>
      </c>
      <c r="D13" s="2171"/>
      <c r="E13" s="218"/>
      <c r="F13" s="409" t="s">
        <v>793</v>
      </c>
      <c r="G13" s="402"/>
      <c r="H13" s="403">
        <f>SUM('Acct Summary 7-8'!C8+'Acct Summary 7-8'!D8+'Acct Summary 7-8'!F8+'Acct Summary 7-8'!I8)+H14</f>
        <v>3200543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2364565</v>
      </c>
      <c r="I17" s="404"/>
      <c r="J17" s="416"/>
      <c r="K17" s="405">
        <f>TRUNC((H17/H18*100000),5)/100000</f>
        <v>0.73880119710000003</v>
      </c>
      <c r="L17" s="406"/>
      <c r="M17" s="417" t="s">
        <v>1171</v>
      </c>
      <c r="O17" s="418" t="str">
        <f>IF(AND(O16="2", J20 &gt; 2),"1",IF(AND(O16 = "1", J20 &gt; 2),"2",IF(AND(O16="1", J20 &gt;1),"1","0")))</f>
        <v>0</v>
      </c>
      <c r="P17" s="218"/>
    </row>
    <row r="18" spans="1:18" s="408" customFormat="1" ht="11.25" x14ac:dyDescent="0.2">
      <c r="A18" s="218"/>
      <c r="B18" s="401"/>
      <c r="C18" s="2170" t="s">
        <v>1317</v>
      </c>
      <c r="D18" s="2171"/>
      <c r="E18" s="218"/>
      <c r="F18" s="419" t="s">
        <v>794</v>
      </c>
      <c r="G18" s="402"/>
      <c r="H18" s="403">
        <f>SUM('Acct Summary 7-8'!C8+'Acct Summary 7-8'!D8+'Acct Summary 7-8'!F8+'Acct Summary 7-8'!I8)+H19</f>
        <v>3200543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67" t="s">
        <v>1412</v>
      </c>
      <c r="D24" s="2167"/>
      <c r="E24" s="218"/>
      <c r="F24" s="218" t="s">
        <v>445</v>
      </c>
      <c r="G24" s="402"/>
      <c r="H24" s="403">
        <f>SUM('Assets-Liab 5-6'!C4+'Assets-Liab 5-6'!D4+'Assets-Liab 5-6'!F4+'Assets-Liab 5-6'!I4+'Assets-Liab 5-6'!C5+'Assets-Liab 5-6'!D5+'Assets-Liab 5-6'!F5+'Assets-Liab 5-6'!I5)</f>
        <v>3553866</v>
      </c>
      <c r="I24" s="422"/>
      <c r="J24" s="422"/>
      <c r="K24" s="423">
        <f>TRUNC(((H24/H25*100000)/100000),2)</f>
        <v>541.05999999999995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6568.2361099999998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1988954.07323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8431136.9100000001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E20" sqref="AE20"/>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7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7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7" t="s">
        <v>973</v>
      </c>
      <c r="B3" s="2178"/>
      <c r="C3" s="1556"/>
      <c r="D3" s="1557"/>
      <c r="E3" s="1557"/>
      <c r="F3" s="1557"/>
      <c r="G3" s="1557"/>
      <c r="H3" s="1557"/>
      <c r="I3" s="1557"/>
      <c r="J3" s="1557"/>
      <c r="K3" s="1557"/>
      <c r="L3" s="1557"/>
      <c r="M3" s="1558"/>
      <c r="N3" s="1559"/>
    </row>
    <row r="4" spans="1:14" ht="13.5" customHeight="1" x14ac:dyDescent="0.2">
      <c r="A4" s="463" t="s">
        <v>1651</v>
      </c>
      <c r="B4" s="464"/>
      <c r="C4" s="465">
        <v>1791300</v>
      </c>
      <c r="D4" s="465">
        <v>836474</v>
      </c>
      <c r="E4" s="465">
        <v>494</v>
      </c>
      <c r="F4" s="465">
        <v>687262</v>
      </c>
      <c r="G4" s="465">
        <v>69381</v>
      </c>
      <c r="H4" s="465">
        <v>0</v>
      </c>
      <c r="I4" s="465">
        <v>201893</v>
      </c>
      <c r="J4" s="465">
        <v>364911</v>
      </c>
      <c r="K4" s="465">
        <v>86484</v>
      </c>
      <c r="L4" s="465">
        <v>15246</v>
      </c>
      <c r="M4" s="468"/>
      <c r="N4" s="469"/>
    </row>
    <row r="5" spans="1:14" x14ac:dyDescent="0.2">
      <c r="A5" s="463" t="s">
        <v>992</v>
      </c>
      <c r="B5" s="470">
        <v>120</v>
      </c>
      <c r="C5" s="465">
        <v>0</v>
      </c>
      <c r="D5" s="465">
        <v>0</v>
      </c>
      <c r="E5" s="465">
        <v>0</v>
      </c>
      <c r="F5" s="465">
        <v>0</v>
      </c>
      <c r="G5" s="465">
        <v>0</v>
      </c>
      <c r="H5" s="465">
        <v>0</v>
      </c>
      <c r="I5" s="465">
        <v>36937</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1791300</v>
      </c>
      <c r="D13" s="1734">
        <f t="shared" ref="D13:L13" si="0">SUM(D4:D12)</f>
        <v>836474</v>
      </c>
      <c r="E13" s="1734">
        <f t="shared" si="0"/>
        <v>494</v>
      </c>
      <c r="F13" s="1734">
        <f t="shared" si="0"/>
        <v>687262</v>
      </c>
      <c r="G13" s="1734">
        <f t="shared" si="0"/>
        <v>69381</v>
      </c>
      <c r="H13" s="1734">
        <f t="shared" si="0"/>
        <v>0</v>
      </c>
      <c r="I13" s="1734">
        <f t="shared" si="0"/>
        <v>238830</v>
      </c>
      <c r="J13" s="1734">
        <f t="shared" si="0"/>
        <v>364911</v>
      </c>
      <c r="K13" s="1734">
        <f t="shared" si="0"/>
        <v>86484</v>
      </c>
      <c r="L13" s="1734">
        <f t="shared" si="0"/>
        <v>15246</v>
      </c>
      <c r="M13" s="468"/>
      <c r="N13" s="469"/>
    </row>
    <row r="14" spans="1:14" ht="18" customHeight="1" thickTop="1" x14ac:dyDescent="0.2">
      <c r="A14" s="2179" t="s">
        <v>147</v>
      </c>
      <c r="B14" s="2180"/>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277145</v>
      </c>
      <c r="N16" s="482"/>
    </row>
    <row r="17" spans="1:14" s="483" customFormat="1" ht="12.75" customHeight="1" x14ac:dyDescent="0.2">
      <c r="A17" s="480" t="s">
        <v>1403</v>
      </c>
      <c r="B17" s="481">
        <v>230</v>
      </c>
      <c r="C17" s="475"/>
      <c r="D17" s="475"/>
      <c r="E17" s="475"/>
      <c r="F17" s="475"/>
      <c r="G17" s="475"/>
      <c r="H17" s="475"/>
      <c r="I17" s="475"/>
      <c r="J17" s="475"/>
      <c r="K17" s="475"/>
      <c r="L17" s="475"/>
      <c r="M17" s="465">
        <v>4030039</v>
      </c>
      <c r="N17" s="482"/>
    </row>
    <row r="18" spans="1:14" s="483" customFormat="1" ht="12.75" customHeight="1" x14ac:dyDescent="0.2">
      <c r="A18" s="480" t="s">
        <v>1404</v>
      </c>
      <c r="B18" s="481">
        <v>240</v>
      </c>
      <c r="C18" s="475"/>
      <c r="D18" s="475"/>
      <c r="E18" s="475"/>
      <c r="F18" s="475"/>
      <c r="G18" s="475"/>
      <c r="H18" s="475"/>
      <c r="I18" s="475"/>
      <c r="J18" s="475"/>
      <c r="K18" s="475"/>
      <c r="L18" s="475"/>
      <c r="M18" s="465">
        <v>39881</v>
      </c>
      <c r="N18" s="482"/>
    </row>
    <row r="19" spans="1:14" s="483" customFormat="1" ht="12.75" customHeight="1" x14ac:dyDescent="0.2">
      <c r="A19" s="480" t="s">
        <v>1405</v>
      </c>
      <c r="B19" s="481">
        <v>250</v>
      </c>
      <c r="C19" s="475"/>
      <c r="D19" s="475"/>
      <c r="E19" s="475"/>
      <c r="F19" s="475"/>
      <c r="G19" s="475"/>
      <c r="H19" s="475"/>
      <c r="I19" s="475"/>
      <c r="J19" s="475"/>
      <c r="K19" s="475"/>
      <c r="L19" s="475"/>
      <c r="M19" s="465">
        <v>247328</v>
      </c>
      <c r="N19" s="482"/>
    </row>
    <row r="20" spans="1:14" s="483" customFormat="1" ht="12.75" customHeight="1" x14ac:dyDescent="0.2">
      <c r="A20" s="480" t="s">
        <v>1406</v>
      </c>
      <c r="B20" s="481">
        <v>260</v>
      </c>
      <c r="C20" s="475"/>
      <c r="D20" s="475"/>
      <c r="E20" s="475"/>
      <c r="F20" s="475"/>
      <c r="G20" s="475"/>
      <c r="H20" s="475"/>
      <c r="I20" s="475"/>
      <c r="J20" s="475"/>
      <c r="K20" s="475"/>
      <c r="L20" s="475"/>
      <c r="M20" s="465">
        <v>20000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494</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-494</v>
      </c>
    </row>
    <row r="23" spans="1:14" ht="13.5" customHeight="1" thickBot="1" x14ac:dyDescent="0.25">
      <c r="A23" s="1733" t="s">
        <v>643</v>
      </c>
      <c r="B23" s="1738"/>
      <c r="C23" s="468"/>
      <c r="D23" s="468"/>
      <c r="E23" s="468"/>
      <c r="F23" s="468"/>
      <c r="G23" s="468"/>
      <c r="H23" s="468"/>
      <c r="I23" s="468"/>
      <c r="J23" s="468"/>
      <c r="K23" s="468"/>
      <c r="L23" s="468"/>
      <c r="M23" s="1685">
        <f>SUM(M15:M22)</f>
        <v>4614393</v>
      </c>
      <c r="N23" s="1685">
        <f>SUM(N21:N22)</f>
        <v>0</v>
      </c>
    </row>
    <row r="24" spans="1:14" ht="18" customHeight="1" thickTop="1" x14ac:dyDescent="0.2">
      <c r="A24" s="2181" t="s">
        <v>598</v>
      </c>
      <c r="B24" s="2182"/>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15246</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15246</v>
      </c>
      <c r="M34" s="468"/>
      <c r="N34" s="478"/>
    </row>
    <row r="35" spans="1:14" ht="18" customHeight="1" thickTop="1" x14ac:dyDescent="0.2">
      <c r="A35" s="2183" t="s">
        <v>529</v>
      </c>
      <c r="B35" s="2184"/>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97978</v>
      </c>
      <c r="D38" s="465">
        <v>0</v>
      </c>
      <c r="E38" s="465">
        <v>0</v>
      </c>
      <c r="F38" s="465">
        <v>0</v>
      </c>
      <c r="G38" s="465">
        <v>33151</v>
      </c>
      <c r="H38" s="465">
        <v>0</v>
      </c>
      <c r="I38" s="465">
        <v>0</v>
      </c>
      <c r="J38" s="465">
        <v>0</v>
      </c>
      <c r="K38" s="465">
        <v>0</v>
      </c>
      <c r="L38" s="465">
        <v>0</v>
      </c>
      <c r="M38" s="494"/>
      <c r="N38" s="494"/>
    </row>
    <row r="39" spans="1:14" s="329" customFormat="1" ht="13.5" customHeight="1" x14ac:dyDescent="0.2">
      <c r="A39" s="493" t="s">
        <v>342</v>
      </c>
      <c r="B39" s="481">
        <v>730</v>
      </c>
      <c r="C39" s="465">
        <v>1693322</v>
      </c>
      <c r="D39" s="465">
        <v>836474</v>
      </c>
      <c r="E39" s="465">
        <v>494</v>
      </c>
      <c r="F39" s="465">
        <v>687262</v>
      </c>
      <c r="G39" s="465">
        <v>36230</v>
      </c>
      <c r="H39" s="465">
        <v>0</v>
      </c>
      <c r="I39" s="465">
        <v>238830</v>
      </c>
      <c r="J39" s="465">
        <v>364911</v>
      </c>
      <c r="K39" s="465">
        <v>86484</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4614393</v>
      </c>
      <c r="N40" s="494"/>
    </row>
    <row r="41" spans="1:14" ht="13.5" customHeight="1" thickBot="1" x14ac:dyDescent="0.25">
      <c r="A41" s="1733" t="s">
        <v>655</v>
      </c>
      <c r="B41" s="1703"/>
      <c r="C41" s="1685">
        <f>(SUM(C34,C37,C38,C39))</f>
        <v>1791300</v>
      </c>
      <c r="D41" s="1685">
        <f t="shared" ref="D41:L41" si="2">SUM(D34,D37,D38:D39)</f>
        <v>836474</v>
      </c>
      <c r="E41" s="1685">
        <f t="shared" si="2"/>
        <v>494</v>
      </c>
      <c r="F41" s="1685">
        <f t="shared" si="2"/>
        <v>687262</v>
      </c>
      <c r="G41" s="1685">
        <f t="shared" si="2"/>
        <v>69381</v>
      </c>
      <c r="H41" s="1685">
        <f t="shared" si="2"/>
        <v>0</v>
      </c>
      <c r="I41" s="1685">
        <f t="shared" si="2"/>
        <v>238830</v>
      </c>
      <c r="J41" s="1685">
        <f t="shared" si="2"/>
        <v>364911</v>
      </c>
      <c r="K41" s="1685">
        <f t="shared" si="2"/>
        <v>86484</v>
      </c>
      <c r="L41" s="1685">
        <f t="shared" si="2"/>
        <v>15246</v>
      </c>
      <c r="M41" s="1685">
        <f>SUM(M40)</f>
        <v>4614393</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E20" sqref="AE20"/>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93"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94"/>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05" t="s">
        <v>1175</v>
      </c>
      <c r="B3" s="2206"/>
      <c r="C3" s="1570"/>
      <c r="D3" s="1571"/>
      <c r="E3" s="1571"/>
      <c r="F3" s="1571"/>
      <c r="G3" s="1571"/>
      <c r="H3" s="1571"/>
      <c r="I3" s="1571"/>
      <c r="J3" s="1571"/>
      <c r="K3" s="1572"/>
      <c r="L3" s="503"/>
    </row>
    <row r="4" spans="1:13" ht="15.75" customHeight="1" x14ac:dyDescent="0.2">
      <c r="A4" s="1925" t="s">
        <v>1499</v>
      </c>
      <c r="B4" s="1926">
        <v>1000</v>
      </c>
      <c r="C4" s="1739">
        <f>'Revenues 9-14'!C109</f>
        <v>2045477</v>
      </c>
      <c r="D4" s="1739">
        <f>'Revenues 9-14'!D109</f>
        <v>311021</v>
      </c>
      <c r="E4" s="1739">
        <f>'Revenues 9-14'!E109</f>
        <v>54766</v>
      </c>
      <c r="F4" s="1739">
        <f>'Revenues 9-14'!F109</f>
        <v>125883</v>
      </c>
      <c r="G4" s="1739">
        <f>'Revenues 9-14'!G109</f>
        <v>81417</v>
      </c>
      <c r="H4" s="1739">
        <f>'Revenues 9-14'!H109</f>
        <v>0</v>
      </c>
      <c r="I4" s="1739">
        <f>'Revenues 9-14'!I109</f>
        <v>31863</v>
      </c>
      <c r="J4" s="1739">
        <f>'Revenues 9-14'!J109</f>
        <v>194875</v>
      </c>
      <c r="K4" s="1739">
        <f>'Revenues 9-14'!K109</f>
        <v>30665</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357884</v>
      </c>
      <c r="D6" s="1740">
        <f>'Revenues 9-14'!D170</f>
        <v>0</v>
      </c>
      <c r="E6" s="1740">
        <f>'Revenues 9-14'!E170</f>
        <v>0</v>
      </c>
      <c r="F6" s="1740">
        <f>'Revenues 9-14'!F170</f>
        <v>115826</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212589</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2615950</v>
      </c>
      <c r="D8" s="1685">
        <f t="shared" ref="D8:K8" si="0">SUM(D4:D7)</f>
        <v>311021</v>
      </c>
      <c r="E8" s="1685">
        <f t="shared" si="0"/>
        <v>54766</v>
      </c>
      <c r="F8" s="1685">
        <f t="shared" si="0"/>
        <v>241709</v>
      </c>
      <c r="G8" s="1685">
        <f t="shared" si="0"/>
        <v>81417</v>
      </c>
      <c r="H8" s="1685">
        <f t="shared" si="0"/>
        <v>0</v>
      </c>
      <c r="I8" s="1685">
        <f t="shared" si="0"/>
        <v>31863</v>
      </c>
      <c r="J8" s="1685">
        <f t="shared" si="0"/>
        <v>194875</v>
      </c>
      <c r="K8" s="1685">
        <f t="shared" si="0"/>
        <v>30665</v>
      </c>
      <c r="L8" s="347"/>
    </row>
    <row r="9" spans="1:13" ht="15.75" thickTop="1" x14ac:dyDescent="0.2">
      <c r="A9" s="511" t="s">
        <v>1653</v>
      </c>
      <c r="B9" s="512">
        <v>3998</v>
      </c>
      <c r="C9" s="465">
        <v>499178</v>
      </c>
      <c r="D9" s="513"/>
      <c r="E9" s="479"/>
      <c r="F9" s="479"/>
      <c r="G9" s="514"/>
      <c r="H9" s="479"/>
      <c r="I9" s="506" t="s">
        <v>1169</v>
      </c>
      <c r="J9" s="476"/>
      <c r="K9" s="479"/>
      <c r="L9" s="347"/>
    </row>
    <row r="10" spans="1:13" s="516" customFormat="1" ht="13.5" thickBot="1" x14ac:dyDescent="0.25">
      <c r="A10" s="1733" t="s">
        <v>1173</v>
      </c>
      <c r="B10" s="1706"/>
      <c r="C10" s="1685">
        <f>SUM(C8:C9)</f>
        <v>3115128</v>
      </c>
      <c r="D10" s="1685">
        <f t="shared" ref="D10:K10" si="1">SUM(D8:D9)</f>
        <v>311021</v>
      </c>
      <c r="E10" s="1685">
        <f t="shared" si="1"/>
        <v>54766</v>
      </c>
      <c r="F10" s="1685">
        <f t="shared" si="1"/>
        <v>241709</v>
      </c>
      <c r="G10" s="1685">
        <f t="shared" si="1"/>
        <v>81417</v>
      </c>
      <c r="H10" s="1685">
        <f t="shared" si="1"/>
        <v>0</v>
      </c>
      <c r="I10" s="1685">
        <f t="shared" si="1"/>
        <v>31863</v>
      </c>
      <c r="J10" s="1685">
        <f t="shared" si="1"/>
        <v>194875</v>
      </c>
      <c r="K10" s="1685">
        <f t="shared" si="1"/>
        <v>30665</v>
      </c>
      <c r="L10" s="515"/>
    </row>
    <row r="11" spans="1:13" s="516" customFormat="1" ht="16.7" customHeight="1" thickTop="1" x14ac:dyDescent="0.2">
      <c r="A11" s="2179" t="s">
        <v>1176</v>
      </c>
      <c r="B11" s="2180"/>
      <c r="C11" s="1567"/>
      <c r="D11" s="1568"/>
      <c r="E11" s="1568"/>
      <c r="F11" s="1568"/>
      <c r="G11" s="1568"/>
      <c r="H11" s="1568"/>
      <c r="I11" s="1568"/>
      <c r="J11" s="1568"/>
      <c r="K11" s="1569"/>
      <c r="L11" s="515"/>
    </row>
    <row r="12" spans="1:13" ht="15.75" customHeight="1" x14ac:dyDescent="0.2">
      <c r="A12" s="1573" t="s">
        <v>456</v>
      </c>
      <c r="B12" s="1575">
        <v>1000</v>
      </c>
      <c r="C12" s="1739">
        <f>'Expenditures 15-22'!K33</f>
        <v>893329</v>
      </c>
      <c r="D12" s="517" t="s">
        <v>1169</v>
      </c>
      <c r="E12" s="468" t="s">
        <v>1169</v>
      </c>
      <c r="F12" s="468" t="s">
        <v>1169</v>
      </c>
      <c r="G12" s="1739">
        <f>'Expenditures 15-22'!K229</f>
        <v>18315</v>
      </c>
      <c r="H12" s="518"/>
      <c r="I12" s="468" t="s">
        <v>1169</v>
      </c>
      <c r="J12" s="468" t="s">
        <v>1169</v>
      </c>
      <c r="K12" s="518" t="s">
        <v>1169</v>
      </c>
      <c r="L12" s="347"/>
    </row>
    <row r="13" spans="1:13" ht="15.75" customHeight="1" x14ac:dyDescent="0.2">
      <c r="A13" s="1573" t="s">
        <v>457</v>
      </c>
      <c r="B13" s="1575">
        <v>2000</v>
      </c>
      <c r="C13" s="1740">
        <f>'Expenditures 15-22'!K74</f>
        <v>365173</v>
      </c>
      <c r="D13" s="1740">
        <f>'Expenditures 15-22'!K129</f>
        <v>193239</v>
      </c>
      <c r="E13" s="469" t="s">
        <v>1169</v>
      </c>
      <c r="F13" s="1740">
        <f>'Expenditures 15-22'!K184</f>
        <v>164013</v>
      </c>
      <c r="G13" s="1740">
        <f>'Expenditures 15-22'!K279</f>
        <v>41938</v>
      </c>
      <c r="H13" s="1740">
        <f>'Expenditures 15-22'!K303</f>
        <v>0</v>
      </c>
      <c r="I13" s="468" t="s">
        <v>1169</v>
      </c>
      <c r="J13" s="1740">
        <f>'Expenditures 15-22'!K330</f>
        <v>164931</v>
      </c>
      <c r="K13" s="1744">
        <f>'Expenditures 15-22'!K352</f>
        <v>2537</v>
      </c>
      <c r="L13" s="347"/>
    </row>
    <row r="14" spans="1:13" ht="15.75" customHeight="1" x14ac:dyDescent="0.2">
      <c r="A14" s="1573" t="s">
        <v>449</v>
      </c>
      <c r="B14" s="1575">
        <v>3000</v>
      </c>
      <c r="C14" s="1740">
        <f>'Expenditures 15-22'!K75</f>
        <v>135</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748676</v>
      </c>
      <c r="D15" s="1740">
        <f>'Expenditures 15-22'!K139</f>
        <v>0</v>
      </c>
      <c r="E15" s="1740">
        <f>'Expenditures 15-22'!K160</f>
        <v>0</v>
      </c>
      <c r="F15" s="1740">
        <f>'Expenditures 15-22'!K196</f>
        <v>0</v>
      </c>
      <c r="G15" s="1740">
        <f>'Expenditures 15-22'!K285</f>
        <v>5527</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54272</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2007313</v>
      </c>
      <c r="D17" s="1685">
        <f t="shared" si="2"/>
        <v>193239</v>
      </c>
      <c r="E17" s="1685">
        <f t="shared" si="2"/>
        <v>54272</v>
      </c>
      <c r="F17" s="1685">
        <f t="shared" si="2"/>
        <v>164013</v>
      </c>
      <c r="G17" s="1685">
        <f t="shared" si="2"/>
        <v>65780</v>
      </c>
      <c r="H17" s="1685">
        <f t="shared" si="2"/>
        <v>0</v>
      </c>
      <c r="I17" s="468"/>
      <c r="J17" s="1685">
        <f>SUM(J12:J16)</f>
        <v>164931</v>
      </c>
      <c r="K17" s="1685">
        <f>SUM(K12:K16)</f>
        <v>2537</v>
      </c>
      <c r="L17" s="347"/>
    </row>
    <row r="18" spans="1:12" ht="15" customHeight="1" thickTop="1" x14ac:dyDescent="0.2">
      <c r="A18" s="1741" t="s">
        <v>1654</v>
      </c>
      <c r="B18" s="1742">
        <v>4180</v>
      </c>
      <c r="C18" s="1739">
        <f t="shared" ref="C18:H18" si="3">C9</f>
        <v>499178</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2506491</v>
      </c>
      <c r="D19" s="1685">
        <f t="shared" si="4"/>
        <v>193239</v>
      </c>
      <c r="E19" s="1685">
        <f t="shared" si="4"/>
        <v>54272</v>
      </c>
      <c r="F19" s="1685">
        <f t="shared" si="4"/>
        <v>164013</v>
      </c>
      <c r="G19" s="1685">
        <f t="shared" si="4"/>
        <v>65780</v>
      </c>
      <c r="H19" s="1685">
        <f t="shared" si="4"/>
        <v>0</v>
      </c>
      <c r="I19" s="468"/>
      <c r="J19" s="1685">
        <f>SUM(J17:J18)</f>
        <v>164931</v>
      </c>
      <c r="K19" s="1685">
        <f>SUM(K17:K18)</f>
        <v>2537</v>
      </c>
      <c r="L19" s="347"/>
    </row>
    <row r="20" spans="1:12" ht="16.5" thickTop="1" thickBot="1" x14ac:dyDescent="0.25">
      <c r="A20" s="2195" t="s">
        <v>1655</v>
      </c>
      <c r="B20" s="2196"/>
      <c r="C20" s="1743">
        <f>C8-C17</f>
        <v>608637</v>
      </c>
      <c r="D20" s="1743">
        <f t="shared" ref="D20:K20" si="5">D8-D17</f>
        <v>117782</v>
      </c>
      <c r="E20" s="1743">
        <f t="shared" si="5"/>
        <v>494</v>
      </c>
      <c r="F20" s="1743">
        <f t="shared" si="5"/>
        <v>77696</v>
      </c>
      <c r="G20" s="1743">
        <f t="shared" si="5"/>
        <v>15637</v>
      </c>
      <c r="H20" s="1743">
        <f t="shared" si="5"/>
        <v>0</v>
      </c>
      <c r="I20" s="1743">
        <f t="shared" si="5"/>
        <v>31863</v>
      </c>
      <c r="J20" s="1743">
        <f t="shared" si="5"/>
        <v>29944</v>
      </c>
      <c r="K20" s="1743">
        <f t="shared" si="5"/>
        <v>28128</v>
      </c>
      <c r="L20" s="347"/>
    </row>
    <row r="21" spans="1:12" ht="16.7" customHeight="1" thickTop="1" x14ac:dyDescent="0.2">
      <c r="A21" s="2207" t="s">
        <v>595</v>
      </c>
      <c r="B21" s="2208"/>
      <c r="C21" s="1567"/>
      <c r="D21" s="1568"/>
      <c r="E21" s="1568"/>
      <c r="F21" s="1568"/>
      <c r="G21" s="1568"/>
      <c r="H21" s="1568"/>
      <c r="I21" s="1568"/>
      <c r="J21" s="1568"/>
      <c r="K21" s="1569"/>
      <c r="L21" s="521"/>
    </row>
    <row r="22" spans="1:12" ht="15.75" customHeight="1" collapsed="1" x14ac:dyDescent="0.2">
      <c r="A22" s="2203" t="s">
        <v>596</v>
      </c>
      <c r="B22" s="2204"/>
      <c r="C22" s="475"/>
      <c r="D22" s="475"/>
      <c r="E22" s="475"/>
      <c r="F22" s="475"/>
      <c r="G22" s="475"/>
      <c r="H22" s="475"/>
      <c r="I22" s="475"/>
      <c r="J22" s="475"/>
      <c r="K22" s="475"/>
      <c r="L22" s="347"/>
    </row>
    <row r="23" spans="1:12" s="483" customFormat="1" ht="15.75" customHeight="1" x14ac:dyDescent="0.2">
      <c r="A23" s="2199" t="s">
        <v>293</v>
      </c>
      <c r="B23" s="2200"/>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201" t="s">
        <v>981</v>
      </c>
      <c r="B32" s="2202"/>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09" t="s">
        <v>374</v>
      </c>
      <c r="B44" s="2210"/>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203" t="s">
        <v>108</v>
      </c>
      <c r="B45" s="2204"/>
      <c r="C45" s="525"/>
      <c r="D45" s="525"/>
      <c r="E45" s="525"/>
      <c r="F45" s="525"/>
      <c r="G45" s="525"/>
      <c r="H45" s="525"/>
      <c r="I45" s="525"/>
      <c r="J45" s="525"/>
      <c r="K45" s="525"/>
      <c r="L45" s="347"/>
    </row>
    <row r="46" spans="1:12" s="483" customFormat="1" ht="15.75" customHeight="1" x14ac:dyDescent="0.2">
      <c r="A46" s="2211" t="s">
        <v>109</v>
      </c>
      <c r="B46" s="2212"/>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85" t="s">
        <v>440</v>
      </c>
      <c r="B76" s="2186"/>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87" t="s">
        <v>1177</v>
      </c>
      <c r="B77" s="2188"/>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91" t="s">
        <v>597</v>
      </c>
      <c r="B78" s="2192"/>
      <c r="C78" s="1699">
        <f t="shared" ref="C78:K78" si="9">C20+C77</f>
        <v>608637</v>
      </c>
      <c r="D78" s="1699">
        <f t="shared" si="9"/>
        <v>117782</v>
      </c>
      <c r="E78" s="1699">
        <f t="shared" si="9"/>
        <v>494</v>
      </c>
      <c r="F78" s="1699">
        <f t="shared" si="9"/>
        <v>77696</v>
      </c>
      <c r="G78" s="1699">
        <f t="shared" si="9"/>
        <v>15637</v>
      </c>
      <c r="H78" s="1699">
        <f t="shared" si="9"/>
        <v>0</v>
      </c>
      <c r="I78" s="1699">
        <f t="shared" si="9"/>
        <v>31863</v>
      </c>
      <c r="J78" s="1699">
        <f t="shared" si="9"/>
        <v>29944</v>
      </c>
      <c r="K78" s="1699">
        <f t="shared" si="9"/>
        <v>28128</v>
      </c>
      <c r="L78" s="530"/>
    </row>
    <row r="79" spans="1:12" ht="13.5" thickTop="1" x14ac:dyDescent="0.2">
      <c r="A79" s="1491" t="s">
        <v>1949</v>
      </c>
      <c r="B79" s="531"/>
      <c r="C79" s="476">
        <v>1182663</v>
      </c>
      <c r="D79" s="476">
        <v>718692</v>
      </c>
      <c r="E79" s="476">
        <v>0</v>
      </c>
      <c r="F79" s="476">
        <v>609566</v>
      </c>
      <c r="G79" s="476">
        <v>53744</v>
      </c>
      <c r="H79" s="476">
        <v>0</v>
      </c>
      <c r="I79" s="476">
        <v>206967</v>
      </c>
      <c r="J79" s="476">
        <v>334967</v>
      </c>
      <c r="K79" s="476">
        <v>58356</v>
      </c>
      <c r="L79" s="347"/>
    </row>
    <row r="80" spans="1:12" x14ac:dyDescent="0.2">
      <c r="A80" s="2197" t="s">
        <v>1795</v>
      </c>
      <c r="B80" s="2198"/>
      <c r="C80" s="467">
        <v>0</v>
      </c>
      <c r="D80" s="467">
        <v>0</v>
      </c>
      <c r="E80" s="467">
        <v>0</v>
      </c>
      <c r="F80" s="467">
        <v>0</v>
      </c>
      <c r="G80" s="467">
        <v>0</v>
      </c>
      <c r="H80" s="467">
        <v>0</v>
      </c>
      <c r="I80" s="467">
        <v>0</v>
      </c>
      <c r="J80" s="467">
        <v>0</v>
      </c>
      <c r="K80" s="467">
        <v>0</v>
      </c>
      <c r="L80" s="347"/>
    </row>
    <row r="81" spans="1:12" ht="13.5" thickBot="1" x14ac:dyDescent="0.25">
      <c r="A81" s="2189" t="s">
        <v>1950</v>
      </c>
      <c r="B81" s="2190"/>
      <c r="C81" s="1685">
        <f>(SUM(C78:C80))</f>
        <v>1791300</v>
      </c>
      <c r="D81" s="1685">
        <f>SUM(D78:D80)</f>
        <v>836474</v>
      </c>
      <c r="E81" s="1685">
        <f t="shared" ref="E81:K81" si="10">SUM(E78:E80)</f>
        <v>494</v>
      </c>
      <c r="F81" s="1685">
        <f t="shared" si="10"/>
        <v>687262</v>
      </c>
      <c r="G81" s="1685">
        <f t="shared" si="10"/>
        <v>69381</v>
      </c>
      <c r="H81" s="1685">
        <f t="shared" si="10"/>
        <v>0</v>
      </c>
      <c r="I81" s="1685">
        <f t="shared" si="10"/>
        <v>238830</v>
      </c>
      <c r="J81" s="1685">
        <f t="shared" si="10"/>
        <v>364911</v>
      </c>
      <c r="K81" s="1685">
        <f t="shared" si="10"/>
        <v>86484</v>
      </c>
      <c r="L81" s="347"/>
    </row>
    <row r="82" spans="1:12" ht="0.75" customHeight="1" thickTop="1" thickBot="1" x14ac:dyDescent="0.25">
      <c r="A82" s="533" t="s">
        <v>343</v>
      </c>
      <c r="B82" s="534"/>
      <c r="C82" s="535">
        <f>(C81-C79)</f>
        <v>608637</v>
      </c>
      <c r="D82" s="535">
        <f t="shared" ref="D82:K82" si="11">(D81-D79)</f>
        <v>117782</v>
      </c>
      <c r="E82" s="535">
        <f t="shared" si="11"/>
        <v>494</v>
      </c>
      <c r="F82" s="535">
        <f t="shared" si="11"/>
        <v>77696</v>
      </c>
      <c r="G82" s="535">
        <f t="shared" si="11"/>
        <v>15637</v>
      </c>
      <c r="H82" s="535">
        <f t="shared" si="11"/>
        <v>0</v>
      </c>
      <c r="I82" s="535">
        <f t="shared" si="11"/>
        <v>31863</v>
      </c>
      <c r="J82" s="535">
        <f t="shared" si="11"/>
        <v>29944</v>
      </c>
      <c r="K82" s="535">
        <f t="shared" si="11"/>
        <v>28128</v>
      </c>
    </row>
    <row r="83" spans="1:12" ht="14.25" hidden="1" thickTop="1" thickBot="1" x14ac:dyDescent="0.25">
      <c r="A83" s="536" t="s">
        <v>344</v>
      </c>
      <c r="B83" s="464"/>
      <c r="C83" s="537">
        <f>C82/C81</f>
        <v>0.33977390721822143</v>
      </c>
      <c r="D83" s="537">
        <f t="shared" ref="D83:K83" si="12">D82/D81</f>
        <v>0.14080772385035278</v>
      </c>
      <c r="E83" s="537">
        <f t="shared" si="12"/>
        <v>1</v>
      </c>
      <c r="F83" s="537">
        <f t="shared" si="12"/>
        <v>0.11305150001018534</v>
      </c>
      <c r="G83" s="537">
        <f t="shared" si="12"/>
        <v>0.22537870598578863</v>
      </c>
      <c r="H83" s="537" t="e">
        <f t="shared" si="12"/>
        <v>#DIV/0!</v>
      </c>
      <c r="I83" s="537">
        <f t="shared" si="12"/>
        <v>0.1334128878281623</v>
      </c>
      <c r="J83" s="537">
        <f t="shared" si="12"/>
        <v>8.2058364916376872E-2</v>
      </c>
      <c r="K83" s="537">
        <f t="shared" si="12"/>
        <v>0.32523935063133064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E20" sqref="AE20"/>
      <selection pane="bottomLeft" activeCell="C16" sqref="C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93" t="s">
        <v>1802</v>
      </c>
      <c r="B1" s="452"/>
      <c r="C1" s="453" t="s">
        <v>425</v>
      </c>
      <c r="D1" s="453" t="s">
        <v>426</v>
      </c>
      <c r="E1" s="453" t="s">
        <v>427</v>
      </c>
      <c r="F1" s="453" t="s">
        <v>428</v>
      </c>
      <c r="G1" s="453" t="s">
        <v>429</v>
      </c>
      <c r="H1" s="453" t="s">
        <v>430</v>
      </c>
      <c r="I1" s="453" t="s">
        <v>431</v>
      </c>
      <c r="J1" s="453" t="s">
        <v>432</v>
      </c>
      <c r="K1" s="453" t="s">
        <v>756</v>
      </c>
    </row>
    <row r="2" spans="1:12" ht="36" x14ac:dyDescent="0.2">
      <c r="A2" s="2194"/>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1878655</v>
      </c>
      <c r="D5" s="479">
        <v>300105</v>
      </c>
      <c r="E5" s="466">
        <v>54679</v>
      </c>
      <c r="F5" s="545">
        <v>120042</v>
      </c>
      <c r="G5" s="466">
        <v>26229</v>
      </c>
      <c r="H5" s="466">
        <v>0</v>
      </c>
      <c r="I5" s="466">
        <v>30010</v>
      </c>
      <c r="J5" s="467">
        <v>191467</v>
      </c>
      <c r="K5" s="466">
        <v>30010</v>
      </c>
    </row>
    <row r="6" spans="1:12" ht="15" x14ac:dyDescent="0.2">
      <c r="A6" s="463" t="s">
        <v>1662</v>
      </c>
      <c r="B6" s="470">
        <v>1130</v>
      </c>
      <c r="C6" s="466">
        <v>10084</v>
      </c>
      <c r="D6" s="466">
        <v>0</v>
      </c>
      <c r="E6" s="474"/>
      <c r="F6" s="474"/>
      <c r="G6" s="468"/>
      <c r="H6" s="468"/>
      <c r="I6" s="468"/>
      <c r="J6" s="468"/>
      <c r="K6" s="468"/>
    </row>
    <row r="7" spans="1:12" x14ac:dyDescent="0.2">
      <c r="A7" s="463" t="s">
        <v>110</v>
      </c>
      <c r="B7" s="546">
        <v>1140</v>
      </c>
      <c r="C7" s="466">
        <v>24008</v>
      </c>
      <c r="D7" s="466">
        <v>0</v>
      </c>
      <c r="E7" s="468"/>
      <c r="F7" s="467">
        <v>0</v>
      </c>
      <c r="G7" s="467">
        <v>0</v>
      </c>
      <c r="H7" s="467">
        <v>0</v>
      </c>
      <c r="I7" s="468"/>
      <c r="J7" s="468"/>
      <c r="K7" s="468"/>
    </row>
    <row r="8" spans="1:12" x14ac:dyDescent="0.2">
      <c r="A8" s="463" t="s">
        <v>413</v>
      </c>
      <c r="B8" s="470">
        <v>1150</v>
      </c>
      <c r="C8" s="474"/>
      <c r="D8" s="474"/>
      <c r="E8" s="475"/>
      <c r="F8" s="475"/>
      <c r="G8" s="479">
        <v>52398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1912747</v>
      </c>
      <c r="D12" s="1704">
        <f t="shared" si="0"/>
        <v>300105</v>
      </c>
      <c r="E12" s="1704">
        <f t="shared" si="0"/>
        <v>54679</v>
      </c>
      <c r="F12" s="1704">
        <f t="shared" si="0"/>
        <v>120042</v>
      </c>
      <c r="G12" s="1704">
        <f t="shared" si="0"/>
        <v>78627</v>
      </c>
      <c r="H12" s="1704">
        <f t="shared" si="0"/>
        <v>0</v>
      </c>
      <c r="I12" s="1704">
        <f t="shared" si="0"/>
        <v>30010</v>
      </c>
      <c r="J12" s="1704">
        <f t="shared" si="0"/>
        <v>191467</v>
      </c>
      <c r="K12" s="1685">
        <f t="shared" si="0"/>
        <v>30010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59598</v>
      </c>
      <c r="D16" s="466">
        <v>0</v>
      </c>
      <c r="E16" s="466">
        <v>0</v>
      </c>
      <c r="F16" s="466">
        <v>0</v>
      </c>
      <c r="G16" s="466">
        <v>2105</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59598</v>
      </c>
      <c r="D18" s="1707">
        <f t="shared" ref="D18:K18" si="1">SUM(D14:D17)</f>
        <v>0</v>
      </c>
      <c r="E18" s="1707">
        <f t="shared" si="1"/>
        <v>0</v>
      </c>
      <c r="F18" s="1707">
        <f t="shared" si="1"/>
        <v>0</v>
      </c>
      <c r="G18" s="1707">
        <f t="shared" si="1"/>
        <v>2105</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17964</v>
      </c>
      <c r="D65" s="466">
        <v>6984</v>
      </c>
      <c r="E65" s="466">
        <v>87</v>
      </c>
      <c r="F65" s="467">
        <v>5486</v>
      </c>
      <c r="G65" s="466">
        <v>685</v>
      </c>
      <c r="H65" s="466">
        <v>0</v>
      </c>
      <c r="I65" s="466">
        <v>1853</v>
      </c>
      <c r="J65" s="467">
        <v>3408</v>
      </c>
      <c r="K65" s="466">
        <v>655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17964</v>
      </c>
      <c r="D67" s="1685">
        <f t="shared" ref="D67:K67" si="2">SUM(D65:D66)</f>
        <v>6984</v>
      </c>
      <c r="E67" s="1685">
        <f t="shared" si="2"/>
        <v>87</v>
      </c>
      <c r="F67" s="1685">
        <f t="shared" si="2"/>
        <v>5486</v>
      </c>
      <c r="G67" s="1685">
        <f t="shared" si="2"/>
        <v>685</v>
      </c>
      <c r="H67" s="1685">
        <f t="shared" si="2"/>
        <v>0</v>
      </c>
      <c r="I67" s="1685">
        <f t="shared" si="2"/>
        <v>1853</v>
      </c>
      <c r="J67" s="1685">
        <f t="shared" si="2"/>
        <v>3408</v>
      </c>
      <c r="K67" s="1685">
        <f t="shared" si="2"/>
        <v>655</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11434</v>
      </c>
      <c r="D69" s="468"/>
      <c r="E69" s="468"/>
      <c r="F69" s="468"/>
      <c r="G69" s="468"/>
      <c r="H69" s="468"/>
      <c r="I69" s="468"/>
      <c r="J69" s="468"/>
      <c r="K69" s="468"/>
    </row>
    <row r="70" spans="1:11" ht="12.75" customHeight="1" x14ac:dyDescent="0.2">
      <c r="A70" s="463" t="s">
        <v>997</v>
      </c>
      <c r="B70" s="470">
        <v>1612</v>
      </c>
      <c r="C70" s="548">
        <v>1399</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580</v>
      </c>
      <c r="D73" s="468"/>
      <c r="E73" s="468"/>
      <c r="F73" s="468"/>
      <c r="G73" s="468"/>
      <c r="H73" s="468"/>
      <c r="I73" s="468"/>
      <c r="J73" s="468"/>
      <c r="K73" s="468"/>
    </row>
    <row r="74" spans="1:11" ht="12.75" customHeight="1" x14ac:dyDescent="0.2">
      <c r="A74" s="463" t="s">
        <v>25</v>
      </c>
      <c r="B74" s="470">
        <v>1690</v>
      </c>
      <c r="C74" s="548">
        <v>523</v>
      </c>
      <c r="D74" s="468"/>
      <c r="E74" s="468"/>
      <c r="F74" s="468"/>
      <c r="G74" s="468"/>
      <c r="H74" s="468"/>
      <c r="I74" s="468"/>
      <c r="J74" s="468"/>
      <c r="K74" s="468"/>
    </row>
    <row r="75" spans="1:11" ht="12.75" customHeight="1" thickBot="1" x14ac:dyDescent="0.25">
      <c r="A75" s="1705" t="s">
        <v>548</v>
      </c>
      <c r="B75" s="1706"/>
      <c r="C75" s="1685">
        <f>SUM(C69:C74)</f>
        <v>13936</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2353</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1050</v>
      </c>
      <c r="D81" s="466">
        <v>0</v>
      </c>
      <c r="E81" s="468"/>
      <c r="F81" s="468"/>
      <c r="G81" s="468"/>
      <c r="H81" s="468"/>
      <c r="I81" s="468"/>
      <c r="J81" s="468"/>
      <c r="K81" s="468"/>
    </row>
    <row r="82" spans="1:11" ht="12.75" customHeight="1" thickBot="1" x14ac:dyDescent="0.25">
      <c r="A82" s="1705" t="s">
        <v>241</v>
      </c>
      <c r="B82" s="1706"/>
      <c r="C82" s="1704">
        <f>SUM(C77:C81)</f>
        <v>3403</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2095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70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2165</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350</v>
      </c>
      <c r="E95" s="518"/>
      <c r="F95" s="518"/>
      <c r="G95" s="518"/>
      <c r="H95" s="518"/>
      <c r="I95" s="518"/>
      <c r="J95" s="518"/>
      <c r="K95" s="518"/>
    </row>
    <row r="96" spans="1:11" ht="12.75" customHeight="1" x14ac:dyDescent="0.2">
      <c r="A96" s="463" t="s">
        <v>391</v>
      </c>
      <c r="B96" s="470">
        <v>1920</v>
      </c>
      <c r="C96" s="548">
        <v>3668</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10209</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16740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5047</v>
      </c>
      <c r="D107" s="466">
        <v>3582</v>
      </c>
      <c r="E107" s="466">
        <v>0</v>
      </c>
      <c r="F107" s="466">
        <v>355</v>
      </c>
      <c r="G107" s="466">
        <v>0</v>
      </c>
      <c r="H107" s="466">
        <v>0</v>
      </c>
      <c r="I107" s="466">
        <v>0</v>
      </c>
      <c r="J107" s="467">
        <v>0</v>
      </c>
      <c r="K107" s="466">
        <v>0</v>
      </c>
    </row>
    <row r="108" spans="1:12" ht="12.75" customHeight="1" thickBot="1" x14ac:dyDescent="0.25">
      <c r="A108" s="1705" t="s">
        <v>487</v>
      </c>
      <c r="B108" s="1709"/>
      <c r="C108" s="1704">
        <f>SUM(C95:C107)</f>
        <v>35664</v>
      </c>
      <c r="D108" s="1704">
        <f t="shared" ref="D108:K108" si="3">SUM(D95:D107)</f>
        <v>3932</v>
      </c>
      <c r="E108" s="1704">
        <f t="shared" si="3"/>
        <v>0</v>
      </c>
      <c r="F108" s="1704">
        <f t="shared" si="3"/>
        <v>355</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2045477</v>
      </c>
      <c r="D109" s="1712">
        <f t="shared" si="4"/>
        <v>311021</v>
      </c>
      <c r="E109" s="1712">
        <f t="shared" si="4"/>
        <v>54766</v>
      </c>
      <c r="F109" s="1712">
        <f t="shared" si="4"/>
        <v>125883</v>
      </c>
      <c r="G109" s="1712">
        <f t="shared" si="4"/>
        <v>81417</v>
      </c>
      <c r="H109" s="1712">
        <f t="shared" si="4"/>
        <v>0</v>
      </c>
      <c r="I109" s="1712">
        <f t="shared" si="4"/>
        <v>31863</v>
      </c>
      <c r="J109" s="1712">
        <f t="shared" si="4"/>
        <v>194875</v>
      </c>
      <c r="K109" s="1699">
        <f t="shared" si="4"/>
        <v>30665</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262099</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262099</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24952</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9398</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34350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570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62392</v>
      </c>
      <c r="G152" s="467">
        <v>0</v>
      </c>
      <c r="H152" s="468"/>
      <c r="I152" s="468"/>
      <c r="J152" s="468"/>
      <c r="K152" s="468"/>
    </row>
    <row r="153" spans="1:11" ht="12.75" customHeight="1" x14ac:dyDescent="0.2">
      <c r="A153" s="463" t="s">
        <v>1057</v>
      </c>
      <c r="B153" s="559">
        <v>3510</v>
      </c>
      <c r="C153" s="548">
        <v>0</v>
      </c>
      <c r="D153" s="466">
        <v>0</v>
      </c>
      <c r="E153" s="558"/>
      <c r="F153" s="466">
        <v>53434</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115826</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60115</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213" t="s">
        <v>398</v>
      </c>
      <c r="B169" s="2214"/>
      <c r="C169" s="1719">
        <f t="shared" ref="C169:K169" si="6">SUM(C132,C141,C145,C146:C150,C155,C156:C167,C168)</f>
        <v>95785</v>
      </c>
      <c r="D169" s="1719">
        <f t="shared" si="6"/>
        <v>0</v>
      </c>
      <c r="E169" s="1719">
        <f t="shared" si="6"/>
        <v>0</v>
      </c>
      <c r="F169" s="1719">
        <f t="shared" si="6"/>
        <v>115826</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357884</v>
      </c>
      <c r="D170" s="1712">
        <f t="shared" si="7"/>
        <v>0</v>
      </c>
      <c r="E170" s="1712">
        <f t="shared" si="7"/>
        <v>0</v>
      </c>
      <c r="F170" s="1712">
        <f t="shared" si="7"/>
        <v>115826</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15" t="s">
        <v>1492</v>
      </c>
      <c r="B172" s="2216"/>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19" t="s">
        <v>1665</v>
      </c>
      <c r="B175" s="2220"/>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23" t="s">
        <v>1664</v>
      </c>
      <c r="B176" s="2224"/>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49686</v>
      </c>
      <c r="D180" s="466">
        <v>0</v>
      </c>
      <c r="E180" s="468"/>
      <c r="F180" s="466">
        <v>0</v>
      </c>
      <c r="G180" s="466">
        <v>0</v>
      </c>
      <c r="H180" s="466">
        <v>0</v>
      </c>
      <c r="I180" s="468"/>
      <c r="J180" s="468"/>
      <c r="K180" s="466">
        <v>0</v>
      </c>
    </row>
    <row r="181" spans="1:11" ht="13.5" thickBot="1" x14ac:dyDescent="0.25">
      <c r="A181" s="2221" t="s">
        <v>785</v>
      </c>
      <c r="B181" s="2222"/>
      <c r="C181" s="1704">
        <f>SUM(C177:C180)</f>
        <v>49686</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17" t="s">
        <v>1803</v>
      </c>
      <c r="B182" s="2218"/>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34623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6891</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41514</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109743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109743</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3133</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848</v>
      </c>
      <c r="D263" s="573">
        <v>0</v>
      </c>
      <c r="E263" s="468"/>
      <c r="F263" s="573">
        <v>0</v>
      </c>
      <c r="G263" s="573">
        <v>0</v>
      </c>
      <c r="H263" s="468"/>
      <c r="I263" s="468"/>
      <c r="J263" s="468"/>
      <c r="K263" s="468"/>
    </row>
    <row r="264" spans="1:11" ht="12.75" customHeight="1" thickTop="1" thickBot="1" x14ac:dyDescent="0.25">
      <c r="A264" s="463" t="s">
        <v>377</v>
      </c>
      <c r="B264" s="470">
        <v>4992</v>
      </c>
      <c r="C264" s="572">
        <v>7665</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162903</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212589</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2615950</v>
      </c>
      <c r="D268" s="1712">
        <f t="shared" si="12"/>
        <v>311021</v>
      </c>
      <c r="E268" s="1712">
        <f t="shared" si="12"/>
        <v>54766</v>
      </c>
      <c r="F268" s="1712">
        <f t="shared" si="12"/>
        <v>241709</v>
      </c>
      <c r="G268" s="1712">
        <f t="shared" si="12"/>
        <v>81417</v>
      </c>
      <c r="H268" s="1712">
        <f t="shared" si="12"/>
        <v>0</v>
      </c>
      <c r="I268" s="1712">
        <f t="shared" si="12"/>
        <v>31863</v>
      </c>
      <c r="J268" s="1712">
        <f t="shared" si="12"/>
        <v>194875</v>
      </c>
      <c r="K268" s="1699">
        <f t="shared" si="12"/>
        <v>30665</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2018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E20" sqref="AE20"/>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93"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25"/>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31" t="s">
        <v>297</v>
      </c>
      <c r="B3" s="2232"/>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336513</v>
      </c>
      <c r="D5" s="466">
        <v>78440</v>
      </c>
      <c r="E5" s="466">
        <v>41854</v>
      </c>
      <c r="F5" s="466">
        <v>68395</v>
      </c>
      <c r="G5" s="466">
        <v>39570</v>
      </c>
      <c r="H5" s="466">
        <v>7997</v>
      </c>
      <c r="I5" s="467">
        <v>0</v>
      </c>
      <c r="J5" s="467">
        <v>0</v>
      </c>
      <c r="K5" s="1668">
        <f>SUM(C5:J5)</f>
        <v>572769</v>
      </c>
      <c r="L5" s="471">
        <v>561788</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43168</v>
      </c>
      <c r="D7" s="467">
        <v>13202</v>
      </c>
      <c r="E7" s="467">
        <v>115</v>
      </c>
      <c r="F7" s="467">
        <v>20879</v>
      </c>
      <c r="G7" s="467">
        <v>0</v>
      </c>
      <c r="H7" s="467">
        <v>0</v>
      </c>
      <c r="I7" s="467">
        <v>0</v>
      </c>
      <c r="J7" s="467">
        <v>0</v>
      </c>
      <c r="K7" s="1668">
        <f t="shared" ref="K7:K32" si="0">SUM(C7:J7)</f>
        <v>77364</v>
      </c>
      <c r="L7" s="471">
        <v>76444</v>
      </c>
    </row>
    <row r="8" spans="1:14" x14ac:dyDescent="0.2">
      <c r="A8" s="1501" t="s">
        <v>164</v>
      </c>
      <c r="B8" s="611">
        <v>1200</v>
      </c>
      <c r="C8" s="466">
        <v>79095</v>
      </c>
      <c r="D8" s="466">
        <v>14768</v>
      </c>
      <c r="E8" s="466">
        <v>0</v>
      </c>
      <c r="F8" s="466">
        <v>136</v>
      </c>
      <c r="G8" s="466">
        <v>0</v>
      </c>
      <c r="H8" s="466">
        <v>0</v>
      </c>
      <c r="I8" s="467">
        <v>0</v>
      </c>
      <c r="J8" s="467">
        <v>0</v>
      </c>
      <c r="K8" s="1668">
        <f t="shared" si="0"/>
        <v>93999</v>
      </c>
      <c r="L8" s="471">
        <v>93204</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54830</v>
      </c>
      <c r="D10" s="466">
        <v>7458</v>
      </c>
      <c r="E10" s="466">
        <v>1595</v>
      </c>
      <c r="F10" s="466">
        <v>70</v>
      </c>
      <c r="G10" s="466">
        <v>0</v>
      </c>
      <c r="H10" s="466">
        <v>0</v>
      </c>
      <c r="I10" s="467">
        <v>0</v>
      </c>
      <c r="J10" s="467">
        <v>0</v>
      </c>
      <c r="K10" s="1668">
        <f t="shared" si="0"/>
        <v>63953</v>
      </c>
      <c r="L10" s="471">
        <v>61335</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17001</v>
      </c>
      <c r="D14" s="466">
        <v>1196</v>
      </c>
      <c r="E14" s="466">
        <v>3821</v>
      </c>
      <c r="F14" s="466">
        <v>2054</v>
      </c>
      <c r="G14" s="466">
        <v>0</v>
      </c>
      <c r="H14" s="466">
        <v>2107</v>
      </c>
      <c r="I14" s="467">
        <v>0</v>
      </c>
      <c r="J14" s="467">
        <v>0</v>
      </c>
      <c r="K14" s="1668">
        <f t="shared" si="0"/>
        <v>26179</v>
      </c>
      <c r="L14" s="471">
        <v>26179</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59065</v>
      </c>
      <c r="I22" s="613"/>
      <c r="J22" s="475"/>
      <c r="K22" s="1668">
        <f t="shared" si="0"/>
        <v>59065</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530607</v>
      </c>
      <c r="D33" s="1667">
        <f t="shared" ref="D33:L33" si="1">SUM(D5:D32)</f>
        <v>115064</v>
      </c>
      <c r="E33" s="1667">
        <f t="shared" si="1"/>
        <v>47385</v>
      </c>
      <c r="F33" s="1667">
        <f t="shared" si="1"/>
        <v>91534</v>
      </c>
      <c r="G33" s="1667">
        <f t="shared" si="1"/>
        <v>39570</v>
      </c>
      <c r="H33" s="1667">
        <f t="shared" si="1"/>
        <v>69169</v>
      </c>
      <c r="I33" s="1667">
        <f t="shared" si="1"/>
        <v>0</v>
      </c>
      <c r="J33" s="1667">
        <f t="shared" si="1"/>
        <v>0</v>
      </c>
      <c r="K33" s="1667">
        <f t="shared" si="1"/>
        <v>893329</v>
      </c>
      <c r="L33" s="1667">
        <f t="shared" si="1"/>
        <v>818950</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3866</v>
      </c>
      <c r="D38" s="466">
        <v>0</v>
      </c>
      <c r="E38" s="466">
        <v>0</v>
      </c>
      <c r="F38" s="466">
        <v>742</v>
      </c>
      <c r="G38" s="466">
        <v>0</v>
      </c>
      <c r="H38" s="466">
        <v>0</v>
      </c>
      <c r="I38" s="467">
        <v>0</v>
      </c>
      <c r="J38" s="467">
        <v>0</v>
      </c>
      <c r="K38" s="1668">
        <f t="shared" si="2"/>
        <v>4608</v>
      </c>
      <c r="L38" s="466">
        <v>1929</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3866</v>
      </c>
      <c r="D42" s="1667">
        <f t="shared" ref="D42:L42" si="3">SUM(D36:D41)</f>
        <v>0</v>
      </c>
      <c r="E42" s="1667">
        <f t="shared" si="3"/>
        <v>0</v>
      </c>
      <c r="F42" s="1667">
        <f t="shared" si="3"/>
        <v>742</v>
      </c>
      <c r="G42" s="1667">
        <f t="shared" si="3"/>
        <v>0</v>
      </c>
      <c r="H42" s="1667">
        <f t="shared" si="3"/>
        <v>0</v>
      </c>
      <c r="I42" s="1667">
        <f t="shared" si="3"/>
        <v>0</v>
      </c>
      <c r="J42" s="1667">
        <f t="shared" si="3"/>
        <v>0</v>
      </c>
      <c r="K42" s="1667">
        <f t="shared" si="3"/>
        <v>4608</v>
      </c>
      <c r="L42" s="1667">
        <f t="shared" si="3"/>
        <v>1929</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3200</v>
      </c>
      <c r="F44" s="479">
        <v>18076</v>
      </c>
      <c r="G44" s="479">
        <v>0</v>
      </c>
      <c r="H44" s="479">
        <v>0</v>
      </c>
      <c r="I44" s="467">
        <v>0</v>
      </c>
      <c r="J44" s="467">
        <v>0</v>
      </c>
      <c r="K44" s="1669">
        <f>SUM(C44:J44)</f>
        <v>21276</v>
      </c>
      <c r="L44" s="479">
        <v>21276</v>
      </c>
    </row>
    <row r="45" spans="1:14" x14ac:dyDescent="0.2">
      <c r="A45" s="1501" t="s">
        <v>815</v>
      </c>
      <c r="B45" s="611">
        <v>2220</v>
      </c>
      <c r="C45" s="466">
        <v>28290</v>
      </c>
      <c r="D45" s="466">
        <v>10464</v>
      </c>
      <c r="E45" s="466">
        <v>966</v>
      </c>
      <c r="F45" s="466">
        <v>742</v>
      </c>
      <c r="G45" s="466">
        <v>0</v>
      </c>
      <c r="H45" s="466">
        <v>659</v>
      </c>
      <c r="I45" s="467">
        <v>0</v>
      </c>
      <c r="J45" s="467">
        <v>0</v>
      </c>
      <c r="K45" s="1669">
        <f>SUM(C45:J45)</f>
        <v>41121</v>
      </c>
      <c r="L45" s="466">
        <v>40072</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28290</v>
      </c>
      <c r="D47" s="1667">
        <f t="shared" ref="D47:K47" si="4">SUM(D44:D46)</f>
        <v>10464</v>
      </c>
      <c r="E47" s="1667">
        <f t="shared" si="4"/>
        <v>4166</v>
      </c>
      <c r="F47" s="1667">
        <f t="shared" si="4"/>
        <v>18818</v>
      </c>
      <c r="G47" s="1667">
        <f t="shared" si="4"/>
        <v>0</v>
      </c>
      <c r="H47" s="1667">
        <f t="shared" si="4"/>
        <v>659</v>
      </c>
      <c r="I47" s="1667">
        <f t="shared" si="4"/>
        <v>0</v>
      </c>
      <c r="J47" s="1667">
        <f t="shared" si="4"/>
        <v>0</v>
      </c>
      <c r="K47" s="1667">
        <f t="shared" si="4"/>
        <v>62397</v>
      </c>
      <c r="L47" s="1667">
        <f>SUM(L44:L46)</f>
        <v>61348</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2000</v>
      </c>
      <c r="D49" s="479">
        <v>0</v>
      </c>
      <c r="E49" s="479">
        <v>26578</v>
      </c>
      <c r="F49" s="479">
        <v>423</v>
      </c>
      <c r="G49" s="479">
        <v>0</v>
      </c>
      <c r="H49" s="479">
        <v>3165</v>
      </c>
      <c r="I49" s="467">
        <v>0</v>
      </c>
      <c r="J49" s="467">
        <v>0</v>
      </c>
      <c r="K49" s="1669">
        <f>SUM(C49:J49)</f>
        <v>32166</v>
      </c>
      <c r="L49" s="479">
        <v>32166</v>
      </c>
    </row>
    <row r="50" spans="1:14" x14ac:dyDescent="0.2">
      <c r="A50" s="1501" t="s">
        <v>818</v>
      </c>
      <c r="B50" s="611">
        <v>2320</v>
      </c>
      <c r="C50" s="467">
        <v>58013</v>
      </c>
      <c r="D50" s="466">
        <v>13952</v>
      </c>
      <c r="E50" s="466">
        <v>120</v>
      </c>
      <c r="F50" s="466">
        <v>0</v>
      </c>
      <c r="G50" s="466">
        <v>0</v>
      </c>
      <c r="H50" s="466">
        <v>0</v>
      </c>
      <c r="I50" s="467">
        <v>0</v>
      </c>
      <c r="J50" s="467">
        <v>0</v>
      </c>
      <c r="K50" s="1669">
        <f>SUM(C50:J50)</f>
        <v>72085</v>
      </c>
      <c r="L50" s="466">
        <v>69991</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60013</v>
      </c>
      <c r="D53" s="1667">
        <f t="shared" ref="D53:L53" si="5">SUM(D49:D52)</f>
        <v>13952</v>
      </c>
      <c r="E53" s="1667">
        <f t="shared" si="5"/>
        <v>26698</v>
      </c>
      <c r="F53" s="1667">
        <f t="shared" si="5"/>
        <v>423</v>
      </c>
      <c r="G53" s="1667">
        <f t="shared" si="5"/>
        <v>0</v>
      </c>
      <c r="H53" s="1667">
        <f t="shared" si="5"/>
        <v>3165</v>
      </c>
      <c r="I53" s="1667">
        <f t="shared" si="5"/>
        <v>0</v>
      </c>
      <c r="J53" s="1667">
        <f t="shared" si="5"/>
        <v>0</v>
      </c>
      <c r="K53" s="1667">
        <f t="shared" si="5"/>
        <v>104251</v>
      </c>
      <c r="L53" s="1667">
        <f t="shared" si="5"/>
        <v>102157</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51214</v>
      </c>
      <c r="D55" s="479">
        <v>5750</v>
      </c>
      <c r="E55" s="479">
        <v>0</v>
      </c>
      <c r="F55" s="479">
        <v>0</v>
      </c>
      <c r="G55" s="479">
        <v>0</v>
      </c>
      <c r="H55" s="479">
        <v>395</v>
      </c>
      <c r="I55" s="467">
        <v>0</v>
      </c>
      <c r="J55" s="467">
        <v>0</v>
      </c>
      <c r="K55" s="1669">
        <f>SUM(C55:J55)</f>
        <v>57359</v>
      </c>
      <c r="L55" s="479">
        <v>52078</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51214</v>
      </c>
      <c r="D57" s="1671">
        <f t="shared" ref="D57:K57" si="6">SUM(D55:D56)</f>
        <v>5750</v>
      </c>
      <c r="E57" s="1671">
        <f t="shared" si="6"/>
        <v>0</v>
      </c>
      <c r="F57" s="1671">
        <f t="shared" si="6"/>
        <v>0</v>
      </c>
      <c r="G57" s="1671">
        <f t="shared" si="6"/>
        <v>0</v>
      </c>
      <c r="H57" s="1671">
        <f t="shared" si="6"/>
        <v>395</v>
      </c>
      <c r="I57" s="1671">
        <f t="shared" si="6"/>
        <v>0</v>
      </c>
      <c r="J57" s="1671">
        <f t="shared" si="6"/>
        <v>0</v>
      </c>
      <c r="K57" s="1671">
        <f t="shared" si="6"/>
        <v>57359</v>
      </c>
      <c r="L57" s="1667">
        <f>SUM(L55:L56)</f>
        <v>52078</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31094</v>
      </c>
      <c r="D60" s="466">
        <v>6851</v>
      </c>
      <c r="E60" s="466">
        <v>15</v>
      </c>
      <c r="F60" s="466">
        <v>21255</v>
      </c>
      <c r="G60" s="466">
        <v>0</v>
      </c>
      <c r="H60" s="466">
        <v>0</v>
      </c>
      <c r="I60" s="467">
        <v>0</v>
      </c>
      <c r="J60" s="467">
        <v>0</v>
      </c>
      <c r="K60" s="1669">
        <f t="shared" si="7"/>
        <v>59215</v>
      </c>
      <c r="L60" s="466">
        <v>58107</v>
      </c>
      <c r="M60" s="606"/>
      <c r="N60" s="606"/>
    </row>
    <row r="61" spans="1:14" s="343" customFormat="1" x14ac:dyDescent="0.2">
      <c r="A61" s="1501" t="s">
        <v>197</v>
      </c>
      <c r="B61" s="611">
        <v>2540</v>
      </c>
      <c r="C61" s="466">
        <v>0</v>
      </c>
      <c r="D61" s="466">
        <v>0</v>
      </c>
      <c r="E61" s="466">
        <v>550</v>
      </c>
      <c r="F61" s="466">
        <v>0</v>
      </c>
      <c r="G61" s="466">
        <v>0</v>
      </c>
      <c r="H61" s="466">
        <v>0</v>
      </c>
      <c r="I61" s="467">
        <v>0</v>
      </c>
      <c r="J61" s="467">
        <v>0</v>
      </c>
      <c r="K61" s="1669">
        <f t="shared" si="7"/>
        <v>550</v>
      </c>
      <c r="L61" s="466">
        <v>550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29797</v>
      </c>
      <c r="D63" s="466">
        <v>1751</v>
      </c>
      <c r="E63" s="466">
        <v>0</v>
      </c>
      <c r="F63" s="466">
        <v>29851</v>
      </c>
      <c r="G63" s="466">
        <v>4807</v>
      </c>
      <c r="H63" s="466">
        <v>0</v>
      </c>
      <c r="I63" s="467">
        <v>0</v>
      </c>
      <c r="J63" s="467">
        <v>0</v>
      </c>
      <c r="K63" s="1669">
        <f t="shared" si="7"/>
        <v>66206</v>
      </c>
      <c r="L63" s="466">
        <v>66206</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60891</v>
      </c>
      <c r="D65" s="1667">
        <f t="shared" ref="D65:L65" si="8">SUM(D59:D64)</f>
        <v>8602</v>
      </c>
      <c r="E65" s="1667">
        <f t="shared" si="8"/>
        <v>565</v>
      </c>
      <c r="F65" s="1667">
        <f t="shared" si="8"/>
        <v>51106</v>
      </c>
      <c r="G65" s="1667">
        <f t="shared" si="8"/>
        <v>4807</v>
      </c>
      <c r="H65" s="1667">
        <f t="shared" si="8"/>
        <v>0</v>
      </c>
      <c r="I65" s="1667">
        <f t="shared" si="8"/>
        <v>0</v>
      </c>
      <c r="J65" s="1667">
        <f t="shared" si="8"/>
        <v>0</v>
      </c>
      <c r="K65" s="1667">
        <f t="shared" si="8"/>
        <v>125971</v>
      </c>
      <c r="L65" s="1667">
        <f t="shared" si="8"/>
        <v>124863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10587</v>
      </c>
      <c r="D73" s="467">
        <v>0</v>
      </c>
      <c r="E73" s="467">
        <v>0</v>
      </c>
      <c r="F73" s="467">
        <v>0</v>
      </c>
      <c r="G73" s="467">
        <v>0</v>
      </c>
      <c r="H73" s="467">
        <v>0</v>
      </c>
      <c r="I73" s="467">
        <v>0</v>
      </c>
      <c r="J73" s="467">
        <v>0</v>
      </c>
      <c r="K73" s="1667">
        <f>SUM(C73:J73)</f>
        <v>10587</v>
      </c>
      <c r="L73" s="573">
        <v>10587</v>
      </c>
      <c r="M73" s="606"/>
      <c r="N73" s="606"/>
    </row>
    <row r="74" spans="1:14" ht="12.75" customHeight="1" thickTop="1" thickBot="1" x14ac:dyDescent="0.25">
      <c r="A74" s="1665" t="s">
        <v>811</v>
      </c>
      <c r="B74" s="1673">
        <v>2000</v>
      </c>
      <c r="C74" s="1674">
        <f>SUM(C42,C47,C53,C57,C65,C72,C73)</f>
        <v>214861</v>
      </c>
      <c r="D74" s="1674">
        <f t="shared" ref="D74:K74" si="10">SUM(D42,D47,D53,D57,D65,D72,D73)</f>
        <v>38768</v>
      </c>
      <c r="E74" s="1674">
        <f t="shared" si="10"/>
        <v>31429</v>
      </c>
      <c r="F74" s="1674">
        <f t="shared" si="10"/>
        <v>71089</v>
      </c>
      <c r="G74" s="1674">
        <f t="shared" si="10"/>
        <v>4807</v>
      </c>
      <c r="H74" s="1674">
        <f t="shared" si="10"/>
        <v>4219</v>
      </c>
      <c r="I74" s="1674">
        <f t="shared" si="10"/>
        <v>0</v>
      </c>
      <c r="J74" s="1674">
        <f t="shared" si="10"/>
        <v>0</v>
      </c>
      <c r="K74" s="1674">
        <f t="shared" si="10"/>
        <v>365173</v>
      </c>
      <c r="L74" s="1674">
        <f>SUM(L42,L47,L53,L57,L65,L72,L73)</f>
        <v>352962</v>
      </c>
    </row>
    <row r="75" spans="1:14" s="259" customFormat="1" ht="15.75" customHeight="1" thickTop="1" thickBot="1" x14ac:dyDescent="0.25">
      <c r="A75" s="1607" t="s">
        <v>47</v>
      </c>
      <c r="B75" s="1608" t="s">
        <v>575</v>
      </c>
      <c r="C75" s="467">
        <v>0</v>
      </c>
      <c r="D75" s="467">
        <v>0</v>
      </c>
      <c r="E75" s="467">
        <v>0</v>
      </c>
      <c r="F75" s="467">
        <v>135</v>
      </c>
      <c r="G75" s="467">
        <v>0</v>
      </c>
      <c r="H75" s="467">
        <v>0</v>
      </c>
      <c r="I75" s="467">
        <v>0</v>
      </c>
      <c r="J75" s="467">
        <v>0</v>
      </c>
      <c r="K75" s="1667">
        <f>SUM(C75:J75)</f>
        <v>135</v>
      </c>
      <c r="L75" s="573">
        <v>135</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2278</v>
      </c>
      <c r="I83" s="475"/>
      <c r="J83" s="475"/>
      <c r="K83" s="1668">
        <f t="shared" si="11"/>
        <v>2278</v>
      </c>
      <c r="L83" s="466">
        <v>2278</v>
      </c>
    </row>
    <row r="84" spans="1:12" ht="13.5" thickBot="1" x14ac:dyDescent="0.25">
      <c r="A84" s="1665" t="s">
        <v>1485</v>
      </c>
      <c r="B84" s="1675">
        <v>4100</v>
      </c>
      <c r="C84" s="613"/>
      <c r="D84" s="613"/>
      <c r="E84" s="1667">
        <f>SUM(E78:E83)</f>
        <v>0</v>
      </c>
      <c r="F84" s="613"/>
      <c r="G84" s="613"/>
      <c r="H84" s="1667">
        <f>SUM(H78:H83)</f>
        <v>2278</v>
      </c>
      <c r="I84" s="475"/>
      <c r="J84" s="475"/>
      <c r="K84" s="1667">
        <f>SUM(K78:K83)</f>
        <v>2278</v>
      </c>
      <c r="L84" s="1667">
        <f>SUM(L78:L83)</f>
        <v>2278</v>
      </c>
    </row>
    <row r="85" spans="1:12" ht="12.75" customHeight="1" thickTop="1" thickBot="1" x14ac:dyDescent="0.25">
      <c r="A85" s="1508" t="s">
        <v>255</v>
      </c>
      <c r="B85" s="632">
        <v>4210</v>
      </c>
      <c r="C85" s="613"/>
      <c r="D85" s="613"/>
      <c r="E85" s="633"/>
      <c r="F85" s="613"/>
      <c r="G85" s="613"/>
      <c r="H85" s="532">
        <v>613377</v>
      </c>
      <c r="I85" s="475"/>
      <c r="J85" s="475"/>
      <c r="K85" s="1674">
        <f>H85</f>
        <v>613377</v>
      </c>
      <c r="L85" s="527">
        <v>613377</v>
      </c>
    </row>
    <row r="86" spans="1:12" ht="12.75" customHeight="1" thickTop="1" thickBot="1" x14ac:dyDescent="0.25">
      <c r="A86" s="1509" t="s">
        <v>699</v>
      </c>
      <c r="B86" s="634">
        <v>4220</v>
      </c>
      <c r="C86" s="613"/>
      <c r="D86" s="613"/>
      <c r="E86" s="635"/>
      <c r="F86" s="613"/>
      <c r="G86" s="613"/>
      <c r="H86" s="467">
        <v>133021</v>
      </c>
      <c r="I86" s="475"/>
      <c r="J86" s="475"/>
      <c r="K86" s="1674">
        <f t="shared" ref="K86:K98" si="12">H86</f>
        <v>133021</v>
      </c>
      <c r="L86" s="527">
        <v>168512</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23574</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746398</v>
      </c>
      <c r="I92" s="475"/>
      <c r="J92" s="475"/>
      <c r="K92" s="1674">
        <f t="shared" si="12"/>
        <v>746398</v>
      </c>
      <c r="L92" s="1667">
        <f>SUM(L85:L91)</f>
        <v>805463</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0</v>
      </c>
      <c r="F102" s="613"/>
      <c r="G102" s="613"/>
      <c r="H102" s="1674">
        <f>SUM(H84,H92,H100,H101)</f>
        <v>748676</v>
      </c>
      <c r="I102" s="475"/>
      <c r="J102" s="475"/>
      <c r="K102" s="1674">
        <f>SUM(K84,K92,K100,K101)</f>
        <v>748676</v>
      </c>
      <c r="L102" s="1674">
        <f>SUM(L84,L92,L100,L101)</f>
        <v>807741</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745468</v>
      </c>
      <c r="D114" s="1667">
        <f t="shared" ref="D114:K114" si="13">SUM(D33,D74,D75,D102,D112,D113)</f>
        <v>153832</v>
      </c>
      <c r="E114" s="1667">
        <f t="shared" si="13"/>
        <v>78814</v>
      </c>
      <c r="F114" s="1667">
        <f t="shared" si="13"/>
        <v>162758</v>
      </c>
      <c r="G114" s="1667">
        <f t="shared" si="13"/>
        <v>44377</v>
      </c>
      <c r="H114" s="1667">
        <f>SUM(H33,H74,H75,H102,H112,H113)</f>
        <v>822064</v>
      </c>
      <c r="I114" s="1667">
        <f t="shared" si="13"/>
        <v>0</v>
      </c>
      <c r="J114" s="1667">
        <f t="shared" si="13"/>
        <v>0</v>
      </c>
      <c r="K114" s="1667">
        <f t="shared" si="13"/>
        <v>2007313</v>
      </c>
      <c r="L114" s="1667">
        <f>SUM(L33,L74,L75,L102,L112,L113)</f>
        <v>1979788</v>
      </c>
    </row>
    <row r="115" spans="1:14" ht="13.5" thickTop="1" x14ac:dyDescent="0.2">
      <c r="A115" s="2250" t="s">
        <v>996</v>
      </c>
      <c r="B115" s="2251"/>
      <c r="C115" s="615"/>
      <c r="D115" s="615"/>
      <c r="E115" s="615"/>
      <c r="F115" s="615"/>
      <c r="G115" s="615"/>
      <c r="H115" s="615"/>
      <c r="I115" s="615"/>
      <c r="J115" s="615"/>
      <c r="K115" s="1681">
        <f>'Revenues 9-14'!C268-'Expenditures 15-22'!K114</f>
        <v>608637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28" t="s">
        <v>296</v>
      </c>
      <c r="B117" s="2229"/>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47607</v>
      </c>
      <c r="D124" s="466">
        <v>12076</v>
      </c>
      <c r="E124" s="466">
        <v>86731</v>
      </c>
      <c r="F124" s="466">
        <v>22260</v>
      </c>
      <c r="G124" s="466">
        <v>24565</v>
      </c>
      <c r="H124" s="466">
        <v>0</v>
      </c>
      <c r="I124" s="467">
        <v>0</v>
      </c>
      <c r="J124" s="467">
        <v>0</v>
      </c>
      <c r="K124" s="1667">
        <f>SUM(C124:J124)</f>
        <v>193239</v>
      </c>
      <c r="L124" s="466">
        <v>197112</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47607</v>
      </c>
      <c r="D127" s="1667">
        <f t="shared" ref="D127:L127" si="14">SUM(D122:D126)</f>
        <v>12076</v>
      </c>
      <c r="E127" s="1667">
        <f t="shared" si="14"/>
        <v>86731</v>
      </c>
      <c r="F127" s="1667">
        <f t="shared" si="14"/>
        <v>22260</v>
      </c>
      <c r="G127" s="1667">
        <f t="shared" si="14"/>
        <v>24565</v>
      </c>
      <c r="H127" s="1667">
        <f t="shared" si="14"/>
        <v>0</v>
      </c>
      <c r="I127" s="1667">
        <f t="shared" si="14"/>
        <v>0</v>
      </c>
      <c r="J127" s="1667">
        <f t="shared" si="14"/>
        <v>0</v>
      </c>
      <c r="K127" s="1667">
        <f t="shared" si="14"/>
        <v>193239</v>
      </c>
      <c r="L127" s="1667">
        <f t="shared" si="14"/>
        <v>197112</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47607</v>
      </c>
      <c r="D129" s="1674">
        <f t="shared" ref="D129:L129" si="15">SUM(D120,D127,D128)</f>
        <v>12076</v>
      </c>
      <c r="E129" s="1674">
        <f t="shared" si="15"/>
        <v>86731</v>
      </c>
      <c r="F129" s="1674">
        <f t="shared" si="15"/>
        <v>22260</v>
      </c>
      <c r="G129" s="1674">
        <f t="shared" si="15"/>
        <v>24565</v>
      </c>
      <c r="H129" s="1674">
        <f t="shared" si="15"/>
        <v>0</v>
      </c>
      <c r="I129" s="1674">
        <f t="shared" si="15"/>
        <v>0</v>
      </c>
      <c r="J129" s="1674">
        <f t="shared" si="15"/>
        <v>0</v>
      </c>
      <c r="K129" s="1674">
        <f t="shared" si="15"/>
        <v>193239</v>
      </c>
      <c r="L129" s="1674">
        <f t="shared" si="15"/>
        <v>197112</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40" t="s">
        <v>620</v>
      </c>
      <c r="B151" s="2222"/>
      <c r="C151" s="1667">
        <f>SUM(C129,C130,C139,C149,C150)</f>
        <v>47607</v>
      </c>
      <c r="D151" s="1667">
        <f t="shared" ref="D151:K151" si="16">SUM(D129,D130,D139,D149,D150)</f>
        <v>12076</v>
      </c>
      <c r="E151" s="1667">
        <f t="shared" si="16"/>
        <v>86731</v>
      </c>
      <c r="F151" s="1667">
        <f t="shared" si="16"/>
        <v>22260</v>
      </c>
      <c r="G151" s="1667">
        <f t="shared" si="16"/>
        <v>24565</v>
      </c>
      <c r="H151" s="1667">
        <f t="shared" si="16"/>
        <v>0</v>
      </c>
      <c r="I151" s="1667">
        <f t="shared" si="16"/>
        <v>0</v>
      </c>
      <c r="J151" s="1667">
        <f t="shared" si="16"/>
        <v>0</v>
      </c>
      <c r="K151" s="1667">
        <f t="shared" si="16"/>
        <v>193239</v>
      </c>
      <c r="L151" s="1667">
        <f>SUM(L129,L130,L139,L149,L150)</f>
        <v>197112</v>
      </c>
    </row>
    <row r="152" spans="1:14" ht="12.75" customHeight="1" thickTop="1" x14ac:dyDescent="0.2">
      <c r="A152" s="2243" t="s">
        <v>1178</v>
      </c>
      <c r="B152" s="2244"/>
      <c r="C152" s="615"/>
      <c r="D152" s="615"/>
      <c r="E152" s="615"/>
      <c r="F152" s="615"/>
      <c r="G152" s="615"/>
      <c r="H152" s="615"/>
      <c r="I152" s="615"/>
      <c r="J152" s="613"/>
      <c r="K152" s="1681">
        <f>'Revenues 9-14'!D268-'Expenditures 15-22'!K151</f>
        <v>117782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28" t="s">
        <v>621</v>
      </c>
      <c r="B154" s="2230"/>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1272</v>
      </c>
      <c r="I169" s="613"/>
      <c r="J169" s="613"/>
      <c r="K169" s="1668">
        <f>SUM(C169:H169)</f>
        <v>1272</v>
      </c>
      <c r="L169" s="653">
        <v>1272</v>
      </c>
    </row>
    <row r="170" spans="1:14" ht="33.75" customHeight="1" x14ac:dyDescent="0.2">
      <c r="A170" s="666" t="s">
        <v>1670</v>
      </c>
      <c r="B170" s="668" t="s">
        <v>31</v>
      </c>
      <c r="C170" s="613"/>
      <c r="D170" s="613"/>
      <c r="E170" s="613"/>
      <c r="F170" s="613"/>
      <c r="G170" s="613"/>
      <c r="H170" s="566">
        <v>53000</v>
      </c>
      <c r="I170" s="613"/>
      <c r="J170" s="613"/>
      <c r="K170" s="1668">
        <f>SUM(C170:J170)</f>
        <v>53000</v>
      </c>
      <c r="L170" s="566">
        <v>53000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54272</v>
      </c>
      <c r="I172" s="635"/>
      <c r="J172" s="613"/>
      <c r="K172" s="1674">
        <f>SUM(K168,K169,K170,K171)</f>
        <v>54272</v>
      </c>
      <c r="L172" s="1674">
        <f>SUM(L168,L169,L170,L171)</f>
        <v>54272</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54272</v>
      </c>
      <c r="I174" s="635"/>
      <c r="J174" s="613"/>
      <c r="K174" s="1674">
        <f>SUM(K160,K172,K173)</f>
        <v>54272</v>
      </c>
      <c r="L174" s="1674">
        <f>SUM(L160,L172,L173)</f>
        <v>54272</v>
      </c>
    </row>
    <row r="175" spans="1:14" ht="13.5" thickTop="1" x14ac:dyDescent="0.2">
      <c r="A175" s="2250" t="s">
        <v>996</v>
      </c>
      <c r="B175" s="2251"/>
      <c r="C175" s="613"/>
      <c r="D175" s="613"/>
      <c r="E175" s="613"/>
      <c r="F175" s="613"/>
      <c r="G175" s="613"/>
      <c r="H175" s="615"/>
      <c r="I175" s="613"/>
      <c r="J175" s="613"/>
      <c r="K175" s="1681">
        <f>'Revenues 9-14'!E268-'Expenditures 15-22'!K174</f>
        <v>494</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106071</v>
      </c>
      <c r="D182" s="466">
        <v>6050</v>
      </c>
      <c r="E182" s="466">
        <v>34730</v>
      </c>
      <c r="F182" s="466">
        <v>17162</v>
      </c>
      <c r="G182" s="466">
        <v>0</v>
      </c>
      <c r="H182" s="466">
        <v>0</v>
      </c>
      <c r="I182" s="467">
        <v>0</v>
      </c>
      <c r="J182" s="467">
        <v>0</v>
      </c>
      <c r="K182" s="1668">
        <f>SUM(C182:J182)</f>
        <v>164013</v>
      </c>
      <c r="L182" s="466">
        <v>162948</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106071</v>
      </c>
      <c r="D184" s="1674">
        <f t="shared" ref="D184:J184" si="17">SUM(D180,D182,D183)</f>
        <v>6050</v>
      </c>
      <c r="E184" s="1674">
        <f t="shared" si="17"/>
        <v>34730</v>
      </c>
      <c r="F184" s="1674">
        <f t="shared" si="17"/>
        <v>17162</v>
      </c>
      <c r="G184" s="1674">
        <f t="shared" si="17"/>
        <v>0</v>
      </c>
      <c r="H184" s="1674">
        <f t="shared" si="17"/>
        <v>0</v>
      </c>
      <c r="I184" s="1674">
        <f t="shared" si="17"/>
        <v>0</v>
      </c>
      <c r="J184" s="1674">
        <f t="shared" si="17"/>
        <v>0</v>
      </c>
      <c r="K184" s="1674">
        <f>SUM(K180,K182,K183)</f>
        <v>164013</v>
      </c>
      <c r="L184" s="1674">
        <f>SUM(L180, L182:L183)</f>
        <v>162948</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106071</v>
      </c>
      <c r="D210" s="1667">
        <f>SUM(D184,D185)</f>
        <v>6050</v>
      </c>
      <c r="E210" s="1667">
        <f>SUM(E184,E185,E196)</f>
        <v>34730</v>
      </c>
      <c r="F210" s="1667">
        <f>SUM(F184,F185)</f>
        <v>17162</v>
      </c>
      <c r="G210" s="1667">
        <f>SUM(G184,G185)</f>
        <v>0</v>
      </c>
      <c r="H210" s="1667">
        <f>SUM(H184,H185,H196,H208,H209)</f>
        <v>0</v>
      </c>
      <c r="I210" s="1667">
        <f>SUM(I184,I185)</f>
        <v>0</v>
      </c>
      <c r="J210" s="1667">
        <f>SUM(J184,J185)</f>
        <v>0</v>
      </c>
      <c r="K210" s="1668">
        <f>SUM(K184,K185,K196,K208,K209)</f>
        <v>164013</v>
      </c>
      <c r="L210" s="1667">
        <f>SUM(L184,L185,L196,L208,L209)</f>
        <v>162948</v>
      </c>
    </row>
    <row r="211" spans="1:14" ht="13.5" thickTop="1" x14ac:dyDescent="0.2">
      <c r="A211" s="2250" t="s">
        <v>996</v>
      </c>
      <c r="B211" s="2251"/>
      <c r="C211" s="615"/>
      <c r="D211" s="615"/>
      <c r="E211" s="615"/>
      <c r="F211" s="615"/>
      <c r="G211" s="615"/>
      <c r="H211" s="615"/>
      <c r="I211" s="613"/>
      <c r="J211" s="613"/>
      <c r="K211" s="1681">
        <f>'Revenues 9-14'!F268-'Expenditures 15-22'!K210</f>
        <v>77696</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45" t="s">
        <v>965</v>
      </c>
      <c r="B213" s="2246"/>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11443</v>
      </c>
      <c r="E215" s="613"/>
      <c r="F215" s="613"/>
      <c r="G215" s="613"/>
      <c r="H215" s="613"/>
      <c r="I215" s="613"/>
      <c r="J215" s="613"/>
      <c r="K215" s="1668">
        <f>D215</f>
        <v>11443</v>
      </c>
      <c r="L215" s="466">
        <v>11443</v>
      </c>
    </row>
    <row r="216" spans="1:14" x14ac:dyDescent="0.2">
      <c r="A216" s="1501" t="s">
        <v>163</v>
      </c>
      <c r="B216" s="611" t="s">
        <v>967</v>
      </c>
      <c r="C216" s="613"/>
      <c r="D216" s="467">
        <v>614</v>
      </c>
      <c r="E216" s="613"/>
      <c r="F216" s="613"/>
      <c r="G216" s="613"/>
      <c r="H216" s="613"/>
      <c r="I216" s="613"/>
      <c r="J216" s="613"/>
      <c r="K216" s="1668">
        <f t="shared" ref="K216:K228" si="19">D216</f>
        <v>614</v>
      </c>
      <c r="L216" s="466">
        <v>614</v>
      </c>
    </row>
    <row r="217" spans="1:14" x14ac:dyDescent="0.2">
      <c r="A217" s="1501" t="s">
        <v>164</v>
      </c>
      <c r="B217" s="611">
        <v>1200</v>
      </c>
      <c r="C217" s="613"/>
      <c r="D217" s="466">
        <v>2577</v>
      </c>
      <c r="E217" s="613"/>
      <c r="F217" s="613"/>
      <c r="G217" s="613"/>
      <c r="H217" s="613"/>
      <c r="I217" s="613"/>
      <c r="J217" s="613"/>
      <c r="K217" s="1668">
        <f t="shared" si="19"/>
        <v>2577</v>
      </c>
      <c r="L217" s="466">
        <v>2577</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3121</v>
      </c>
      <c r="E219" s="613"/>
      <c r="F219" s="613"/>
      <c r="G219" s="613"/>
      <c r="H219" s="613"/>
      <c r="I219" s="613"/>
      <c r="J219" s="613"/>
      <c r="K219" s="1668">
        <f t="shared" si="19"/>
        <v>3121</v>
      </c>
      <c r="L219" s="466">
        <v>5063</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560</v>
      </c>
      <c r="E223" s="613"/>
      <c r="F223" s="613"/>
      <c r="G223" s="613"/>
      <c r="H223" s="613"/>
      <c r="I223" s="613"/>
      <c r="J223" s="613"/>
      <c r="K223" s="1668">
        <f t="shared" si="19"/>
        <v>560</v>
      </c>
      <c r="L223" s="466">
        <v>560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18315</v>
      </c>
      <c r="E229" s="613"/>
      <c r="F229" s="613"/>
      <c r="G229" s="613"/>
      <c r="H229" s="613"/>
      <c r="I229" s="613"/>
      <c r="J229" s="613"/>
      <c r="K229" s="1667">
        <f>SUM(K215:K228)</f>
        <v>18315</v>
      </c>
      <c r="L229" s="1667">
        <f>SUM(L215:L228)</f>
        <v>20257</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589</v>
      </c>
      <c r="E234" s="613"/>
      <c r="F234" s="613"/>
      <c r="G234" s="613"/>
      <c r="H234" s="613"/>
      <c r="I234" s="613"/>
      <c r="J234" s="613"/>
      <c r="K234" s="1668">
        <f t="shared" si="20"/>
        <v>589</v>
      </c>
      <c r="L234" s="466">
        <v>181</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589</v>
      </c>
      <c r="E238" s="613"/>
      <c r="F238" s="613"/>
      <c r="G238" s="613"/>
      <c r="H238" s="613"/>
      <c r="I238" s="613"/>
      <c r="J238" s="613"/>
      <c r="K238" s="1667">
        <f>SUM(K232:K237)</f>
        <v>589</v>
      </c>
      <c r="L238" s="1667">
        <f>SUM(L232:L237)</f>
        <v>181</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401</v>
      </c>
      <c r="E241" s="613"/>
      <c r="F241" s="613"/>
      <c r="G241" s="613"/>
      <c r="H241" s="613"/>
      <c r="I241" s="613"/>
      <c r="J241" s="613"/>
      <c r="K241" s="1669">
        <f>D241</f>
        <v>401</v>
      </c>
      <c r="L241" s="466">
        <v>401</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401</v>
      </c>
      <c r="E243" s="613"/>
      <c r="F243" s="613"/>
      <c r="G243" s="613"/>
      <c r="H243" s="613"/>
      <c r="I243" s="613"/>
      <c r="J243" s="613"/>
      <c r="K243" s="1667">
        <f>SUM(K240:K242)</f>
        <v>401</v>
      </c>
      <c r="L243" s="1667">
        <f>SUM(L240:L242)</f>
        <v>401</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153</v>
      </c>
      <c r="E245" s="613"/>
      <c r="F245" s="613"/>
      <c r="G245" s="613"/>
      <c r="H245" s="613"/>
      <c r="I245" s="613"/>
      <c r="J245" s="613"/>
      <c r="K245" s="1669">
        <f>D245</f>
        <v>153</v>
      </c>
      <c r="L245" s="479">
        <v>153</v>
      </c>
    </row>
    <row r="246" spans="1:12" x14ac:dyDescent="0.2">
      <c r="A246" s="1501" t="s">
        <v>818</v>
      </c>
      <c r="B246" s="611">
        <v>2320</v>
      </c>
      <c r="C246" s="613"/>
      <c r="D246" s="466">
        <v>841</v>
      </c>
      <c r="E246" s="613"/>
      <c r="F246" s="613"/>
      <c r="G246" s="613"/>
      <c r="H246" s="613"/>
      <c r="I246" s="613"/>
      <c r="J246" s="613"/>
      <c r="K246" s="1669">
        <f t="shared" ref="K246:K256" si="21">D246</f>
        <v>841</v>
      </c>
      <c r="L246" s="466">
        <v>841</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259</v>
      </c>
      <c r="E252" s="613"/>
      <c r="F252" s="613"/>
      <c r="G252" s="613"/>
      <c r="H252" s="613"/>
      <c r="I252" s="613"/>
      <c r="J252" s="613"/>
      <c r="K252" s="1669">
        <f t="shared" si="21"/>
        <v>259</v>
      </c>
      <c r="L252" s="466">
        <v>171</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6108</v>
      </c>
      <c r="E254" s="613"/>
      <c r="F254" s="613"/>
      <c r="G254" s="613"/>
      <c r="H254" s="613"/>
      <c r="I254" s="613"/>
      <c r="J254" s="613"/>
      <c r="K254" s="1669">
        <f t="shared" si="21"/>
        <v>6108</v>
      </c>
      <c r="L254" s="466">
        <v>6108</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7361</v>
      </c>
      <c r="E257" s="613"/>
      <c r="F257" s="613"/>
      <c r="G257" s="613"/>
      <c r="H257" s="613"/>
      <c r="I257" s="613"/>
      <c r="J257" s="613"/>
      <c r="K257" s="1667">
        <f>SUM(K245:K256)</f>
        <v>7361</v>
      </c>
      <c r="L257" s="1667">
        <f>SUM(L245:L256)</f>
        <v>7273</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3882</v>
      </c>
      <c r="E259" s="613"/>
      <c r="F259" s="613"/>
      <c r="G259" s="613"/>
      <c r="H259" s="613"/>
      <c r="I259" s="613"/>
      <c r="J259" s="613"/>
      <c r="K259" s="1669">
        <f>D259</f>
        <v>3882</v>
      </c>
      <c r="L259" s="479">
        <v>2964</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3882</v>
      </c>
      <c r="E261" s="613"/>
      <c r="F261" s="613"/>
      <c r="G261" s="613"/>
      <c r="H261" s="613"/>
      <c r="I261" s="613"/>
      <c r="J261" s="613"/>
      <c r="K261" s="1667">
        <f>SUM(K259:K260)</f>
        <v>3882</v>
      </c>
      <c r="L261" s="1667">
        <f>SUM(L259:L260)</f>
        <v>2964</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4459</v>
      </c>
      <c r="E264" s="613"/>
      <c r="F264" s="613"/>
      <c r="G264" s="613"/>
      <c r="H264" s="613"/>
      <c r="I264" s="613"/>
      <c r="J264" s="613"/>
      <c r="K264" s="1669">
        <f t="shared" ref="K264:K269" si="22">D264</f>
        <v>4459</v>
      </c>
      <c r="L264" s="466">
        <v>4459</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6742</v>
      </c>
      <c r="E266" s="613"/>
      <c r="F266" s="613"/>
      <c r="G266" s="613"/>
      <c r="H266" s="613"/>
      <c r="I266" s="613"/>
      <c r="J266" s="613"/>
      <c r="K266" s="1669">
        <f t="shared" si="22"/>
        <v>6742</v>
      </c>
      <c r="L266" s="466">
        <v>6742</v>
      </c>
    </row>
    <row r="267" spans="1:14" x14ac:dyDescent="0.2">
      <c r="A267" s="1501" t="s">
        <v>953</v>
      </c>
      <c r="B267" s="611">
        <v>2550</v>
      </c>
      <c r="C267" s="613"/>
      <c r="D267" s="466">
        <v>13475</v>
      </c>
      <c r="E267" s="613"/>
      <c r="F267" s="613"/>
      <c r="G267" s="613"/>
      <c r="H267" s="613"/>
      <c r="I267" s="613"/>
      <c r="J267" s="613"/>
      <c r="K267" s="1669">
        <f t="shared" si="22"/>
        <v>13475</v>
      </c>
      <c r="L267" s="466">
        <v>13475</v>
      </c>
    </row>
    <row r="268" spans="1:14" x14ac:dyDescent="0.2">
      <c r="A268" s="1501" t="s">
        <v>100</v>
      </c>
      <c r="B268" s="611">
        <v>2560</v>
      </c>
      <c r="C268" s="613"/>
      <c r="D268" s="466">
        <v>4219</v>
      </c>
      <c r="E268" s="613"/>
      <c r="F268" s="613"/>
      <c r="G268" s="613"/>
      <c r="H268" s="613"/>
      <c r="I268" s="613"/>
      <c r="J268" s="613"/>
      <c r="K268" s="1669">
        <f t="shared" si="22"/>
        <v>4219</v>
      </c>
      <c r="L268" s="466">
        <v>4219</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28895</v>
      </c>
      <c r="E270" s="613"/>
      <c r="F270" s="613"/>
      <c r="G270" s="613"/>
      <c r="H270" s="613"/>
      <c r="I270" s="613"/>
      <c r="J270" s="613"/>
      <c r="K270" s="1667">
        <f>SUM(K263:K269)</f>
        <v>28895</v>
      </c>
      <c r="L270" s="1667">
        <f>SUM(L263:L269)</f>
        <v>28895</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810</v>
      </c>
      <c r="E278" s="613"/>
      <c r="F278" s="613"/>
      <c r="G278" s="613"/>
      <c r="H278" s="613"/>
      <c r="I278" s="613"/>
      <c r="J278" s="613"/>
      <c r="K278" s="1682">
        <f>D278</f>
        <v>810</v>
      </c>
      <c r="L278" s="653">
        <v>810</v>
      </c>
    </row>
    <row r="279" spans="1:12" ht="12.75" customHeight="1" thickBot="1" x14ac:dyDescent="0.25">
      <c r="A279" s="1695" t="s">
        <v>811</v>
      </c>
      <c r="B279" s="1678">
        <v>2000</v>
      </c>
      <c r="C279" s="613"/>
      <c r="D279" s="1674">
        <f>SUM(D238,D243,D257,D261,D270,D277,D278)</f>
        <v>41938</v>
      </c>
      <c r="E279" s="613"/>
      <c r="F279" s="613"/>
      <c r="G279" s="613"/>
      <c r="H279" s="613"/>
      <c r="I279" s="613"/>
      <c r="J279" s="613"/>
      <c r="K279" s="1674">
        <f>SUM(K238,K243,K257,K261,K270,K277,K278)</f>
        <v>41938</v>
      </c>
      <c r="L279" s="1674">
        <f>SUM(L238,L243,L257,L261,L270,L277,L278)</f>
        <v>40524</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5527</v>
      </c>
      <c r="E283" s="613"/>
      <c r="F283" s="613"/>
      <c r="G283" s="613"/>
      <c r="H283" s="613"/>
      <c r="I283" s="613"/>
      <c r="J283" s="613"/>
      <c r="K283" s="1668">
        <f>D283</f>
        <v>5527</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5527</v>
      </c>
      <c r="E285" s="613"/>
      <c r="F285" s="613"/>
      <c r="G285" s="613"/>
      <c r="H285" s="613"/>
      <c r="I285" s="613"/>
      <c r="J285" s="613"/>
      <c r="K285" s="1667">
        <f>SUM(K282:K284)</f>
        <v>5527</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41" t="s">
        <v>505</v>
      </c>
      <c r="B295" s="2242"/>
      <c r="C295" s="613"/>
      <c r="D295" s="1667">
        <f>SUM(D229,D279,D280,D285)</f>
        <v>65780</v>
      </c>
      <c r="E295" s="613"/>
      <c r="F295" s="613"/>
      <c r="G295" s="613"/>
      <c r="H295" s="1667">
        <f>H293</f>
        <v>0</v>
      </c>
      <c r="I295" s="613"/>
      <c r="J295" s="613"/>
      <c r="K295" s="1667">
        <f>SUM(K229,K279,K280,K285,K293,K294)</f>
        <v>65780</v>
      </c>
      <c r="L295" s="1667">
        <f>SUM(L229,L279,L280,L285,L293,L294)</f>
        <v>60781</v>
      </c>
    </row>
    <row r="296" spans="1:14" ht="13.5" thickTop="1" x14ac:dyDescent="0.2">
      <c r="A296" s="2250" t="s">
        <v>996</v>
      </c>
      <c r="B296" s="2251"/>
      <c r="C296" s="613"/>
      <c r="D296" s="615"/>
      <c r="E296" s="613"/>
      <c r="F296" s="613"/>
      <c r="G296" s="613"/>
      <c r="H296" s="684"/>
      <c r="I296" s="613"/>
      <c r="J296" s="613"/>
      <c r="K296" s="1681">
        <f>'Revenues 9-14'!G268-'Expenditures 15-22'!K295</f>
        <v>15637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33" t="s">
        <v>143</v>
      </c>
      <c r="B298" s="2227"/>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38" t="s">
        <v>277</v>
      </c>
      <c r="B312" s="2239"/>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234" t="s">
        <v>996</v>
      </c>
      <c r="B313" s="2235"/>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47" t="s">
        <v>149</v>
      </c>
      <c r="B315" s="2248"/>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49" t="s">
        <v>898</v>
      </c>
      <c r="B317" s="2248"/>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10076</v>
      </c>
      <c r="F320" s="467">
        <v>0</v>
      </c>
      <c r="G320" s="467">
        <v>0</v>
      </c>
      <c r="H320" s="467">
        <v>0</v>
      </c>
      <c r="I320" s="467">
        <v>0</v>
      </c>
      <c r="J320" s="467">
        <v>0</v>
      </c>
      <c r="K320" s="1668">
        <f t="shared" ref="K320:K327" si="24">SUM(C320:J320)</f>
        <v>10076</v>
      </c>
      <c r="L320" s="467">
        <v>10076</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29896</v>
      </c>
      <c r="F322" s="467">
        <v>0</v>
      </c>
      <c r="G322" s="467">
        <v>0</v>
      </c>
      <c r="H322" s="467">
        <v>0</v>
      </c>
      <c r="I322" s="467">
        <v>0</v>
      </c>
      <c r="J322" s="467">
        <v>0</v>
      </c>
      <c r="K322" s="1668">
        <f t="shared" si="24"/>
        <v>29896</v>
      </c>
      <c r="L322" s="467">
        <v>29896</v>
      </c>
      <c r="M322" s="662"/>
      <c r="N322" s="662"/>
    </row>
    <row r="323" spans="1:14" s="671" customFormat="1" x14ac:dyDescent="0.2">
      <c r="A323" s="1516" t="s">
        <v>702</v>
      </c>
      <c r="B323" s="694" t="s">
        <v>285</v>
      </c>
      <c r="C323" s="467">
        <v>11822</v>
      </c>
      <c r="D323" s="467">
        <v>2348</v>
      </c>
      <c r="E323" s="467">
        <v>2185</v>
      </c>
      <c r="F323" s="467">
        <v>0</v>
      </c>
      <c r="G323" s="467">
        <v>0</v>
      </c>
      <c r="H323" s="467">
        <v>0</v>
      </c>
      <c r="I323" s="467">
        <v>0</v>
      </c>
      <c r="J323" s="467">
        <v>0</v>
      </c>
      <c r="K323" s="1668">
        <f t="shared" si="24"/>
        <v>16355</v>
      </c>
      <c r="L323" s="467">
        <v>16284</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88766</v>
      </c>
      <c r="D325" s="467">
        <v>17953</v>
      </c>
      <c r="E325" s="467">
        <v>1355</v>
      </c>
      <c r="F325" s="467">
        <v>250</v>
      </c>
      <c r="G325" s="467">
        <v>0</v>
      </c>
      <c r="H325" s="467">
        <v>0</v>
      </c>
      <c r="I325" s="467">
        <v>0</v>
      </c>
      <c r="J325" s="467">
        <v>0</v>
      </c>
      <c r="K325" s="1668">
        <f t="shared" si="24"/>
        <v>108324</v>
      </c>
      <c r="L325" s="467">
        <v>107847</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280</v>
      </c>
      <c r="F327" s="467">
        <v>0</v>
      </c>
      <c r="G327" s="467">
        <v>0</v>
      </c>
      <c r="H327" s="467">
        <v>0</v>
      </c>
      <c r="I327" s="467">
        <v>0</v>
      </c>
      <c r="J327" s="467">
        <v>0</v>
      </c>
      <c r="K327" s="1668">
        <f t="shared" si="24"/>
        <v>280</v>
      </c>
      <c r="L327" s="467">
        <v>280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100588</v>
      </c>
      <c r="D330" s="1667">
        <f t="shared" ref="D330:J330" si="25">SUM(D319:D329)</f>
        <v>20301</v>
      </c>
      <c r="E330" s="1667">
        <f t="shared" si="25"/>
        <v>43792</v>
      </c>
      <c r="F330" s="1667">
        <f t="shared" si="25"/>
        <v>250</v>
      </c>
      <c r="G330" s="1667">
        <f t="shared" si="25"/>
        <v>0</v>
      </c>
      <c r="H330" s="1667">
        <f t="shared" si="25"/>
        <v>0</v>
      </c>
      <c r="I330" s="1667">
        <f t="shared" si="25"/>
        <v>0</v>
      </c>
      <c r="J330" s="1667">
        <f t="shared" si="25"/>
        <v>0</v>
      </c>
      <c r="K330" s="1667">
        <f>SUM(K319:K329)</f>
        <v>164931</v>
      </c>
      <c r="L330" s="1667">
        <f>SUM(L319:L329)</f>
        <v>164383</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100588</v>
      </c>
      <c r="D342" s="1667">
        <f>SUM(D330)</f>
        <v>20301</v>
      </c>
      <c r="E342" s="1667">
        <f>SUM(E330)</f>
        <v>43792</v>
      </c>
      <c r="F342" s="1667">
        <f>SUM(F330)</f>
        <v>250</v>
      </c>
      <c r="G342" s="1667">
        <f>SUM(G330)</f>
        <v>0</v>
      </c>
      <c r="H342" s="1667">
        <f>SUM(H330,H334,H340)</f>
        <v>0</v>
      </c>
      <c r="I342" s="1667">
        <f>SUM(I330)</f>
        <v>0</v>
      </c>
      <c r="J342" s="1667">
        <f>SUM(J330)</f>
        <v>0</v>
      </c>
      <c r="K342" s="1667">
        <f>SUM(K330,K334,K340)</f>
        <v>164931</v>
      </c>
      <c r="L342" s="1674">
        <f>SUM(L330,L340,L341)</f>
        <v>164383</v>
      </c>
    </row>
    <row r="343" spans="1:14" ht="12.75" customHeight="1" thickTop="1" x14ac:dyDescent="0.2">
      <c r="A343" s="2236" t="s">
        <v>996</v>
      </c>
      <c r="B343" s="2237"/>
      <c r="C343" s="613"/>
      <c r="D343" s="613"/>
      <c r="E343" s="613"/>
      <c r="F343" s="613"/>
      <c r="G343" s="613"/>
      <c r="H343" s="613"/>
      <c r="I343" s="613"/>
      <c r="J343" s="613"/>
      <c r="K343" s="1681">
        <f>'Revenues 9-14'!J268-'Expenditures 15-22'!K342</f>
        <v>29944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26" t="s">
        <v>966</v>
      </c>
      <c r="B345" s="2227"/>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2537</v>
      </c>
      <c r="F348" s="466">
        <v>0</v>
      </c>
      <c r="G348" s="466">
        <v>0</v>
      </c>
      <c r="H348" s="466">
        <v>0</v>
      </c>
      <c r="I348" s="467">
        <v>0</v>
      </c>
      <c r="J348" s="467">
        <v>0</v>
      </c>
      <c r="K348" s="1668">
        <f>SUM(C348:J348)</f>
        <v>2537</v>
      </c>
      <c r="L348" s="466">
        <v>2537</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2537</v>
      </c>
      <c r="F350" s="1667">
        <f t="shared" si="26"/>
        <v>0</v>
      </c>
      <c r="G350" s="1667">
        <f t="shared" si="26"/>
        <v>0</v>
      </c>
      <c r="H350" s="1667">
        <f t="shared" si="26"/>
        <v>0</v>
      </c>
      <c r="I350" s="1667">
        <f t="shared" si="26"/>
        <v>0</v>
      </c>
      <c r="J350" s="1667">
        <f t="shared" si="26"/>
        <v>0</v>
      </c>
      <c r="K350" s="1667">
        <f t="shared" si="26"/>
        <v>2537</v>
      </c>
      <c r="L350" s="1667">
        <f t="shared" si="26"/>
        <v>2537</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2537</v>
      </c>
      <c r="F352" s="1667">
        <f t="shared" si="27"/>
        <v>0</v>
      </c>
      <c r="G352" s="1667">
        <f t="shared" si="27"/>
        <v>0</v>
      </c>
      <c r="H352" s="1667">
        <f t="shared" si="27"/>
        <v>0</v>
      </c>
      <c r="I352" s="1667">
        <f t="shared" si="27"/>
        <v>0</v>
      </c>
      <c r="J352" s="1667">
        <f t="shared" si="27"/>
        <v>0</v>
      </c>
      <c r="K352" s="1667">
        <f t="shared" si="27"/>
        <v>2537</v>
      </c>
      <c r="L352" s="1667">
        <f t="shared" si="27"/>
        <v>2537</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2537</v>
      </c>
      <c r="F367" s="1667">
        <f t="shared" si="28"/>
        <v>0</v>
      </c>
      <c r="G367" s="1667">
        <f t="shared" si="28"/>
        <v>0</v>
      </c>
      <c r="H367" s="1667">
        <f t="shared" si="28"/>
        <v>0</v>
      </c>
      <c r="I367" s="1667">
        <f t="shared" si="28"/>
        <v>0</v>
      </c>
      <c r="J367" s="1667">
        <f t="shared" si="28"/>
        <v>0</v>
      </c>
      <c r="K367" s="1667">
        <f t="shared" si="28"/>
        <v>2537</v>
      </c>
      <c r="L367" s="1667">
        <f t="shared" si="28"/>
        <v>2537</v>
      </c>
    </row>
    <row r="368" spans="1:14" ht="13.5" thickTop="1" x14ac:dyDescent="0.2">
      <c r="A368" s="2250" t="s">
        <v>996</v>
      </c>
      <c r="B368" s="2251"/>
      <c r="C368" s="651"/>
      <c r="D368" s="651"/>
      <c r="E368" s="623"/>
      <c r="F368" s="623"/>
      <c r="G368" s="623"/>
      <c r="H368" s="623"/>
      <c r="I368" s="623"/>
      <c r="J368" s="620"/>
      <c r="K368" s="1668">
        <f>'Revenues 9-14'!K268-'Expenditures 15-22'!K367</f>
        <v>28128</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4d435f69-8686-490b-bd6d-b153bf22ab50"/>
    <ds:schemaRef ds:uri="http://purl.org/dc/dcmitype/"/>
    <ds:schemaRef ds:uri="http://schemas.microsoft.com/office/2006/metadata/properties"/>
    <ds:schemaRef ds:uri="6ce3111e-7420-4802-b50a-75d4e9a0b980"/>
    <ds:schemaRef ds:uri="http://purl.org/dc/elements/1.1/"/>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d21dc803-237d-4c68-8692-8d731fd29118"/>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16</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Finding 2019-003</vt:lpstr>
      <vt:lpstr>Finding 2019-004</vt:lpstr>
      <vt:lpstr>Finding 2019-005</vt:lpstr>
      <vt:lpstr>SF&amp;QC Sec-3</vt:lpstr>
      <vt:lpstr>SSPAF</vt:lpstr>
      <vt:lpstr>CAP 2019-001</vt:lpstr>
      <vt:lpstr>CAP 2019-002</vt:lpstr>
      <vt:lpstr>CAP 2019-003</vt:lpstr>
      <vt:lpstr>CAP 2019-004</vt:lpstr>
      <vt:lpstr>CAP 2019-005</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2019-11-05T18:44:44Z</cp:lastPrinted>
  <dcterms:created xsi:type="dcterms:W3CDTF">2003-10-29T19:06:34Z</dcterms:created>
  <dcterms:modified xsi:type="dcterms:W3CDTF">2019-12-23T20:28:14Z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