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BAC79FF-BD1F-4EC4-9CD0-82CEA048C1E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7" l="1"/>
  <c r="B4" i="183" l="1"/>
  <c r="J33" i="8" l="1"/>
  <c r="J31" i="8"/>
  <c r="J32"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6" i="127"/>
  <c r="B67"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49" i="34" l="1"/>
  <c r="D54" i="36"/>
  <c r="B6289" i="106"/>
  <c r="D6289" i="106" s="1"/>
  <c r="L15" i="11"/>
  <c r="B3459" i="106" s="1"/>
  <c r="D3459" i="106" s="1"/>
  <c r="B7078" i="106"/>
  <c r="D7078" i="106" s="1"/>
  <c r="F50" i="34"/>
  <c r="J210" i="29"/>
  <c r="B7072" i="106" s="1"/>
  <c r="D7072" i="106" s="1"/>
  <c r="F64" i="34"/>
  <c r="F46" i="34"/>
  <c r="F36" i="108"/>
  <c r="F42" i="34"/>
  <c r="H76" i="4"/>
  <c r="B3298" i="106" s="1"/>
  <c r="D3298" i="106" s="1"/>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<sst xmlns="http://schemas.openxmlformats.org/spreadsheetml/2006/main" count="5152" uniqueCount="2147">
  <si>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</si>
  <si>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</si>
  <si>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</si>
  <si>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</si>
  <si>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</si>
  <si>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</si>
  <si>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</si>
  <si>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</si>
  <si>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</si>
  <si>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</si>
  <si>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</si>
  <si>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</si>
  <si>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</si>
  <si>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</si>
  <si>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</si>
  <si>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</si>
  <si>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</si>
  <si>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</si>
  <si>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</si>
  <si>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</si>
  <si>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</si>
  <si>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</si>
  <si>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</si>
  <si>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</si>
  <si>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</si>
  <si>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</si>
  <si>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</si>
  <si>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</si>
  <si>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</si>
  <si>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</si>
  <si>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</si>
  <si>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</si>
  <si>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</si>
  <si>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</si>
  <si>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</si>
  <si>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</si>
  <si>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</si>
  <si>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</si>
  <si>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</si>
  <si>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</si>
  <si>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</si>
  <si>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</si>
  <si>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</si>
  <si>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</si>
  <si>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</si>
  <si>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</si>
  <si>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</si>
  <si>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</si>
  <si>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</si>
  <si>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</si>
  <si>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</si>
  <si>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</si>
  <si>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</si>
  <si>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</si>
  <si>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</si>
  <si>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</si>
  <si>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</si>
  <si>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</si>
  <si>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</si>
  <si>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</si>
  <si>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</si>
  <si>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</si>
  <si>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</si>
  <si>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</si>
  <si>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</si>
  <si>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</si>
  <si>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</si>
  <si>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</si>
  <si>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</si>
  <si>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</si>
  <si>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</si>
  <si>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</si>
  <si>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</si>
  <si>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</si>
  <si>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</si>
  <si>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</si>
  <si>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</si>
  <si>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</si>
  <si>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</si>
  <si>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</si>
  <si>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</si>
  <si>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</si>
  <si>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</si>
  <si>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</si>
  <si>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</si>
  <si>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</si>
  <si>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</si>
  <si>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</si>
  <si>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</si>
  <si>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</si>
  <si>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</si>
  <si>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</si>
  <si>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</si>
  <si>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</si>
  <si>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</si>
  <si>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</si>
  <si>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</si>
  <si>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</si>
  <si>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</si>
  <si>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</si>
  <si>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</si>
  <si>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</si>
  <si>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</si>
  <si>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</si>
  <si>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</si>
  <si>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</si>
  <si>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</si>
  <si>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</si>
  <si>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</si>
  <si>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</si>
  <si>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</si>
  <si>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</si>
  <si>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</si>
  <si>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</si>
  <si>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</si>
  <si>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</si>
  <si>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</si>
  <si>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</si>
  <si>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</si>
  <si>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</si>
  <si>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</si>
  <si>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</si>
  <si>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</si>
  <si>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</si>
  <si>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</si>
  <si>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</si>
  <si>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</si>
  <si>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</si>
  <si>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</si>
  <si>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</si>
  <si>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</si>
  <si>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</si>
  <si>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</si>
  <si>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</si>
  <si>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</si>
  <si>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</si>
  <si>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</si>
  <si>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</si>
  <si>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</si>
  <si>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</si>
  <si>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</si>
  <si>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</si>
  <si>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</si>
  <si>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</si>
  <si>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</si>
  <si>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</si>
  <si>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</si>
  <si>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</si>
  <si>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</si>
  <si>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</si>
  <si>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</si>
  <si>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</si>
  <si>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</si>
  <si>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</si>
  <si>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</si>
  <si>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</si>
  <si>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</si>
  <si>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</si>
  <si>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</si>
  <si>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</si>
  <si>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</si>
  <si>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</si>
  <si>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</si>
  <si>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</si>
  <si>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</si>
  <si>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</si>
  <si>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</si>
  <si>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</si>
  <si>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</si>
  <si>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</si>
  <si>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</si>
  <si>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</si>
  <si>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</si>
  <si>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</si>
  <si>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</si>
  <si>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</si>
  <si>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</si>
  <si>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</si>
  <si>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</si>
  <si>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</si>
  <si>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</si>
  <si>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</si>
  <si>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</si>
  <si>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</si>
  <si>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</si>
  <si>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</si>
  <si>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</si>
  <si>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</si>
  <si>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</si>
  <si>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</si>
  <si>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</si>
  <si>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</si>
  <si>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</si>
  <si>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</si>
  <si>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</si>
  <si>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</si>
  <si>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</si>
  <si>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</si>
  <si>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</si>
  <si>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</si>
  <si>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</si>
  <si>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</si>
  <si>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</si>
  <si>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</si>
  <si>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</si>
  <si>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</si>
  <si>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</si>
  <si>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</si>
  <si>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</si>
  <si>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</si>
  <si>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</si>
  <si>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</si>
  <si>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</si>
  <si>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</si>
  <si>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</si>
  <si>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</si>
  <si>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</si>
  <si>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</si>
  <si>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</si>
  <si>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</si>
  <si>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</si>
  <si>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</si>
  <si>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</si>
  <si>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</si>
  <si>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</si>
  <si>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</si>
  <si>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</si>
  <si>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</si>
  <si>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</si>
  <si>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</si>
  <si>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</si>
  <si>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</si>
  <si>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</si>
  <si>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</si>
  <si>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</si>
  <si>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</si>
  <si>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</si>
  <si>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</si>
  <si>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</si>
  <si>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</si>
  <si>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</si>
  <si>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</si>
  <si>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</si>
  <si>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</si>
  <si>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</si>
  <si>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</si>
  <si>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</si>
  <si>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</si>
  <si>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</si>
  <si>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</si>
  <si>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</si>
  <si>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</si>
  <si>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</si>
  <si>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</si>
  <si>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</si>
  <si>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</si>
  <si>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</si>
  <si>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</si>
  <si>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</si>
  <si>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</si>
  <si>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</si>
  <si>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</si>
  <si>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</si>
  <si>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</si>
  <si>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</si>
  <si>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</si>
  <si>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</si>
  <si>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</si>
  <si>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</si>
  <si>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</si>
  <si>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</si>
  <si>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</si>
  <si>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</si>
  <si>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</si>
  <si>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</si>
  <si>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</si>
  <si>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</si>
  <si>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</si>
  <si>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</si>
  <si>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</si>
  <si>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</si>
  <si>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</si>
  <si>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</si>
  <si>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</si>
  <si>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</si>
  <si>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</si>
  <si>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</si>
  <si>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</si>
  <si>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</si>
  <si>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</si>
  <si>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</si>
  <si>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</si>
  <si>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</si>
  <si>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</si>
  <si>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</si>
  <si>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</si>
  <si>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</si>
  <si>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</si>
  <si>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</si>
  <si>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</si>
  <si>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</si>
  <si>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</si>
  <si>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</si>
  <si>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</si>
  <si>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</si>
  <si>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</si>
  <si>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</si>
  <si>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</si>
  <si>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</si>
  <si>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</si>
  <si>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</si>
  <si>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</si>
  <si>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</si>
  <si>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</si>
  <si>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</si>
  <si>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</si>
  <si>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</si>
  <si>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</si>
  <si>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</si>
  <si>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</si>
  <si>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</si>
  <si>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</si>
  <si>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</si>
  <si>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</si>
  <si>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</si>
  <si>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</si>
  <si>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</si>
  <si>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</si>
  <si>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</si>
  <si>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</si>
  <si>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</si>
  <si>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</si>
  <si>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</si>
  <si>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</si>
  <si>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</si>
  <si>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</si>
  <si>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</si>
  <si>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</si>
  <si>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</si>
  <si>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</si>
  <si>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</si>
  <si>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</si>
  <si>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</si>
  <si>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</si>
  <si>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</si>
  <si>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</si>
  <si>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</si>
  <si>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</si>
  <si>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</si>
  <si>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</si>
  <si>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</si>
  <si>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</si>
  <si>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</si>
  <si>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</si>
  <si>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</si>
  <si>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</si>
  <si>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</si>
  <si>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</si>
  <si>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</si>
  <si>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</si>
  <si>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</si>
  <si>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</si>
  <si>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</si>
  <si>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</si>
  <si>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</si>
  <si>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</si>
  <si>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</si>
  <si>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</si>
  <si>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</si>
  <si>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</si>
  <si>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</si>
  <si>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</si>
  <si>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</si>
  <si>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</si>
  <si>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</si>
  <si>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</si>
  <si>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</si>
  <si>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</si>
  <si>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</si>
  <si>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</si>
  <si>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</si>
  <si>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</si>
  <si>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</si>
  <si>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</si>
  <si>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</si>
  <si>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</si>
  <si>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</si>
  <si>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</si>
  <si>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</si>
  <si>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</si>
  <si>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</si>
  <si>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</si>
  <si>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</si>
  <si>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</si>
  <si>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</si>
  <si>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</si>
  <si>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</si>
  <si>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</si>
  <si>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</si>
  <si>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</si>
  <si>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</si>
  <si>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</si>
  <si>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</si>
  <si>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</si>
  <si>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</si>
  <si>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</si>
  <si>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</si>
  <si>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</si>
  <si>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</si>
  <si>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</si>
  <si>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</si>
  <si>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</si>
  <si>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</si>
  <si>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</si>
  <si>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</si>
  <si>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</si>
  <si>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</si>
  <si>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</si>
  <si>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</si>
  <si>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</si>
  <si>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</si>
  <si>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</si>
  <si>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</si>
  <si>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</si>
  <si>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</si>
  <si>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</si>
  <si>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</si>
  <si>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</si>
  <si>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</si>
  <si>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</si>
  <si>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</si>
  <si>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</si>
  <si>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</si>
  <si>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</si>
  <si>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</si>
  <si>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</si>
  <si>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</si>
  <si>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</si>
  <si>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</si>
  <si>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</si>
  <si>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</si>
  <si>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</si>
  <si>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</si>
  <si>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</si>
  <si>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</si>
  <si>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</si>
  <si>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</si>
  <si>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</si>
  <si>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</si>
  <si>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</si>
  <si>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</si>
  <si>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</si>
  <si>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</si>
  <si>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</si>
  <si>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</si>
  <si>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</si>
  <si>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</si>
  <si>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</si>
  <si>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</si>
  <si>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</si>
  <si>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</si>
  <si>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</si>
  <si>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</si>
  <si>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</si>
  <si>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</si>
  <si>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</si>
  <si>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</si>
  <si>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</si>
  <si>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</si>
  <si>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</si>
  <si>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</si>
  <si>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</si>
  <si>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</si>
  <si>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</si>
  <si>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</si>
  <si>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</si>
  <si>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</si>
  <si>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</si>
  <si>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</si>
  <si>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</si>
  <si>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</si>
  <si>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</si>
  <si>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</si>
  <si>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</si>
  <si>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</si>
  <si>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</si>
  <si>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</si>
  <si>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</si>
  <si>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</si>
  <si>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</si>
  <si>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</si>
  <si>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</si>
  <si>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</si>
  <si>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</si>
  <si>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</si>
  <si>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</si>
  <si>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</si>
  <si>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</si>
  <si>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</si>
  <si>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</si>
  <si>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</si>
  <si>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</si>
  <si>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</si>
  <si>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</si>
  <si>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</si>
  <si>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</si>
  <si>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</si>
  <si>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</si>
  <si>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</si>
  <si>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</si>
  <si>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</si>
  <si>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</si>
  <si>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</si>
  <si>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</si>
  <si>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</si>
  <si>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</si>
  <si>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</si>
  <si>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</si>
  <si>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</si>
  <si>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</si>
  <si>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</si>
  <si>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</si>
  <si>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</si>
  <si>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</si>
  <si>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</si>
  <si>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</si>
  <si>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</si>
  <si>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</si>
  <si>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</si>
  <si>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</si>
  <si>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</si>
  <si>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</si>
  <si>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</si>
  <si>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</si>
  <si>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</si>
  <si>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</si>
  <si>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</si>
  <si>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</si>
  <si>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</si>
  <si>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</si>
  <si>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</si>
  <si>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</si>
  <si>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</si>
  <si>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</si>
  <si>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</si>
  <si>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</si>
  <si>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</si>
  <si>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</si>
  <si>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</si>
  <si>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</si>
  <si>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</si>
  <si>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</si>
  <si>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</si>
  <si>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</si>
  <si>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</si>
  <si>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</si>
  <si>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</si>
  <si>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</si>
  <si>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</si>
  <si>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</si>
  <si>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</si>
  <si>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</si>
  <si>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</si>
  <si>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</si>
  <si>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</si>
  <si>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</si>
  <si>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</si>
  <si>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</si>
  <si>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</si>
  <si>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</si>
  <si>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</si>
  <si>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</si>
  <si>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</si>
  <si>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</si>
  <si>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</si>
  <si>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</si>
  <si>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</si>
  <si>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</si>
  <si>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</si>
  <si>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</si>
  <si>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</si>
  <si>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</si>
  <si>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</si>
  <si>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</si>
  <si>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</si>
  <si>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</si>
  <si>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</si>
  <si>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</si>
  <si>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</si>
  <si>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</si>
  <si>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</si>
  <si>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</si>
  <si>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</si>
  <si>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</si>
  <si>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</si>
  <si>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</si>
  <si>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</si>
  <si>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</si>
  <si>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</si>
  <si>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</si>
  <si>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</si>
  <si>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</si>
  <si>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</si>
  <si>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</si>
  <si>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</si>
  <si>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</si>
  <si>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</si>
  <si>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</si>
  <si>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</si>
  <si>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</si>
  <si>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</si>
  <si>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</si>
  <si>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</si>
  <si>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</si>
  <si>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</si>
  <si>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</si>
  <si>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</si>
  <si>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</si>
  <si>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</si>
  <si>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</si>
  <si>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</si>
  <si>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</si>
  <si>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</si>
  <si>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</si>
  <si>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</si>
  <si>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</si>
  <si>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</si>
  <si>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</si>
  <si>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</si>
  <si>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</si>
  <si>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</si>
  <si>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</si>
  <si>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</si>
  <si>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</si>
  <si>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</si>
  <si>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</si>
  <si>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</si>
  <si>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</si>
  <si>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</si>
  <si>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</si>
  <si>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</si>
  <si>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</si>
  <si>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</si>
  <si>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</si>
  <si>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</si>
  <si>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</si>
  <si>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</si>
  <si>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</si>
  <si>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</si>
  <si>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</si>
  <si>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</si>
  <si>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</si>
  <si>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</si>
  <si>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</si>
  <si>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</si>
  <si>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</si>
  <si>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</si>
  <si>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</si>
  <si>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</si>
  <si>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</si>
  <si>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</si>
  <si>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</si>
  <si>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</si>
  <si>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</si>
  <si>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</si>
  <si>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</si>
  <si>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</si>
  <si>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</si>
  <si>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</si>
  <si>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</si>
  <si>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</si>
  <si>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</si>
  <si>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</si>
  <si>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</si>
  <si>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</si>
  <si>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</si>
  <si>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</si>
  <si>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</si>
  <si>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</si>
  <si>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</si>
  <si>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</si>
  <si>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</si>
  <si>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</si>
  <si>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</si>
  <si>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</si>
  <si>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</si>
  <si>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</si>
  <si>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</si>
  <si>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</si>
  <si>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</si>
  <si>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</si>
  <si>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</si>
  <si>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</si>
  <si>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</si>
  <si>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</si>
  <si>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</si>
  <si>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</si>
  <si>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</si>
  <si>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</si>
  <si>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</si>
  <si>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</si>
  <si>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</si>
  <si>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</si>
  <si>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</si>
  <si>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</si>
  <si>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</si>
  <si>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</si>
  <si>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</si>
  <si>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</si>
  <si>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</si>
  <si>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</si>
  <si>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</si>
  <si>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</si>
  <si>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</si>
  <si>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</si>
  <si>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</si>
  <si>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</si>
  <si>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</si>
  <si>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</si>
  <si>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</si>
  <si>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</si>
  <si>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</si>
  <si>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</si>
  <si>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</si>
  <si>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</si>
  <si>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</si>
  <si>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</si>
  <si>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</si>
  <si>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</si>
  <si>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</si>
  <si>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</si>
  <si>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</si>
  <si>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</si>
  <si>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</si>
  <si>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</si>
  <si>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</si>
  <si>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</si>
  <si>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</si>
  <si>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</si>
  <si>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</si>
  <si>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</si>
  <si>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</si>
  <si>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</si>
  <si>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</si>
  <si>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</si>
  <si>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</si>
  <si>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</si>
  <si>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</si>
  <si>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</si>
  <si>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</si>
  <si>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</si>
  <si>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</si>
  <si>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</si>
  <si>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</si>
  <si>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</si>
  <si>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</si>
  <si>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</si>
  <si>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</si>
  <si>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</si>
  <si>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</si>
  <si>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</si>
  <si>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</si>
  <si>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</si>
  <si>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</si>
  <si>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</si>
  <si>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</si>
  <si>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</si>
  <si>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</si>
  <si>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</si>
  <si>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</si>
  <si>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</si>
  <si>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</si>
  <si>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</si>
  <si>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</si>
  <si>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</si>
  <si>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</si>
  <si>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</si>
  <si>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</si>
  <si>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</si>
  <si>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</si>
  <si>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</si>
  <si>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</si>
  <si>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</si>
  <si>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</si>
  <si>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</si>
  <si>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</si>
  <si>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</si>
  <si>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</si>
  <si>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</si>
  <si>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</si>
  <si>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</si>
  <si>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</si>
  <si>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</si>
  <si>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</si>
  <si>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</si>
  <si>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</si>
  <si>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</si>
  <si>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</si>
  <si>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</si>
  <si>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</si>
  <si>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</si>
  <si>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</si>
  <si>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</si>
  <si>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</si>
  <si>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</si>
  <si>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</si>
  <si>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</si>
  <si>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</si>
  <si>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</si>
  <si>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</si>
  <si>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</si>
  <si>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</si>
  <si>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</si>
  <si>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</si>
  <si>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</si>
  <si>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</si>
  <si>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</si>
  <si>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</si>
  <si>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</si>
  <si>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</si>
  <si>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</si>
  <si>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</si>
  <si>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</si>
  <si>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</si>
  <si>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</si>
  <si>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</si>
  <si>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</si>
  <si>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</si>
  <si>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</si>
  <si>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</si>
  <si>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</si>
  <si>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</si>
  <si>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</si>
  <si>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</si>
  <si>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</si>
  <si>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</si>
  <si>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</si>
  <si>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</si>
  <si>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</si>
  <si>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</si>
  <si>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</si>
  <si>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</si>
  <si>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</si>
  <si>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</si>
  <si>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</si>
  <si>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</si>
  <si>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</si>
  <si>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</si>
  <si>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</si>
  <si>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</si>
  <si>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</si>
  <si>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</si>
  <si>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</si>
  <si>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</si>
  <si>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</si>
  <si>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</si>
  <si>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</si>
  <si>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</si>
  <si>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</si>
  <si>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</si>
  <si>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</si>
  <si>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</si>
  <si>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</si>
  <si>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</si>
  <si>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</si>
  <si>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</si>
  <si>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</si>
  <si>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</si>
  <si>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</si>
  <si>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</si>
  <si>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</si>
  <si>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</si>
  <si>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</si>
  <si>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</si>
  <si>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</si>
  <si>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</si>
  <si>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</si>
  <si>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</si>
  <si>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</si>
  <si>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</si>
  <si>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</si>
  <si>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</si>
  <si>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</si>
  <si>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</si>
  <si>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</si>
  <si>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</si>
  <si>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</si>
  <si>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</si>
  <si>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</si>
  <si>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</si>
  <si>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</si>
  <si>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</si>
  <si>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</si>
  <si>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</si>
  <si>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</si>
  <si>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</si>
  <si>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</si>
  <si>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</si>
  <si>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</si>
  <si>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</si>
  <si>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</si>
  <si>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</si>
  <si>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</si>
  <si>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</si>
  <si>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</si>
  <si>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</si>
  <si>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</si>
  <si>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</si>
  <si>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</si>
  <si>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</si>
  <si>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</si>
  <si>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</si>
  <si>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</si>
  <si>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</si>
  <si>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</si>
  <si>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</si>
  <si>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</si>
  <si>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</si>
  <si>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</si>
  <si>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</si>
  <si>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</si>
  <si>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</si>
  <si>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</si>
  <si>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</si>
  <si>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</si>
  <si>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</si>
  <si>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</si>
  <si>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</si>
  <si>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</si>
  <si>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</si>
  <si>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</si>
  <si>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</si>
  <si>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</si>
  <si>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</si>
  <si>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</si>
  <si>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</si>
  <si>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</si>
  <si>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</si>
  <si>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</si>
  <si>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</si>
  <si>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</si>
  <si>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</si>
  <si>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</si>
  <si>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</si>
  <si>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</si>
  <si>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</si>
  <si>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</si>
  <si>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</si>
  <si>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</si>
  <si>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</si>
  <si>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</si>
  <si>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</si>
  <si>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</si>
  <si>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</si>
  <si>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</si>
  <si>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</si>
  <si>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</si>
  <si>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</si>
  <si>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</si>
  <si>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</si>
  <si>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</si>
  <si>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</si>
  <si>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</si>
  <si>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</si>
  <si>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</si>
  <si>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</si>
  <si>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</si>
  <si>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</si>
  <si>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</si>
  <si>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</si>
  <si>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</si>
  <si>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</si>
  <si>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</si>
  <si>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</si>
  <si>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</si>
  <si>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</si>
  <si>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</si>
  <si>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</si>
  <si>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</si>
  <si>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</si>
  <si>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</si>
  <si>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</si>
  <si>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</si>
  <si>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</si>
  <si>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</si>
  <si>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</si>
  <si>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</si>
  <si>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</si>
  <si>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</si>
  <si>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</si>
  <si>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</si>
  <si>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</si>
  <si>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</si>
  <si>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</si>
  <si>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</si>
  <si>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</si>
  <si>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</si>
  <si>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</si>
  <si>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</si>
  <si>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</si>
  <si>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</si>
  <si>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</si>
  <si>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</si>
  <si>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</si>
  <si>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</si>
  <si>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</si>
  <si>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</si>
  <si>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</si>
  <si>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</si>
  <si>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</si>
  <si>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</si>
  <si>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</si>
  <si>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</si>
  <si>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</si>
  <si>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</si>
  <si>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</si>
  <si>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</si>
  <si>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</si>
  <si>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</si>
  <si>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</si>
  <si>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</si>
  <si>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</si>
  <si>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</si>
  <si>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</si>
  <si>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</si>
  <si>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</si>
  <si>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</si>
  <si>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</si>
  <si>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</si>
  <si>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</si>
  <si>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</si>
  <si>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</si>
  <si>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</si>
  <si>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</si>
  <si>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</si>
  <si>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</si>
  <si>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</si>
  <si>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</si>
  <si>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</si>
  <si>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</si>
  <si>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</si>
  <si>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</si>
  <si>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</si>
  <si>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</si>
  <si>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</si>
  <si>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</si>
  <si>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</si>
  <si>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</si>
  <si>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</si>
  <si>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</si>
  <si>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</si>
  <si>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</si>
  <si>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</si>
  <si>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</si>
  <si>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</si>
  <si>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</si>
  <si>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</si>
  <si>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</si>
  <si>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</si>
  <si>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</si>
  <si>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</si>
  <si>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</si>
  <si>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</si>
  <si>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</si>
  <si>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</si>
  <si>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</si>
  <si>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</si>
  <si>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</si>
  <si>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</si>
  <si>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</si>
  <si>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</si>
  <si>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</si>
  <si>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</si>
  <si>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</si>
  <si>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</si>
  <si>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</si>
  <si>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</si>
  <si>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</si>
  <si>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</si>
  <si>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</si>
  <si>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</si>
  <si>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</si>
  <si>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</si>
  <si>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</si>
  <si>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</si>
  <si>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</si>
  <si>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</si>
  <si>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</si>
  <si>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</si>
  <si>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</si>
  <si>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</si>
  <si>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</si>
  <si>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</si>
  <si>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</si>
  <si>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</si>
  <si>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</si>
  <si>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</si>
  <si>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</si>
  <si>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</si>
  <si>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</si>
  <si>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</si>
  <si>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</si>
  <si>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</si>
  <si>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</si>
  <si>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</si>
  <si>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</si>
  <si>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</si>
  <si>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</si>
  <si>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</si>
  <si>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</si>
  <si>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</si>
  <si>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</si>
  <si>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</si>
  <si>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</si>
  <si>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</si>
  <si>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</si>
  <si>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</si>
  <si>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</si>
  <si>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</si>
  <si>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</si>
  <si>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</si>
  <si>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</si>
  <si>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</si>
  <si>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</si>
  <si>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</si>
  <si>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</si>
  <si>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</si>
  <si>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</si>
  <si>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</si>
  <si>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</si>
  <si>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</si>
  <si>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</si>
  <si>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</si>
  <si>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</si>
  <si>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</si>
  <si>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</si>
  <si>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</si>
  <si>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</si>
  <si>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</si>
  <si>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</si>
  <si>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</si>
  <si>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</si>
  <si>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</si>
  <si>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</si>
  <si>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</si>
  <si>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</si>
  <si>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</si>
  <si>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</si>
  <si>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</si>
  <si>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</si>
  <si>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</si>
  <si>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</si>
  <si>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</si>
  <si>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</si>
  <si>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</si>
  <si>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</si>
  <si>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</si>
  <si>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</si>
  <si>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</si>
  <si>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</si>
  <si>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</si>
  <si>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</si>
  <si>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</si>
  <si>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</si>
  <si>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</si>
  <si>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</si>
  <si>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</si>
  <si>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</si>
  <si>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</si>
  <si>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</si>
  <si>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</si>
  <si>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</si>
  <si>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</si>
  <si>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</si>
  <si>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</si>
  <si>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</si>
  <si>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</si>
  <si>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</si>
  <si>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</si>
  <si>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</si>
  <si>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</si>
  <si>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</si>
  <si>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</si>
  <si>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</si>
  <si>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</si>
  <si>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</si>
  <si>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</si>
  <si>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</si>
  <si>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</si>
  <si>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</si>
  <si>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</si>
  <si>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</si>
  <si>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</si>
  <si>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</si>
  <si>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</si>
  <si>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</si>
  <si>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</si>
  <si>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</si>
  <si>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</si>
  <si>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</si>
  <si>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</si>
  <si>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</si>
  <si>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</si>
  <si>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</si>
  <si>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</si>
  <si>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</si>
  <si>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</si>
  <si>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</si>
  <si>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</si>
  <si>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</si>
  <si>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</si>
  <si>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</si>
  <si>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</si>
  <si>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</si>
  <si>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</si>
  <si>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</si>
  <si>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</si>
  <si>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</si>
  <si>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</si>
  <si>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</si>
  <si>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</si>
  <si>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</si>
  <si>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</si>
  <si>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</si>
  <si>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</si>
  <si>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</si>
  <si>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</si>
  <si>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</si>
  <si>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</si>
  <si>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</si>
  <si>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</si>
  <si>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</si>
  <si>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</si>
  <si>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</si>
  <si>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</si>
  <si>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</si>
  <si>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</si>
  <si>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</si>
  <si>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</si>
  <si>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</si>
  <si>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</si>
  <si>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</si>
  <si>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</si>
  <si>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</si>
  <si>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</si>
  <si>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</si>
  <si>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</si>
  <si>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</si>
  <si>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</si>
  <si>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</si>
  <si>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</si>
  <si>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</si>
  <si>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</si>
  <si>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</si>
  <si>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</si>
  <si>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</si>
  <si>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</si>
  <si>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</si>
  <si>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</si>
  <si>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</si>
  <si>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</si>
  <si>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</si>
  <si>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</si>
  <si>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</si>
  <si>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</si>
  <si>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</si>
  <si>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</si>
  <si>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</si>
  <si>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</si>
  <si>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</si>
  <si>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</si>
  <si>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</si>
  <si>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</si>
  <si>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</si>
  <si>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</si>
  <si>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</si>
  <si>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</si>
  <si>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</si>
  <si>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</si>
  <si>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</si>
  <si>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</si>
  <si>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</si>
  <si>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</si>
  <si>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</si>
  <si>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</si>
  <si>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</si>
  <si>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</si>
  <si>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</si>
  <si>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</si>
  <si>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</si>
  <si>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</si>
  <si>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</si>
  <si>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</si>
  <si>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</si>
  <si>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</si>
  <si>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</si>
  <si>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</si>
  <si>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</si>
  <si>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</si>
  <si>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</si>
  <si>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</si>
  <si>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</si>
  <si>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</si>
  <si>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</si>
  <si>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</si>
  <si>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</si>
  <si>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</si>
  <si>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</si>
  <si>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</si>
  <si>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</si>
  <si>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</si>
  <si>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</si>
  <si>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</si>
  <si>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</si>
  <si>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</si>
  <si>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</si>
  <si>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</si>
  <si>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</si>
  <si>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</si>
  <si>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</si>
  <si>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</si>
  <si>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</si>
  <si>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</si>
  <si>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</si>
  <si>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</si>
  <si>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</si>
  <si>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</si>
  <si>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</si>
  <si>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</si>
  <si>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</si>
  <si>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</si>
  <si>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</si>
  <si>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</si>
  <si>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</si>
  <si>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</si>
  <si>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</si>
  <si>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</si>
  <si>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</si>
  <si>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</si>
  <si>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</si>
  <si>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</si>
  <si>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</si>
  <si>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</si>
  <si>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</si>
  <si>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</si>
  <si>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</si>
  <si>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</si>
  <si>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</si>
  <si>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</si>
  <si>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</si>
  <si>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</si>
  <si>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</si>
  <si>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</si>
  <si>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</si>
  <si>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</si>
  <si>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</si>
  <si>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</si>
  <si>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</si>
  <si>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</si>
  <si>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</si>
  <si>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</si>
  <si>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</si>
  <si>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</si>
  <si>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</si>
  <si>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</si>
  <si>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</si>
  <si>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</si>
  <si>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</si>
  <si>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</si>
  <si>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</si>
  <si>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</si>
  <si>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</si>
  <si>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</si>
  <si>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</si>
  <si>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</si>
  <si>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</si>
  <si>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</si>
  <si>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</si>
  <si>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</si>
  <si>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</si>
  <si>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</si>
  <si>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</si>
  <si>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</si>
  <si>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</si>
  <si>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</si>
  <si>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</si>
  <si>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</si>
  <si>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</si>
  <si>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</si>
  <si>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</si>
  <si>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</si>
  <si>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</si>
  <si>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</si>
  <si>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</si>
  <si>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</si>
  <si>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</si>
  <si>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</si>
  <si>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</si>
  <si>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</si>
  <si>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</si>
  <si>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</si>
  <si>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</si>
  <si>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</si>
  <si>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</si>
  <si>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</si>
  <si>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</si>
  <si>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</si>
  <si>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</si>
  <si>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</si>
  <si>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</si>
  <si>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</si>
  <si>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</si>
  <si>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</si>
  <si>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</si>
  <si>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</si>
  <si>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</si>
  <si>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</si>
  <si>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</si>
  <si>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</si>
  <si>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</si>
  <si>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</si>
  <si>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</si>
  <si>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</si>
  <si>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</si>
  <si>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</si>
  <si>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</si>
  <si>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</si>
  <si>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</si>
  <si>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</si>
  <si>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</si>
  <si>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</si>
  <si>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</si>
  <si>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</si>
  <si>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</si>
  <si>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</si>
  <si>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</si>
  <si>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</si>
  <si>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</si>
  <si>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</si>
  <si>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</si>
  <si>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</si>
  <si>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</si>
  <si>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</si>
  <si>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</si>
  <si>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</si>
  <si>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</si>
  <si>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</si>
  <si>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</si>
  <si>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</si>
  <si>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</si>
  <si>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</si>
  <si>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</si>
  <si>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</si>
  <si>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</si>
  <si>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</si>
  <si>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</si>
  <si>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</si>
  <si>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</si>
  <si>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</si>
  <si>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</si>
  <si>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</si>
  <si>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</si>
  <si>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</si>
  <si>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</si>
  <si>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</si>
  <si>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</si>
  <si>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</si>
  <si>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</si>
  <si>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</si>
  <si>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</si>
  <si>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</si>
  <si>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</si>
  <si>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</si>
  <si>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</si>
  <si>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</si>
  <si>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</si>
  <si>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</si>
  <si>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</si>
  <si>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</si>
  <si>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</si>
  <si>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</si>
  <si>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</si>
  <si>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</si>
  <si>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</si>
  <si>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</si>
  <si>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</si>
  <si>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</si>
  <si>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</si>
  <si>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</si>
  <si>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</si>
  <si>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</si>
  <si>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</si>
  <si>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</si>
  <si>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</si>
  <si>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</si>
  <si>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</si>
  <si>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</si>
  <si>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</si>
  <si>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</si>
  <si>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</si>
  <si>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</si>
  <si>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</si>
  <si>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</si>
  <si>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</si>
  <si>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</si>
  <si>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</si>
  <si>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</si>
  <si>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</si>
  <si>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</si>
  <si>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</si>
  <si>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</si>
  <si>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</si>
  <si>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</si>
  <si>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</si>
  <si>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</si>
  <si>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</si>
  <si>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</si>
  <si>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</si>
  <si>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</si>
  <si>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</si>
  <si>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</si>
  <si>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</si>
  <si>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</si>
  <si>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</si>
  <si>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</si>
  <si>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</si>
  <si>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</si>
  <si>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</si>
  <si>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</si>
  <si>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</si>
  <si>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</si>
  <si>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</si>
  <si>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</si>
  <si>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</si>
  <si>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</si>
  <si>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</si>
  <si>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</si>
  <si>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</si>
  <si>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</si>
  <si>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</si>
  <si>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</si>
  <si>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</si>
  <si>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</si>
  <si>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</si>
  <si>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</si>
  <si>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</si>
  <si>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</si>
  <si>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</si>
  <si>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</si>
  <si>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</si>
  <si>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</si>
  <si>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</si>
  <si>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</si>
  <si>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</si>
  <si>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</si>
  <si>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</si>
  <si>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</si>
  <si>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</si>
  <si>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</si>
  <si>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</si>
  <si>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</si>
  <si>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</si>
  <si>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</si>
  <si>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</si>
  <si>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</si>
  <si>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</si>
  <si>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</si>
  <si>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</si>
  <si>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</si>
  <si>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</si>
  <si>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</si>
  <si>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</si>
  <si>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</si>
  <si>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</si>
  <si>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</si>
  <si>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</si>
  <si>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</si>
  <si>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</si>
  <si>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</si>
  <si>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</si>
  <si>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</si>
  <si>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</si>
  <si>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</si>
  <si>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</si>
  <si>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</si>
  <si>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</si>
  <si>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</si>
  <si>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</si>
  <si>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</si>
  <si>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</si>
  <si>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</si>
  <si>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</si>
  <si>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</si>
  <si>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</si>
  <si>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</si>
  <si>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</si>
  <si>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</si>
  <si>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</si>
  <si>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</si>
  <si>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</si>
  <si>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</si>
  <si>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</si>
  <si>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</si>
  <si>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</si>
  <si>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</si>
  <si>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</si>
  <si>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</si>
  <si>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</si>
  <si>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</si>
  <si>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</si>
  <si>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</si>
  <si>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</si>
  <si>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</si>
  <si>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</si>
  <si>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</si>
  <si>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</si>
  <si>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</si>
  <si>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</si>
  <si>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</si>
  <si>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</si>
  <si>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</si>
  <si>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</si>
  <si>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</si>
  <si>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</si>
  <si>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</si>
  <si>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</si>
  <si>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</si>
  <si>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</si>
  <si>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</si>
  <si>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</si>
  <si>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</si>
  <si>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</si>
  <si>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</si>
  <si>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</si>
  <si>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</si>
  <si>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</si>
  <si>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</si>
  <si>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</si>
  <si>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</si>
  <si>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</si>
  <si>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</si>
  <si>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</si>
  <si>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</si>
  <si>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</si>
  <si>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</si>
  <si>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</si>
  <si>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</si>
  <si>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</si>
  <si>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</si>
  <si>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</si>
  <si>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</si>
  <si>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</si>
  <si>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</si>
  <si>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</si>
  <si>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</si>
  <si>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</si>
  <si>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</si>
  <si>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</si>
  <si>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</si>
  <si>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</si>
  <si>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</si>
  <si>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</si>
  <si>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</si>
  <si>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</si>
  <si>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</si>
  <si>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</si>
  <si>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</si>
  <si>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</si>
  <si>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</si>
  <si>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</si>
  <si>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</si>
  <si>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</si>
  <si>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</si>
  <si>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</si>
  <si>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</si>
  <si>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</si>
  <si>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</si>
  <si>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</si>
  <si>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</si>
  <si>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</si>
  <si>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</si>
  <si>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</si>
  <si>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</si>
  <si>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</si>
  <si>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</si>
  <si>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</si>
  <si>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</si>
  <si>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</si>
  <si>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</si>
  <si>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</si>
  <si>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</si>
  <si>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</si>
  <si>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</si>
  <si>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</si>
  <si>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</si>
  <si>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</si>
  <si>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</si>
  <si>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</si>
  <si>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</si>
  <si>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</si>
  <si>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</si>
  <si>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</si>
  <si>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</si>
  <si>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</si>
  <si>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</si>
  <si>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</si>
  <si>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</si>
  <si>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</si>
  <si>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</si>
  <si>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</si>
  <si>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</si>
  <si>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</si>
  <si>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</si>
  <si>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</si>
  <si>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</si>
  <si>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</si>
  <si>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</si>
  <si>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</si>
  <si>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</si>
  <si>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</si>
  <si>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</si>
  <si>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</si>
  <si>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</si>
  <si>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</si>
  <si>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</si>
  <si>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</si>
  <si>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</si>
  <si>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</si>
  <si>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</si>
  <si>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</si>
  <si>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</si>
  <si>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</si>
  <si>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</si>
  <si>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</si>
  <si>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</si>
  <si>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</si>
  <si>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</si>
  <si>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</si>
  <si>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</si>
  <si>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</si>
  <si>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</si>
  <si>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</si>
  <si>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</si>
  <si>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</si>
  <si>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</si>
  <si>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</si>
  <si>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</si>
  <si>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</si>
  <si>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</si>
  <si>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</si>
  <si>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</si>
  <si>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</si>
  <si>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</si>
  <si>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</si>
  <si>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</si>
  <si>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</si>
  <si>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</si>
  <si>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</si>
  <si>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</si>
  <si>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</si>
  <si>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</si>
  <si>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</si>
  <si>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</si>
  <si>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</si>
  <si>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</si>
  <si>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</si>
  <si>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</si>
  <si>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</si>
  <si>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</si>
  <si>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</si>
  <si>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</si>
  <si>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</si>
  <si>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</si>
  <si>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</si>
  <si>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</si>
  <si>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</si>
  <si>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</si>
  <si>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</si>
  <si>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</si>
  <si>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</si>
  <si>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</si>
  <si>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</si>
  <si>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</si>
  <si>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</si>
  <si>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</si>
  <si>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</si>
  <si>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</si>
  <si>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</si>
  <si>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</si>
  <si>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</si>
  <si>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</si>
  <si>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</si>
  <si>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</si>
  <si>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</si>
  <si>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</si>
  <si>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</si>
  <si>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</si>
  <si>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</si>
  <si>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</si>
  <si>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</si>
  <si>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</si>
  <si>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</si>
  <si>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</si>
  <si>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</si>
  <si>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</si>
  <si>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</si>
  <si>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</si>
  <si>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</si>
  <si>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</si>
  <si>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</si>
  <si>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</si>
  <si>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</si>
  <si>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</si>
  <si>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</si>
  <si>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</si>
  <si>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</si>
  <si>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</si>
  <si>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</si>
  <si>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</si>
  <si>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</si>
  <si>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</si>
  <si>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</si>
  <si>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</si>
  <si>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</si>
  <si>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</si>
  <si>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</si>
  <si>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</si>
  <si>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</si>
  <si>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</si>
  <si>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</si>
  <si>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</si>
  <si>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</si>
  <si>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</si>
  <si>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</si>
  <si>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</si>
  <si>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</si>
  <si>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</si>
  <si>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</si>
  <si>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</si>
  <si>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</si>
  <si>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</si>
  <si>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</si>
  <si>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</si>
  <si>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</si>
  <si>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</si>
  <si>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</si>
  <si>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</si>
  <si>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</si>
  <si>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</si>
  <si>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</si>
  <si>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</si>
  <si>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</si>
  <si>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</si>
  <si>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</si>
  <si>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</si>
  <si>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</si>
  <si>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</si>
  <si>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</si>
  <si>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</si>
  <si>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</si>
  <si>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</si>
  <si>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</si>
  <si>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</si>
  <si>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</si>
  <si>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</si>
  <si>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</si>
  <si>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</si>
  <si>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</si>
  <si>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</si>
  <si>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</si>
  <si>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</si>
  <si>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</si>
  <si>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</si>
  <si>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</si>
  <si>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</si>
  <si>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</si>
  <si>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</si>
  <si>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</si>
  <si>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</si>
  <si>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</si>
  <si>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</si>
  <si>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</si>
  <si>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</si>
  <si>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</si>
  <si>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</si>
  <si>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</si>
  <si>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</si>
  <si>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</si>
  <si>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</si>
  <si>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</si>
  <si>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</si>
  <si>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</si>
  <si>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</si>
  <si>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</si>
  <si>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</si>
  <si>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</si>
  <si>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</si>
  <si>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</si>
  <si>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</si>
  <si>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</si>
  <si>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</si>
  <si>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</si>
  <si>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</si>
  <si>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</si>
  <si>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</si>
  <si>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</si>
  <si>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</si>
  <si>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</si>
  <si>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</si>
  <si>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</si>
  <si>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</si>
  <si>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</si>
  <si>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</si>
  <si>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</si>
  <si>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</si>
  <si>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</si>
  <si>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</si>
  <si>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</si>
  <si>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</si>
  <si>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</si>
  <si>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</si>
  <si>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</si>
  <si>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</si>
  <si>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</si>
  <si>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</si>
  <si>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</si>
  <si>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</si>
  <si>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</si>
  <si>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</si>
  <si>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</si>
  <si>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</si>
  <si>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</si>
  <si>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</si>
  <si>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</si>
  <si>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</si>
  <si>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</si>
  <si>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</si>
  <si>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</si>
  <si>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</si>
  <si>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</si>
  <si>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</si>
  <si>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</si>
  <si>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</si>
  <si>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</si>
  <si>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</si>
  <si>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</si>
  <si>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</si>
  <si>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</si>
  <si>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</si>
  <si>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</si>
  <si>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</si>
  <si>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</si>
  <si>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</si>
  <si>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</si>
  <si>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</si>
  <si>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</si>
  <si>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</si>
  <si>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</si>
  <si>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</si>
  <si>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</si>
  <si>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</si>
  <si>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</si>
  <si>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</si>
  <si>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</si>
  <si>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</si>
  <si>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</si>
  <si>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</si>
  <si>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</si>
  <si>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</si>
  <si>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</si>
  <si>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</si>
  <si>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</si>
  <si>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</si>
  <si>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</si>
  <si>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</si>
  <si>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</si>
  <si>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</si>
  <si>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</si>
  <si>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</si>
  <si>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</si>
  <si>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</si>
  <si>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</si>
  <si>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</si>
  <si>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</si>
  <si>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</si>
  <si>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</si>
  <si>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</si>
  <si>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</si>
  <si>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</si>
  <si>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</si>
  <si>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</si>
  <si>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</si>
  <si>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</si>
  <si>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</si>
  <si>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</si>
  <si>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</si>
  <si>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</si>
  <si>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</si>
  <si>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</si>
  <si>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</si>
  <si>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</si>
  <si>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</si>
  <si>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</si>
  <si>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</si>
  <si>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</si>
  <si>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</si>
  <si>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</si>
  <si>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</si>
  <si>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</si>
  <si>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</si>
  <si>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</si>
  <si>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</si>
  <si>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</si>
  <si>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</si>
  <si>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</si>
  <si>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</si>
  <si>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</si>
  <si>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</si>
  <si>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</si>
  <si>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</si>
  <si>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</si>
  <si>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</si>
  <si>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</si>
  <si>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</si>
  <si>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</si>
  <si>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</si>
  <si>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</si>
  <si>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</si>
  <si>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</si>
  <si>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</si>
  <si>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</si>
  <si>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</si>
  <si>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</si>
  <si>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</si>
  <si>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</si>
  <si>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</si>
  <si>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</si>
  <si>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</si>
  <si>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</si>
  <si>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</si>
  <si>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</si>
  <si>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</si>
  <si>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</si>
  <si>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</si>
  <si>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</si>
  <si>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</si>
  <si>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</si>
  <si>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</si>
  <si>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</si>
  <si>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</si>
  <si>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</si>
  <si>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</si>
  <si>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</si>
  <si>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</si>
  <si>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</si>
  <si>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</si>
  <si>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</si>
  <si>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</si>
  <si>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</si>
  <si>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</si>
  <si>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</si>
  <si>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</si>
  <si>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</si>
  <si>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</si>
  <si>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</si>
  <si>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</si>
  <si>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</si>
  <si>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</si>
  <si>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</si>
  <si>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</si>
  <si>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</si>
  <si>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</si>
  <si>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t>
  </si>
  <si>
    <t>Wethersfield Community Unit School District No. 230</t>
  </si>
  <si>
    <t>439 Willard</t>
  </si>
  <si>
    <t>Kewanee</t>
  </si>
  <si>
    <t>skazubow@geese230.com</t>
  </si>
  <si>
    <t>Shane Kazubowski</t>
  </si>
  <si>
    <t>tcustis@gorenzcpa.com</t>
  </si>
  <si>
    <t>QZAB Bonds</t>
  </si>
  <si>
    <t>Working Cash Bonds</t>
  </si>
  <si>
    <t>Alternatice Revenue Bonds</t>
  </si>
  <si>
    <t>Technology Lease</t>
  </si>
  <si>
    <t>Bus Lease</t>
  </si>
  <si>
    <t xml:space="preserve">Technology Lease </t>
  </si>
  <si>
    <t>Geneseo, Henry Stark ROE</t>
  </si>
  <si>
    <t>Annawan/Cambridge/Galva/Wethersfield/Alwood</t>
  </si>
  <si>
    <t>Illinois Energy Concortium (School Districts all over the State)</t>
  </si>
  <si>
    <t>Sherrard/Mercer County/Annawan/United</t>
  </si>
  <si>
    <t>Praire State Insurance Cooperative made up of 100 districts</t>
  </si>
  <si>
    <t>Illinois Liquid Assets Funds</t>
  </si>
  <si>
    <t>Schools of Illinois Public Cooperative</t>
  </si>
  <si>
    <t>Bureau, Henry, and Stark Regional Office of Educations</t>
  </si>
  <si>
    <t>Bradford/Geneseo/Bureau/Henry and Stark ROE</t>
  </si>
  <si>
    <t>Annawan</t>
  </si>
  <si>
    <t>Annawan/Bradford/Cambridge/Geneseo/Kewanee/Stark Co.</t>
  </si>
  <si>
    <t>School of Illinois Public Cooperative</t>
  </si>
  <si>
    <t>Henry-Buerau-Stark ROE</t>
  </si>
  <si>
    <t>Annawan School Dsitrict</t>
  </si>
  <si>
    <t>Alwood/Annawan/Cambridge/Galva/Start/#1</t>
  </si>
  <si>
    <t xml:space="preserve">Annawan  </t>
  </si>
  <si>
    <t>Tim C. Custis, CPA</t>
  </si>
  <si>
    <t>x</t>
  </si>
  <si>
    <t>Segregation of duties amount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</si>
  <si>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</si>
  <si>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</si>
  <si>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</si>
  <si>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</si>
  <si>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</si>
  <si>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2018-001</t>
  </si>
  <si>
    <t>Lack of Segregation of duties</t>
  </si>
  <si>
    <t>Unresolved - See Finding 2019-001</t>
  </si>
  <si>
    <t>Capital Leases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</si>
  <si>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</si>
  <si>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</si>
  <si>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</si>
  <si>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</si>
  <si>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</si>
  <si>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</si>
  <si>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</si>
  <si>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</si>
  <si>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</si>
  <si>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</si>
  <si>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</si>
  <si>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July, 2020</t>
  </si>
  <si>
    <t>Shane Kazubowski, Superintendent</t>
  </si>
  <si>
    <t>The Board of Education currently believes the cost of additional staff</t>
  </si>
  <si>
    <t>outweighs any benefits that may be realized.</t>
  </si>
  <si>
    <t>Part C - 20 - See Finding 2019-001</t>
  </si>
  <si>
    <t>None</t>
  </si>
  <si>
    <t>Page 7, Line 43 - Technology Lease Proceeds</t>
  </si>
  <si>
    <t>Page 10, Line 74 - Vending Machine Revenue</t>
  </si>
  <si>
    <t>Page 10, Line 87 - Technology Equipment Rental Fees</t>
  </si>
  <si>
    <t>Page 10, Line 106 - Courtesy Transportation Fees</t>
  </si>
  <si>
    <t>Page 10, Line 107 C,D&amp;H - Insurance and Misc. Reimbursements</t>
  </si>
  <si>
    <t>Page 12, Line 168 - SOS - Library Grant</t>
  </si>
  <si>
    <t>Page 15, Line 41 - Playground Supervision</t>
  </si>
  <si>
    <t>Page 18, Line 171 - Bond Service Fees</t>
  </si>
  <si>
    <t>Page 19, Line 237 - Playground Supervision</t>
  </si>
  <si>
    <t>Page 24, Line 35 - Bus Lease</t>
  </si>
  <si>
    <t>Page 24, Line 36 - Bus Lease</t>
  </si>
  <si>
    <t>Audit Check Line 80 - For the current fiscal year under audit, the District did not have any qualifying contracts exceeding $25,000.</t>
  </si>
  <si>
    <t>Alternative Revenue Bonds</t>
  </si>
  <si>
    <t>Qualified Zone Academy Bond</t>
  </si>
  <si>
    <t>Page 25, Line 10 -  Insurance Reimbursement</t>
  </si>
  <si>
    <t>Page 24, Line 38 - Technology Lease Proceeds</t>
  </si>
  <si>
    <t>See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</si>
</sst>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1</xdr:row>
          <xdr:rowOff>9525</xdr:rowOff>
        </xdr:from>
        <xdr:to>
          <xdr:col>1</xdr:col>
          <xdr:colOff>1924050</xdr:colOff>
          <xdr:row>5</xdr:row>
          <xdr:rowOff>47625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99" t="s">
        <v>404</v>
      </c>
      <c r="J1" s="2000"/>
      <c r="K1" s="2000"/>
      <c r="L1" s="2000"/>
      <c r="M1" s="2000"/>
      <c r="N1" s="2000"/>
      <c r="O1" s="2000"/>
      <c r="P1" s="2000"/>
      <c r="Q1" s="2000"/>
      <c r="R1" s="2000"/>
      <c r="S1" s="2000"/>
    </row>
    <row r="2" spans="1:28" ht="12" customHeight="1" x14ac:dyDescent="0.2">
      <c r="A2" s="47" t="s">
        <v>1992</v>
      </c>
      <c r="D2" s="48"/>
      <c r="I2" s="2001" t="s">
        <v>978</v>
      </c>
      <c r="J2" s="2000"/>
      <c r="K2" s="2000"/>
      <c r="L2" s="2000"/>
      <c r="M2" s="2000"/>
      <c r="N2" s="2000"/>
      <c r="O2" s="2000"/>
      <c r="P2" s="2000"/>
      <c r="Q2" s="2000"/>
      <c r="R2" s="2000"/>
      <c r="S2" s="2000"/>
    </row>
    <row r="3" spans="1:28" ht="12" customHeight="1" x14ac:dyDescent="0.2">
      <c r="A3" s="155" t="s">
        <v>1944</v>
      </c>
      <c r="B3" s="156"/>
      <c r="C3" s="156"/>
      <c r="D3" s="157"/>
      <c r="I3" s="2001" t="s">
        <v>52</v>
      </c>
      <c r="J3" s="2000"/>
      <c r="K3" s="2000"/>
      <c r="L3" s="2000"/>
      <c r="M3" s="2000"/>
      <c r="N3" s="2000"/>
      <c r="O3" s="2000"/>
      <c r="P3" s="2000"/>
      <c r="Q3" s="2000"/>
      <c r="R3" s="2000"/>
      <c r="S3" s="2000"/>
    </row>
    <row r="4" spans="1:28" ht="12" customHeight="1" x14ac:dyDescent="0.2">
      <c r="A4" s="37"/>
      <c r="I4" s="2001" t="s">
        <v>523</v>
      </c>
      <c r="J4" s="2000"/>
      <c r="K4" s="2000"/>
      <c r="L4" s="2000"/>
      <c r="M4" s="2000"/>
      <c r="N4" s="2000"/>
      <c r="O4" s="2000"/>
      <c r="P4" s="2000"/>
      <c r="Q4" s="2000"/>
      <c r="R4" s="2000"/>
      <c r="S4" s="2000"/>
    </row>
    <row r="5" spans="1:28" ht="14.1" customHeight="1" x14ac:dyDescent="0.2">
      <c r="B5" s="104" t="s">
        <v>2069</v>
      </c>
      <c r="C5" s="26" t="s">
        <v>909</v>
      </c>
      <c r="D5" s="84"/>
      <c r="E5" s="84"/>
      <c r="H5" s="38"/>
      <c r="I5" s="2009" t="s">
        <v>679</v>
      </c>
      <c r="J5" s="2008"/>
      <c r="K5" s="2008"/>
      <c r="L5" s="2008"/>
      <c r="M5" s="2008"/>
      <c r="N5" s="2008"/>
      <c r="O5" s="2008"/>
      <c r="P5" s="2008"/>
      <c r="Q5" s="2008"/>
      <c r="R5" s="2008"/>
      <c r="S5" s="2008"/>
    </row>
    <row r="6" spans="1:28" ht="14.1" customHeight="1" x14ac:dyDescent="0.2">
      <c r="B6" s="104"/>
      <c r="C6" s="26" t="s">
        <v>910</v>
      </c>
      <c r="D6" s="84"/>
      <c r="E6" s="84"/>
      <c r="I6" s="2007" t="s">
        <v>882</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673</v>
      </c>
      <c r="J9" s="2005"/>
      <c r="K9" s="2005"/>
      <c r="L9" s="2005"/>
      <c r="M9" s="2005"/>
      <c r="N9" s="2005"/>
      <c r="O9" s="2005"/>
      <c r="P9" s="2005"/>
      <c r="Q9" s="2005"/>
      <c r="R9" s="2005"/>
      <c r="S9" s="2006"/>
      <c r="T9" s="2020" t="s">
        <v>532</v>
      </c>
      <c r="U9" s="2021"/>
      <c r="V9" s="2021"/>
      <c r="W9" s="2021"/>
      <c r="X9" s="2021"/>
      <c r="Y9" s="2021"/>
      <c r="Z9" s="2021"/>
      <c r="AA9" s="2022"/>
    </row>
    <row r="10" spans="1:28" ht="13.5" customHeight="1" x14ac:dyDescent="0.2">
      <c r="A10" s="2027" t="s">
        <v>674</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954</v>
      </c>
      <c r="B11" s="2031"/>
      <c r="C11" s="2031"/>
      <c r="D11" s="2031"/>
      <c r="E11" s="2031"/>
      <c r="F11" s="2031"/>
      <c r="G11" s="2031"/>
      <c r="H11" s="2032"/>
      <c r="I11" s="27"/>
      <c r="J11" s="74"/>
      <c r="K11" s="27"/>
      <c r="O11" s="148" t="s">
        <v>2069</v>
      </c>
      <c r="P11" s="100" t="s">
        <v>201</v>
      </c>
      <c r="Q11" s="30"/>
      <c r="R11" s="28"/>
      <c r="S11" s="27"/>
      <c r="T11" s="2024"/>
      <c r="U11" s="2025"/>
      <c r="V11" s="2025"/>
      <c r="W11" s="2025"/>
      <c r="X11" s="2025"/>
      <c r="Y11" s="2025"/>
      <c r="Z11" s="2025"/>
      <c r="AA11" s="202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4">
        <v>28037230026</v>
      </c>
      <c r="B13" s="2035"/>
      <c r="C13" s="2035"/>
      <c r="D13" s="2035"/>
      <c r="E13" s="2035"/>
      <c r="F13" s="2035"/>
      <c r="G13" s="2035"/>
      <c r="H13" s="2036"/>
      <c r="I13" s="31"/>
      <c r="J13" s="30"/>
      <c r="K13" s="28"/>
      <c r="L13" s="30"/>
      <c r="M13" s="30"/>
      <c r="N13" s="30"/>
      <c r="O13" s="30"/>
      <c r="P13" s="30"/>
      <c r="Q13" s="30"/>
      <c r="R13" s="30"/>
      <c r="S13" s="30"/>
      <c r="T13" s="2039" t="s">
        <v>2071</v>
      </c>
      <c r="U13" s="2040"/>
      <c r="V13" s="2040"/>
      <c r="W13" s="2040"/>
      <c r="X13" s="2040"/>
      <c r="Y13" s="2041"/>
      <c r="Z13" s="2041"/>
      <c r="AA13" s="204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3" t="s">
        <v>2072</v>
      </c>
      <c r="B15" s="2037"/>
      <c r="C15" s="2037"/>
      <c r="D15" s="2037"/>
      <c r="E15" s="2037"/>
      <c r="F15" s="2037"/>
      <c r="G15" s="2037"/>
      <c r="H15" s="2038"/>
      <c r="T15" s="2043" t="s">
        <v>2101</v>
      </c>
      <c r="U15" s="1987"/>
      <c r="V15" s="1987"/>
      <c r="W15" s="1987"/>
      <c r="X15" s="1987"/>
      <c r="Y15" s="2044"/>
      <c r="Z15" s="2044"/>
      <c r="AA15" s="204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3" t="s">
        <v>2073</v>
      </c>
      <c r="B17" s="1994"/>
      <c r="C17" s="1994"/>
      <c r="D17" s="1994"/>
      <c r="E17" s="1994"/>
      <c r="F17" s="1994"/>
      <c r="G17" s="1994"/>
      <c r="H17" s="2019"/>
      <c r="T17" s="2050" t="s">
        <v>2063</v>
      </c>
      <c r="U17" s="2051"/>
      <c r="V17" s="2051"/>
      <c r="W17" s="2051"/>
      <c r="X17" s="2051"/>
      <c r="Y17" s="2051"/>
      <c r="Z17" s="2051"/>
      <c r="AA17" s="2052"/>
    </row>
    <row r="18" spans="1:27" ht="13.5" customHeight="1" x14ac:dyDescent="0.2">
      <c r="A18" s="85" t="s">
        <v>529</v>
      </c>
      <c r="B18" s="76"/>
      <c r="C18" s="72"/>
      <c r="D18" s="76"/>
      <c r="E18" s="76"/>
      <c r="F18" s="76"/>
      <c r="G18" s="76"/>
      <c r="H18" s="56"/>
      <c r="I18" s="2018" t="s">
        <v>675</v>
      </c>
      <c r="J18" s="1969"/>
      <c r="K18" s="1969"/>
      <c r="L18" s="1969"/>
      <c r="M18" s="1969"/>
      <c r="N18" s="1969"/>
      <c r="O18" s="1969"/>
      <c r="P18" s="1969"/>
      <c r="Q18" s="1969"/>
      <c r="R18" s="1969"/>
      <c r="S18" s="1970"/>
      <c r="T18" s="85" t="s">
        <v>710</v>
      </c>
      <c r="U18" s="51"/>
      <c r="V18" s="72"/>
      <c r="W18" s="50"/>
      <c r="X18" s="85" t="s">
        <v>265</v>
      </c>
      <c r="Y18" s="81"/>
      <c r="Z18" s="159" t="s">
        <v>676</v>
      </c>
      <c r="AA18" s="46"/>
    </row>
    <row r="19" spans="1:27" ht="13.5" customHeight="1" x14ac:dyDescent="0.2">
      <c r="A19" s="2033" t="s">
        <v>2074</v>
      </c>
      <c r="B19" s="1979"/>
      <c r="C19" s="1979"/>
      <c r="D19" s="1979"/>
      <c r="E19" s="1979"/>
      <c r="F19" s="1979"/>
      <c r="G19" s="1979"/>
      <c r="H19" s="1959"/>
      <c r="I19" s="30"/>
      <c r="J19" s="99"/>
      <c r="K19" s="40"/>
      <c r="L19" s="38"/>
      <c r="M19" s="112" t="s">
        <v>314</v>
      </c>
      <c r="P19" s="27"/>
      <c r="Q19" s="27"/>
      <c r="R19" s="27"/>
      <c r="S19" s="31"/>
      <c r="T19" s="2033" t="s">
        <v>2064</v>
      </c>
      <c r="U19" s="1958"/>
      <c r="V19" s="1958"/>
      <c r="W19" s="1959"/>
      <c r="X19" s="2048" t="s">
        <v>2065</v>
      </c>
      <c r="Y19" s="2049"/>
      <c r="Z19" s="2046">
        <v>61614</v>
      </c>
      <c r="AA19" s="204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7" t="s">
        <v>2075</v>
      </c>
      <c r="B21" s="1958"/>
      <c r="C21" s="1958"/>
      <c r="D21" s="1958"/>
      <c r="E21" s="1958"/>
      <c r="F21" s="1958"/>
      <c r="G21" s="1958"/>
      <c r="H21" s="1959"/>
      <c r="I21" s="2013" t="s">
        <v>677</v>
      </c>
      <c r="J21" s="2008"/>
      <c r="K21" s="2008"/>
      <c r="L21" s="2008"/>
      <c r="M21" s="2008"/>
      <c r="N21" s="2008"/>
      <c r="O21" s="2008"/>
      <c r="P21" s="2008"/>
      <c r="Q21" s="2008"/>
      <c r="R21" s="2008"/>
      <c r="S21" s="2014"/>
      <c r="T21" s="2057" t="s">
        <v>2066</v>
      </c>
      <c r="U21" s="2058"/>
      <c r="V21" s="2058"/>
      <c r="W21" s="2058"/>
      <c r="X21" s="2063" t="s">
        <v>2067</v>
      </c>
      <c r="Y21" s="2064"/>
      <c r="Z21" s="2064"/>
      <c r="AA21" s="2065"/>
    </row>
    <row r="22" spans="1:27" ht="13.5" customHeight="1" x14ac:dyDescent="0.2">
      <c r="A22" s="87" t="s">
        <v>530</v>
      </c>
      <c r="B22" s="59"/>
      <c r="C22" s="59"/>
      <c r="D22" s="59"/>
      <c r="E22" s="59"/>
      <c r="F22" s="59"/>
      <c r="G22" s="59"/>
      <c r="H22" s="60"/>
      <c r="I22" s="2015" t="s">
        <v>1428</v>
      </c>
      <c r="J22" s="2016"/>
      <c r="K22" s="2016"/>
      <c r="L22" s="2016"/>
      <c r="M22" s="2016"/>
      <c r="N22" s="2016"/>
      <c r="O22" s="2016"/>
      <c r="P22" s="2016"/>
      <c r="Q22" s="2016"/>
      <c r="R22" s="2016"/>
      <c r="S22" s="2017"/>
      <c r="T22" s="85" t="s">
        <v>1515</v>
      </c>
      <c r="U22" s="51"/>
      <c r="V22" s="72"/>
      <c r="W22" s="51"/>
      <c r="X22" s="160" t="s">
        <v>1317</v>
      </c>
      <c r="Z22" s="45"/>
      <c r="AA22" s="46"/>
    </row>
    <row r="23" spans="1:27" ht="13.5" customHeight="1" x14ac:dyDescent="0.2">
      <c r="A23" s="2010" t="s">
        <v>2076</v>
      </c>
      <c r="B23" s="2011"/>
      <c r="C23" s="2011"/>
      <c r="D23" s="2011"/>
      <c r="E23" s="2011"/>
      <c r="F23" s="2011"/>
      <c r="G23" s="2011"/>
      <c r="H23" s="2012"/>
      <c r="T23" s="1993" t="s">
        <v>2068</v>
      </c>
      <c r="U23" s="2056"/>
      <c r="V23" s="2056"/>
      <c r="W23" s="2056"/>
      <c r="X23" s="2060">
        <v>44501</v>
      </c>
      <c r="Y23" s="2061"/>
      <c r="Z23" s="2061"/>
      <c r="AA23" s="2062"/>
    </row>
    <row r="24" spans="1:27" ht="14.1" customHeight="1" x14ac:dyDescent="0.2">
      <c r="A24" s="88" t="s">
        <v>676</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530</v>
      </c>
      <c r="U24" s="106"/>
      <c r="V24" s="106"/>
      <c r="W24" s="106"/>
      <c r="X24" s="107"/>
      <c r="Y24" s="107"/>
      <c r="Z24" s="107"/>
      <c r="AA24" s="108"/>
    </row>
    <row r="25" spans="1:27" ht="14.1" customHeight="1" x14ac:dyDescent="0.2">
      <c r="A25" s="1957"/>
      <c r="B25" s="1958"/>
      <c r="C25" s="1958"/>
      <c r="D25" s="1958"/>
      <c r="E25" s="1958"/>
      <c r="F25" s="1958"/>
      <c r="G25" s="1958"/>
      <c r="H25" s="1959"/>
      <c r="I25" s="113"/>
      <c r="J25" s="1982"/>
      <c r="K25" s="1982"/>
      <c r="L25" s="1982"/>
      <c r="M25" s="1982"/>
      <c r="N25" s="1982"/>
      <c r="O25" s="1982"/>
      <c r="P25" s="1982"/>
      <c r="Q25" s="1982"/>
      <c r="R25" s="1982"/>
      <c r="S25" s="1983"/>
      <c r="T25" s="2053" t="s">
        <v>2078</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8" t="s">
        <v>1510</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t="s">
        <v>2069</v>
      </c>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3" t="s">
        <v>2077</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530</v>
      </c>
      <c r="B39" s="1964"/>
      <c r="C39" s="72"/>
      <c r="D39" s="69"/>
      <c r="E39" s="69"/>
      <c r="F39" s="79"/>
      <c r="G39" s="69"/>
      <c r="H39" s="56"/>
      <c r="I39" s="1963" t="s">
        <v>530</v>
      </c>
      <c r="J39" s="1964"/>
      <c r="K39" s="1964"/>
      <c r="L39" s="1964"/>
      <c r="M39" s="1964"/>
      <c r="N39" s="67"/>
      <c r="O39" s="72"/>
      <c r="P39" s="72"/>
      <c r="Q39" s="78"/>
      <c r="R39" s="72"/>
      <c r="S39" s="56"/>
      <c r="T39" s="72" t="s">
        <v>530</v>
      </c>
      <c r="U39" s="51"/>
      <c r="V39" s="72"/>
      <c r="W39" s="50"/>
      <c r="X39" s="78"/>
      <c r="Y39" s="45"/>
      <c r="Z39" s="45"/>
      <c r="AA39" s="46"/>
    </row>
    <row r="40" spans="1:27" ht="13.5" customHeight="1" x14ac:dyDescent="0.2">
      <c r="A40" s="1971" t="s">
        <v>2076</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5">
        <v>3098534860</v>
      </c>
      <c r="B42" s="1977"/>
      <c r="C42" s="1978"/>
      <c r="D42" s="1976">
        <v>3098567976</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1801</v>
      </c>
      <c r="B2" s="1525" t="s">
        <v>1950</v>
      </c>
      <c r="C2" s="711" t="s">
        <v>1951</v>
      </c>
      <c r="D2" s="711" t="s">
        <v>1952</v>
      </c>
      <c r="E2" s="711" t="s">
        <v>1953</v>
      </c>
      <c r="F2" s="711" t="s">
        <v>1954</v>
      </c>
    </row>
    <row r="3" spans="1:6" ht="12" customHeight="1" x14ac:dyDescent="0.2">
      <c r="A3" s="2200"/>
      <c r="B3" s="1522"/>
      <c r="C3" s="1523"/>
      <c r="D3" s="1524" t="s">
        <v>256</v>
      </c>
      <c r="E3" s="1523"/>
      <c r="F3" s="1524" t="s">
        <v>257</v>
      </c>
    </row>
    <row r="4" spans="1:6" ht="13.7" customHeight="1" x14ac:dyDescent="0.2">
      <c r="A4" s="712" t="s">
        <v>1154</v>
      </c>
      <c r="B4" s="1746">
        <f>'Revenues 9-14'!C5</f>
        <v>1480136</v>
      </c>
      <c r="C4" s="1521">
        <v>757261</v>
      </c>
      <c r="D4" s="1749">
        <f>B4-C4</f>
        <v>722875</v>
      </c>
      <c r="E4" s="1521">
        <v>1503014</v>
      </c>
      <c r="F4" s="1749">
        <f>E4-C4</f>
        <v>745753</v>
      </c>
    </row>
    <row r="5" spans="1:6" ht="13.7" customHeight="1" x14ac:dyDescent="0.2">
      <c r="A5" s="712" t="s">
        <v>869</v>
      </c>
      <c r="B5" s="1747">
        <f>'Revenues 9-14'!D5</f>
        <v>284641</v>
      </c>
      <c r="C5" s="582">
        <v>145627</v>
      </c>
      <c r="D5" s="1750">
        <f t="shared" ref="D5:D18" si="0">B5-C5</f>
        <v>139014</v>
      </c>
      <c r="E5" s="582">
        <v>289041</v>
      </c>
      <c r="F5" s="1750">
        <f>E5-C5</f>
        <v>143414</v>
      </c>
    </row>
    <row r="6" spans="1:6" ht="13.7" customHeight="1" x14ac:dyDescent="0.2">
      <c r="A6" s="712" t="s">
        <v>410</v>
      </c>
      <c r="B6" s="1747">
        <f>'Revenues 9-14'!E5</f>
        <v>192410</v>
      </c>
      <c r="C6" s="582">
        <v>98852</v>
      </c>
      <c r="D6" s="1750">
        <f t="shared" si="0"/>
        <v>93558</v>
      </c>
      <c r="E6" s="582">
        <v>196201</v>
      </c>
      <c r="F6" s="1750">
        <f t="shared" ref="F6:F18" si="1">E6-C6</f>
        <v>97349</v>
      </c>
    </row>
    <row r="7" spans="1:6" ht="13.7" customHeight="1" x14ac:dyDescent="0.2">
      <c r="A7" s="712" t="s">
        <v>155</v>
      </c>
      <c r="B7" s="1747">
        <f>'Revenues 9-14'!F5</f>
        <v>113856</v>
      </c>
      <c r="C7" s="582">
        <v>58251</v>
      </c>
      <c r="D7" s="1750">
        <f t="shared" si="0"/>
        <v>55605</v>
      </c>
      <c r="E7" s="582">
        <v>115616</v>
      </c>
      <c r="F7" s="1750">
        <f t="shared" si="1"/>
        <v>57365</v>
      </c>
    </row>
    <row r="8" spans="1:6" ht="13.7" customHeight="1" x14ac:dyDescent="0.2">
      <c r="A8" s="712" t="s">
        <v>1178</v>
      </c>
      <c r="B8" s="1747">
        <f>'Revenues 9-14'!G5</f>
        <v>77909</v>
      </c>
      <c r="C8" s="582">
        <v>36290</v>
      </c>
      <c r="D8" s="1750">
        <f t="shared" si="0"/>
        <v>41619</v>
      </c>
      <c r="E8" s="582">
        <v>72029</v>
      </c>
      <c r="F8" s="1750">
        <f t="shared" si="1"/>
        <v>35739</v>
      </c>
    </row>
    <row r="9" spans="1:6" ht="13.7" customHeight="1" x14ac:dyDescent="0.2">
      <c r="A9" s="712" t="s">
        <v>407</v>
      </c>
      <c r="B9" s="1747">
        <f>'Revenues 9-14'!H5</f>
        <v>0</v>
      </c>
      <c r="C9" s="582">
        <v>0</v>
      </c>
      <c r="D9" s="1750">
        <f t="shared" si="0"/>
        <v>0</v>
      </c>
      <c r="E9" s="582">
        <v>0</v>
      </c>
      <c r="F9" s="1750">
        <f t="shared" si="1"/>
        <v>0</v>
      </c>
    </row>
    <row r="10" spans="1:6" ht="13.7" customHeight="1" x14ac:dyDescent="0.2">
      <c r="A10" s="712" t="s">
        <v>406</v>
      </c>
      <c r="B10" s="1747">
        <f>'Revenues 9-14'!I5</f>
        <v>28465</v>
      </c>
      <c r="C10" s="582">
        <v>14563</v>
      </c>
      <c r="D10" s="1750">
        <f t="shared" si="0"/>
        <v>13902</v>
      </c>
      <c r="E10" s="582">
        <v>28904</v>
      </c>
      <c r="F10" s="1750">
        <f t="shared" si="1"/>
        <v>14341</v>
      </c>
    </row>
    <row r="11" spans="1:6" x14ac:dyDescent="0.2">
      <c r="A11" s="712" t="s">
        <v>408</v>
      </c>
      <c r="B11" s="1747">
        <f>'Revenues 9-14'!J5</f>
        <v>227132</v>
      </c>
      <c r="C11" s="582">
        <v>118424</v>
      </c>
      <c r="D11" s="1750">
        <f t="shared" si="0"/>
        <v>108708</v>
      </c>
      <c r="E11" s="582">
        <v>235048</v>
      </c>
      <c r="F11" s="1750">
        <f t="shared" si="1"/>
        <v>116624</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935</v>
      </c>
      <c r="B13" s="1747">
        <f>SUM('Revenues 9-14'!C6:D6)</f>
        <v>28463</v>
      </c>
      <c r="C13" s="582">
        <v>14563</v>
      </c>
      <c r="D13" s="1750">
        <f t="shared" si="0"/>
        <v>13900</v>
      </c>
      <c r="E13" s="582">
        <v>28904</v>
      </c>
      <c r="F13" s="1750">
        <f t="shared" si="1"/>
        <v>14341</v>
      </c>
    </row>
    <row r="14" spans="1:6" ht="13.7" customHeight="1" x14ac:dyDescent="0.2">
      <c r="A14" s="712" t="s">
        <v>409</v>
      </c>
      <c r="B14" s="1747">
        <f>SUM('Revenues 9-14'!C7:D7,'Revenues 9-14'!F7:H7)</f>
        <v>22771</v>
      </c>
      <c r="C14" s="582">
        <v>11650</v>
      </c>
      <c r="D14" s="1750">
        <f t="shared" si="0"/>
        <v>11121</v>
      </c>
      <c r="E14" s="582">
        <v>23123</v>
      </c>
      <c r="F14" s="1750">
        <f t="shared" si="1"/>
        <v>11473</v>
      </c>
    </row>
    <row r="15" spans="1:6" ht="13.7" customHeight="1" x14ac:dyDescent="0.2">
      <c r="A15" s="712" t="s">
        <v>1157</v>
      </c>
      <c r="B15" s="1747">
        <f>SUM('Revenues 9-14'!D9:E9,'Revenues 9-14'!H9)</f>
        <v>0</v>
      </c>
      <c r="C15" s="582">
        <v>0</v>
      </c>
      <c r="D15" s="1750">
        <f t="shared" si="0"/>
        <v>0</v>
      </c>
      <c r="E15" s="582">
        <v>0</v>
      </c>
      <c r="F15" s="1750">
        <f t="shared" si="1"/>
        <v>0</v>
      </c>
    </row>
    <row r="16" spans="1:6" ht="13.7" customHeight="1" x14ac:dyDescent="0.2">
      <c r="A16" s="712" t="s">
        <v>1158</v>
      </c>
      <c r="B16" s="1747">
        <f>'Revenues 9-14'!G8</f>
        <v>97951</v>
      </c>
      <c r="C16" s="582">
        <v>51406</v>
      </c>
      <c r="D16" s="1750">
        <f t="shared" si="0"/>
        <v>46545</v>
      </c>
      <c r="E16" s="582">
        <v>102031</v>
      </c>
      <c r="F16" s="1750">
        <f t="shared" si="1"/>
        <v>50625</v>
      </c>
    </row>
    <row r="17" spans="1:6" ht="13.7" customHeight="1" x14ac:dyDescent="0.2">
      <c r="A17" s="712" t="s">
        <v>1159</v>
      </c>
      <c r="B17" s="1747">
        <f>'Revenues 9-14'!C10</f>
        <v>0</v>
      </c>
      <c r="C17" s="582">
        <v>0</v>
      </c>
      <c r="D17" s="1750">
        <f t="shared" si="0"/>
        <v>0</v>
      </c>
      <c r="E17" s="582">
        <v>0</v>
      </c>
      <c r="F17" s="1750">
        <f t="shared" si="1"/>
        <v>0</v>
      </c>
    </row>
    <row r="18" spans="1:6" ht="13.7" customHeight="1" x14ac:dyDescent="0.2">
      <c r="A18" s="712" t="s">
        <v>761</v>
      </c>
      <c r="B18" s="1747">
        <f>SUM('Revenues 9-14'!C11:K11)</f>
        <v>0</v>
      </c>
      <c r="C18" s="582">
        <v>0</v>
      </c>
      <c r="D18" s="1750">
        <f t="shared" si="0"/>
        <v>0</v>
      </c>
      <c r="E18" s="582">
        <v>0</v>
      </c>
      <c r="F18" s="1750">
        <f t="shared" si="1"/>
        <v>0</v>
      </c>
    </row>
    <row r="19" spans="1:6" ht="13.7" customHeight="1" thickBot="1" x14ac:dyDescent="0.25">
      <c r="A19" s="1751" t="s">
        <v>1160</v>
      </c>
      <c r="B19" s="1748">
        <f>SUM(B4:B18)</f>
        <v>2553734</v>
      </c>
      <c r="C19" s="1748">
        <f>SUM(C4:C18)</f>
        <v>1306887</v>
      </c>
      <c r="D19" s="1748">
        <f>SUM(D4:D18)</f>
        <v>1246847</v>
      </c>
      <c r="E19" s="1748">
        <f>SUM(E4:E18)</f>
        <v>2593911</v>
      </c>
      <c r="F19" s="1748">
        <f>SUM(F4:F18)</f>
        <v>1287024</v>
      </c>
    </row>
    <row r="20" spans="1:6" ht="13.5" thickTop="1" x14ac:dyDescent="0.2">
      <c r="B20" s="710"/>
      <c r="F20" s="713"/>
    </row>
    <row r="21" spans="1:6" x14ac:dyDescent="0.2">
      <c r="A21" s="714" t="s">
        <v>1807</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19"/>
      <c r="C1" s="718"/>
    </row>
    <row r="2" spans="1:7" ht="33.75" x14ac:dyDescent="0.2">
      <c r="A2" s="2226" t="s">
        <v>1801</v>
      </c>
      <c r="B2" s="2227"/>
      <c r="C2" s="1881" t="s">
        <v>1955</v>
      </c>
      <c r="D2" s="720" t="s">
        <v>1956</v>
      </c>
      <c r="E2" s="720" t="s">
        <v>1957</v>
      </c>
      <c r="F2" s="1881" t="s">
        <v>1958</v>
      </c>
    </row>
    <row r="3" spans="1:7" ht="15.75" customHeight="1" x14ac:dyDescent="0.2">
      <c r="A3" s="2228" t="s">
        <v>1113</v>
      </c>
      <c r="B3" s="2229"/>
      <c r="C3" s="2222"/>
      <c r="D3" s="2223"/>
      <c r="E3" s="2223"/>
      <c r="F3" s="2224"/>
    </row>
    <row r="4" spans="1:7" ht="12.75" customHeight="1" thickBot="1" x14ac:dyDescent="0.25">
      <c r="A4" s="2216" t="s">
        <v>629</v>
      </c>
      <c r="B4" s="2217"/>
      <c r="C4" s="578"/>
      <c r="D4" s="578"/>
      <c r="E4" s="578"/>
      <c r="F4" s="1752">
        <f>SUM(C4+D4)-E4</f>
        <v>0</v>
      </c>
    </row>
    <row r="5" spans="1:7" ht="15.75" customHeight="1" thickTop="1" x14ac:dyDescent="0.2">
      <c r="A5" s="2220" t="s">
        <v>1109</v>
      </c>
      <c r="B5" s="2215"/>
      <c r="C5" s="2209"/>
      <c r="D5" s="2210"/>
      <c r="E5" s="2210"/>
      <c r="F5" s="221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507</v>
      </c>
      <c r="B8" s="722"/>
      <c r="C8" s="723"/>
      <c r="D8" s="582"/>
      <c r="E8" s="723"/>
      <c r="F8" s="1752">
        <f t="shared" si="0"/>
        <v>0</v>
      </c>
    </row>
    <row r="9" spans="1:7" ht="12.75" customHeight="1" thickTop="1" thickBot="1" x14ac:dyDescent="0.25">
      <c r="A9" s="721" t="s">
        <v>508</v>
      </c>
      <c r="B9" s="722"/>
      <c r="C9" s="723"/>
      <c r="D9" s="582"/>
      <c r="E9" s="723"/>
      <c r="F9" s="1752">
        <f t="shared" si="0"/>
        <v>0</v>
      </c>
    </row>
    <row r="10" spans="1:7" ht="12.75" customHeight="1" thickTop="1" thickBot="1" x14ac:dyDescent="0.25">
      <c r="A10" s="721" t="s">
        <v>509</v>
      </c>
      <c r="B10" s="722"/>
      <c r="C10" s="723"/>
      <c r="D10" s="582"/>
      <c r="E10" s="723"/>
      <c r="F10" s="1752">
        <f t="shared" si="0"/>
        <v>0</v>
      </c>
    </row>
    <row r="11" spans="1:7" ht="12.75" customHeight="1" thickTop="1" thickBot="1" x14ac:dyDescent="0.25">
      <c r="A11" s="721" t="s">
        <v>340</v>
      </c>
      <c r="B11" s="722"/>
      <c r="C11" s="723"/>
      <c r="D11" s="582"/>
      <c r="E11" s="723"/>
      <c r="F11" s="1752">
        <f t="shared" si="0"/>
        <v>0</v>
      </c>
    </row>
    <row r="12" spans="1:7" ht="12.75" customHeight="1" thickTop="1" thickBot="1" x14ac:dyDescent="0.25">
      <c r="A12" s="721" t="s">
        <v>1156</v>
      </c>
      <c r="B12" s="722"/>
      <c r="C12" s="723"/>
      <c r="D12" s="582"/>
      <c r="E12" s="723"/>
      <c r="F12" s="1752">
        <f t="shared" si="0"/>
        <v>0</v>
      </c>
    </row>
    <row r="13" spans="1:7" ht="12.75" customHeight="1" thickTop="1" thickBot="1" x14ac:dyDescent="0.25">
      <c r="A13" s="721" t="s">
        <v>387</v>
      </c>
      <c r="B13" s="722"/>
      <c r="C13" s="723"/>
      <c r="D13" s="582"/>
      <c r="E13" s="723"/>
      <c r="F13" s="1752">
        <f t="shared" si="0"/>
        <v>0</v>
      </c>
    </row>
    <row r="14" spans="1:7" ht="12.75" customHeight="1" thickTop="1" thickBot="1" x14ac:dyDescent="0.25">
      <c r="A14" s="721" t="s">
        <v>447</v>
      </c>
      <c r="B14" s="722"/>
      <c r="C14" s="723"/>
      <c r="D14" s="582"/>
      <c r="E14" s="723"/>
      <c r="F14" s="1752">
        <f t="shared" si="0"/>
        <v>0</v>
      </c>
    </row>
    <row r="15" spans="1:7" ht="14.25" thickTop="1" thickBot="1" x14ac:dyDescent="0.25">
      <c r="A15" s="2212" t="s">
        <v>630</v>
      </c>
      <c r="B15" s="2213"/>
      <c r="C15" s="1752">
        <f>SUM(C6:C14)</f>
        <v>0</v>
      </c>
      <c r="D15" s="1752">
        <f>SUM(D6:D14)</f>
        <v>0</v>
      </c>
      <c r="E15" s="1752">
        <f>SUM(E6:E14)</f>
        <v>0</v>
      </c>
      <c r="F15" s="1752">
        <f>SUM(F6:F14)</f>
        <v>0</v>
      </c>
      <c r="G15" s="549"/>
    </row>
    <row r="16" spans="1:7" s="202" customFormat="1" ht="15.75" customHeight="1" thickTop="1" x14ac:dyDescent="0.2">
      <c r="A16" s="2225" t="s">
        <v>1110</v>
      </c>
      <c r="B16" s="2215"/>
      <c r="C16" s="2209"/>
      <c r="D16" s="2210"/>
      <c r="E16" s="2210"/>
      <c r="F16" s="2211"/>
    </row>
    <row r="17" spans="1:11" ht="12.75" customHeight="1" thickBot="1" x14ac:dyDescent="0.25">
      <c r="A17" s="2207" t="s">
        <v>64</v>
      </c>
      <c r="B17" s="2208"/>
      <c r="C17" s="723"/>
      <c r="D17" s="582"/>
      <c r="E17" s="723"/>
      <c r="F17" s="1752">
        <f>SUM(C17+D17)-E17</f>
        <v>0</v>
      </c>
    </row>
    <row r="18" spans="1:11" ht="12.75" customHeight="1" thickTop="1" thickBot="1" x14ac:dyDescent="0.25">
      <c r="A18" s="2207" t="s">
        <v>6</v>
      </c>
      <c r="B18" s="2208"/>
      <c r="C18" s="723"/>
      <c r="D18" s="582"/>
      <c r="E18" s="723"/>
      <c r="F18" s="1752">
        <f>SUM(C18+D18)-E18</f>
        <v>0</v>
      </c>
    </row>
    <row r="19" spans="1:11" ht="12.75" customHeight="1" thickTop="1" thickBot="1" x14ac:dyDescent="0.25">
      <c r="A19" s="2207" t="s">
        <v>387</v>
      </c>
      <c r="B19" s="2208"/>
      <c r="C19" s="723"/>
      <c r="D19" s="582"/>
      <c r="E19" s="723"/>
      <c r="F19" s="1752">
        <f>SUM(C19+D19)-E19</f>
        <v>0</v>
      </c>
    </row>
    <row r="20" spans="1:11" ht="12.75" customHeight="1" thickTop="1" thickBot="1" x14ac:dyDescent="0.25">
      <c r="A20" s="2207" t="s">
        <v>447</v>
      </c>
      <c r="B20" s="2208"/>
      <c r="C20" s="723"/>
      <c r="D20" s="582"/>
      <c r="E20" s="723"/>
      <c r="F20" s="1752">
        <f>SUM(C20+D20)-E20</f>
        <v>0</v>
      </c>
    </row>
    <row r="21" spans="1:11" ht="14.25" thickTop="1" thickBot="1" x14ac:dyDescent="0.25">
      <c r="A21" s="2212" t="s">
        <v>631</v>
      </c>
      <c r="B21" s="2213"/>
      <c r="C21" s="1752">
        <f>SUM(C17:C20)</f>
        <v>0</v>
      </c>
      <c r="D21" s="1752">
        <f>SUM(D17:D20)</f>
        <v>0</v>
      </c>
      <c r="E21" s="1752">
        <f>SUM(E17:E20)</f>
        <v>0</v>
      </c>
      <c r="F21" s="1752">
        <f>SUM(F17:F20)</f>
        <v>0</v>
      </c>
      <c r="G21" s="549"/>
    </row>
    <row r="22" spans="1:11" ht="15.75" customHeight="1" thickTop="1" x14ac:dyDescent="0.2">
      <c r="A22" s="2214" t="s">
        <v>1111</v>
      </c>
      <c r="B22" s="2215"/>
      <c r="C22" s="2209"/>
      <c r="D22" s="2210"/>
      <c r="E22" s="2210"/>
      <c r="F22" s="2211"/>
    </row>
    <row r="23" spans="1:11" ht="13.5" thickBot="1" x14ac:dyDescent="0.25">
      <c r="A23" s="2216" t="s">
        <v>632</v>
      </c>
      <c r="B23" s="2217"/>
      <c r="C23" s="578"/>
      <c r="D23" s="578"/>
      <c r="E23" s="578"/>
      <c r="F23" s="1752">
        <f>SUM(C23+D23)-E23</f>
        <v>0</v>
      </c>
      <c r="G23" s="549"/>
    </row>
    <row r="24" spans="1:11" ht="15.75" customHeight="1" thickTop="1" x14ac:dyDescent="0.2">
      <c r="A24" s="2214" t="s">
        <v>1112</v>
      </c>
      <c r="B24" s="2215"/>
      <c r="C24" s="2209"/>
      <c r="D24" s="2210"/>
      <c r="E24" s="2210"/>
      <c r="F24" s="2211"/>
    </row>
    <row r="25" spans="1:11" ht="13.5" thickBot="1" x14ac:dyDescent="0.25">
      <c r="A25" s="2216" t="s">
        <v>633</v>
      </c>
      <c r="B25" s="2217"/>
      <c r="C25" s="578"/>
      <c r="D25" s="578"/>
      <c r="E25" s="578"/>
      <c r="F25" s="1752">
        <f>SUM(C25+D25)-E25</f>
        <v>0</v>
      </c>
      <c r="G25" s="549"/>
    </row>
    <row r="26" spans="1:11" ht="15.75" customHeight="1" thickTop="1" x14ac:dyDescent="0.2">
      <c r="A26" s="2220" t="s">
        <v>656</v>
      </c>
      <c r="B26" s="2215"/>
      <c r="C26" s="724"/>
      <c r="D26" s="724"/>
      <c r="E26" s="724"/>
      <c r="F26" s="725"/>
    </row>
    <row r="27" spans="1:11" ht="13.5" thickBot="1" x14ac:dyDescent="0.25">
      <c r="A27" s="2212" t="s">
        <v>1069</v>
      </c>
      <c r="B27" s="2213"/>
      <c r="C27" s="582"/>
      <c r="D27" s="582"/>
      <c r="E27" s="582"/>
      <c r="F27" s="1752">
        <f>SUM(C27+D27)-E27</f>
        <v>0</v>
      </c>
      <c r="G27" s="549"/>
    </row>
    <row r="28" spans="1:11" ht="7.5" customHeight="1" thickTop="1" x14ac:dyDescent="0.2">
      <c r="A28" s="590"/>
    </row>
    <row r="29" spans="1:11" ht="23.25" customHeight="1" x14ac:dyDescent="0.2">
      <c r="A29" s="2218" t="s">
        <v>581</v>
      </c>
      <c r="B29" s="2219"/>
      <c r="C29" s="726"/>
      <c r="D29" s="726"/>
      <c r="E29" s="726"/>
      <c r="F29" s="726"/>
      <c r="G29" s="726"/>
      <c r="H29" s="726"/>
      <c r="I29" s="726"/>
      <c r="J29" s="726"/>
    </row>
    <row r="30" spans="1:11" ht="33.75" x14ac:dyDescent="0.2">
      <c r="A30" s="1526" t="s">
        <v>1070</v>
      </c>
      <c r="B30" s="727" t="s">
        <v>1123</v>
      </c>
      <c r="C30" s="1882" t="s">
        <v>582</v>
      </c>
      <c r="D30" s="1882" t="s">
        <v>1672</v>
      </c>
      <c r="E30" s="1882" t="s">
        <v>1959</v>
      </c>
      <c r="F30" s="1882" t="s">
        <v>1960</v>
      </c>
      <c r="G30" s="1882" t="s">
        <v>1910</v>
      </c>
      <c r="H30" s="1882" t="s">
        <v>1961</v>
      </c>
      <c r="I30" s="1882" t="s">
        <v>1962</v>
      </c>
      <c r="J30" s="1883" t="s">
        <v>2</v>
      </c>
      <c r="K30" s="728"/>
    </row>
    <row r="31" spans="1:11" ht="12" customHeight="1" x14ac:dyDescent="0.2">
      <c r="A31" s="729" t="s">
        <v>2079</v>
      </c>
      <c r="B31" s="730">
        <v>40154</v>
      </c>
      <c r="C31" s="731">
        <v>560000</v>
      </c>
      <c r="D31" s="732">
        <v>9</v>
      </c>
      <c r="E31" s="731">
        <v>560000</v>
      </c>
      <c r="F31" s="731"/>
      <c r="G31" s="731"/>
      <c r="H31" s="731"/>
      <c r="I31" s="1753">
        <f>((E31+F31)-H31)+G31</f>
        <v>560000</v>
      </c>
      <c r="J31" s="731">
        <f>560000-333919</f>
        <v>226081</v>
      </c>
      <c r="K31" s="733"/>
    </row>
    <row r="32" spans="1:11" ht="12" customHeight="1" x14ac:dyDescent="0.2">
      <c r="A32" s="729" t="s">
        <v>2080</v>
      </c>
      <c r="B32" s="730">
        <v>41426</v>
      </c>
      <c r="C32" s="731">
        <v>600000</v>
      </c>
      <c r="D32" s="732">
        <v>1</v>
      </c>
      <c r="E32" s="731">
        <v>460000</v>
      </c>
      <c r="F32" s="731"/>
      <c r="G32" s="731"/>
      <c r="H32" s="731">
        <v>145000</v>
      </c>
      <c r="I32" s="1753">
        <f>((E32+F32)-H32)+G32</f>
        <v>315000</v>
      </c>
      <c r="J32" s="731">
        <f>315000-88721</f>
        <v>226279</v>
      </c>
      <c r="K32" s="733"/>
    </row>
    <row r="33" spans="1:11" ht="12" customHeight="1" x14ac:dyDescent="0.2">
      <c r="A33" s="729" t="s">
        <v>2081</v>
      </c>
      <c r="B33" s="730">
        <v>41791</v>
      </c>
      <c r="C33" s="731">
        <v>1235000</v>
      </c>
      <c r="D33" s="732">
        <v>8</v>
      </c>
      <c r="E33" s="731">
        <v>945000</v>
      </c>
      <c r="F33" s="731"/>
      <c r="G33" s="731"/>
      <c r="H33" s="731">
        <v>125000</v>
      </c>
      <c r="I33" s="1753">
        <f t="shared" ref="I33:I48" si="1">((E33+F33)-H33)+G33</f>
        <v>820000</v>
      </c>
      <c r="J33" s="731">
        <f>820000-138875</f>
        <v>681125</v>
      </c>
      <c r="K33" s="733"/>
    </row>
    <row r="34" spans="1:11" ht="12" customHeight="1" x14ac:dyDescent="0.2">
      <c r="A34" s="729" t="s">
        <v>2082</v>
      </c>
      <c r="B34" s="730"/>
      <c r="C34" s="731">
        <v>31946</v>
      </c>
      <c r="D34" s="732">
        <v>7</v>
      </c>
      <c r="E34" s="731">
        <v>10680</v>
      </c>
      <c r="F34" s="731"/>
      <c r="G34" s="731"/>
      <c r="H34" s="731">
        <v>10680</v>
      </c>
      <c r="I34" s="1753">
        <f t="shared" si="1"/>
        <v>0</v>
      </c>
      <c r="J34" s="731"/>
      <c r="K34" s="734"/>
    </row>
    <row r="35" spans="1:11" ht="12" customHeight="1" x14ac:dyDescent="0.2">
      <c r="A35" s="729" t="s">
        <v>2083</v>
      </c>
      <c r="B35" s="730"/>
      <c r="C35" s="735">
        <v>95380</v>
      </c>
      <c r="D35" s="732">
        <v>7</v>
      </c>
      <c r="E35" s="735">
        <v>57224</v>
      </c>
      <c r="F35" s="735"/>
      <c r="G35" s="735">
        <v>-18611</v>
      </c>
      <c r="H35" s="735"/>
      <c r="I35" s="1753">
        <f t="shared" si="1"/>
        <v>38613</v>
      </c>
      <c r="J35" s="735">
        <v>38613</v>
      </c>
      <c r="K35" s="734"/>
    </row>
    <row r="36" spans="1:11" ht="12" customHeight="1" x14ac:dyDescent="0.2">
      <c r="A36" s="729" t="s">
        <v>2083</v>
      </c>
      <c r="B36" s="730"/>
      <c r="C36" s="731">
        <v>83473</v>
      </c>
      <c r="D36" s="732">
        <v>7</v>
      </c>
      <c r="E36" s="731">
        <v>49871</v>
      </c>
      <c r="F36" s="731"/>
      <c r="G36" s="731">
        <v>-16219</v>
      </c>
      <c r="H36" s="731"/>
      <c r="I36" s="1753">
        <f t="shared" si="1"/>
        <v>33652</v>
      </c>
      <c r="J36" s="731">
        <v>33652</v>
      </c>
      <c r="K36" s="736"/>
    </row>
    <row r="37" spans="1:11" ht="12" customHeight="1" x14ac:dyDescent="0.2">
      <c r="A37" s="729" t="s">
        <v>2084</v>
      </c>
      <c r="B37" s="730"/>
      <c r="C37" s="467">
        <v>27388</v>
      </c>
      <c r="D37" s="737">
        <v>7</v>
      </c>
      <c r="E37" s="467">
        <v>17909</v>
      </c>
      <c r="F37" s="467"/>
      <c r="G37" s="467"/>
      <c r="H37" s="467">
        <v>8752</v>
      </c>
      <c r="I37" s="1753">
        <f t="shared" si="1"/>
        <v>9157</v>
      </c>
      <c r="J37" s="467">
        <v>9157</v>
      </c>
      <c r="K37" s="734"/>
    </row>
    <row r="38" spans="1:11" ht="12" customHeight="1" x14ac:dyDescent="0.2">
      <c r="A38" s="729" t="s">
        <v>2084</v>
      </c>
      <c r="B38" s="730"/>
      <c r="C38" s="731">
        <v>29850</v>
      </c>
      <c r="D38" s="738">
        <v>7</v>
      </c>
      <c r="E38" s="739"/>
      <c r="F38" s="739"/>
      <c r="G38" s="739">
        <v>29952</v>
      </c>
      <c r="H38" s="739">
        <v>10418</v>
      </c>
      <c r="I38" s="1753">
        <f t="shared" si="1"/>
        <v>19534</v>
      </c>
      <c r="J38" s="740">
        <v>19534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2663037</v>
      </c>
      <c r="D49" s="742"/>
      <c r="E49" s="1753">
        <f t="shared" ref="E49:J49" si="2">SUM(E31:E48)</f>
        <v>2100684</v>
      </c>
      <c r="F49" s="1753">
        <f t="shared" si="2"/>
        <v>0</v>
      </c>
      <c r="G49" s="1753">
        <f t="shared" si="2"/>
        <v>-4878</v>
      </c>
      <c r="H49" s="1753">
        <f t="shared" si="2"/>
        <v>299850</v>
      </c>
      <c r="I49" s="1753">
        <f t="shared" si="2"/>
        <v>1795956</v>
      </c>
      <c r="J49" s="1753">
        <f t="shared" si="2"/>
        <v>1234441</v>
      </c>
      <c r="K49" s="734"/>
    </row>
    <row r="50" spans="1:11" ht="6" customHeight="1" x14ac:dyDescent="0.2">
      <c r="A50" s="743"/>
      <c r="B50" s="733"/>
      <c r="C50" s="733"/>
      <c r="D50" s="733"/>
      <c r="E50" s="733"/>
      <c r="F50" s="733"/>
      <c r="G50" s="733"/>
      <c r="H50" s="733"/>
      <c r="I50" s="733"/>
      <c r="J50" s="743"/>
    </row>
    <row r="51" spans="1:11" x14ac:dyDescent="0.2">
      <c r="A51" s="744" t="s">
        <v>1806</v>
      </c>
      <c r="B51" s="743"/>
      <c r="C51" s="734"/>
      <c r="D51" s="734"/>
      <c r="E51" s="734"/>
      <c r="F51" s="734"/>
      <c r="G51" s="734"/>
      <c r="H51" s="733"/>
      <c r="I51" s="733"/>
      <c r="J51" s="743"/>
    </row>
    <row r="52" spans="1:11" ht="11.25" customHeight="1" x14ac:dyDescent="0.2">
      <c r="A52" s="745" t="s">
        <v>911</v>
      </c>
      <c r="B52" s="2201" t="s">
        <v>583</v>
      </c>
      <c r="C52" s="2202"/>
      <c r="D52" s="2202"/>
      <c r="E52" s="746" t="s">
        <v>844</v>
      </c>
      <c r="F52" s="2203" t="s">
        <v>2112</v>
      </c>
      <c r="G52" s="2204"/>
      <c r="H52" s="733"/>
      <c r="I52" s="733"/>
      <c r="J52" s="743"/>
    </row>
    <row r="53" spans="1:11" ht="11.25" customHeight="1" x14ac:dyDescent="0.2">
      <c r="A53" s="747" t="s">
        <v>912</v>
      </c>
      <c r="B53" s="748" t="s">
        <v>950</v>
      </c>
      <c r="C53" s="743"/>
      <c r="D53" s="734"/>
      <c r="E53" s="746" t="s">
        <v>496</v>
      </c>
      <c r="F53" s="2205" t="s">
        <v>2142</v>
      </c>
      <c r="G53" s="2206"/>
      <c r="H53" s="733"/>
      <c r="I53" s="733"/>
      <c r="J53" s="743"/>
    </row>
    <row r="54" spans="1:11" ht="11.25" customHeight="1" x14ac:dyDescent="0.2">
      <c r="A54" s="749" t="s">
        <v>913</v>
      </c>
      <c r="B54" s="744" t="s">
        <v>951</v>
      </c>
      <c r="C54" s="743"/>
      <c r="D54" s="734"/>
      <c r="E54" s="746" t="s">
        <v>497</v>
      </c>
      <c r="F54" s="2205" t="s">
        <v>2143</v>
      </c>
      <c r="G54" s="220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855</v>
      </c>
      <c r="B1" s="2231"/>
      <c r="C1" s="2231"/>
      <c r="D1" s="2231"/>
      <c r="E1" s="2231"/>
      <c r="F1" s="2231"/>
      <c r="G1" s="2232"/>
      <c r="H1" s="1527"/>
      <c r="I1" s="757"/>
      <c r="J1" s="433"/>
    </row>
    <row r="2" spans="1:11" ht="26.25" x14ac:dyDescent="0.2">
      <c r="A2" s="2249" t="s">
        <v>1676</v>
      </c>
      <c r="B2" s="2250"/>
      <c r="C2" s="2250"/>
      <c r="D2" s="2250"/>
      <c r="E2" s="2251"/>
      <c r="F2" s="758" t="s">
        <v>903</v>
      </c>
      <c r="G2" s="759" t="s">
        <v>1673</v>
      </c>
      <c r="H2" s="759" t="s">
        <v>409</v>
      </c>
      <c r="I2" s="759" t="s">
        <v>1157</v>
      </c>
      <c r="J2" s="759" t="s">
        <v>1811</v>
      </c>
      <c r="K2" s="759" t="s">
        <v>138</v>
      </c>
    </row>
    <row r="3" spans="1:11" x14ac:dyDescent="0.2">
      <c r="A3" s="2252" t="s">
        <v>1963</v>
      </c>
      <c r="B3" s="2253"/>
      <c r="C3" s="2253"/>
      <c r="D3" s="2253"/>
      <c r="E3" s="2254"/>
      <c r="F3" s="760"/>
      <c r="G3" s="761"/>
      <c r="H3" s="761"/>
      <c r="I3" s="761"/>
      <c r="J3" s="762">
        <v>138627</v>
      </c>
      <c r="K3" s="762"/>
    </row>
    <row r="4" spans="1:11" x14ac:dyDescent="0.2">
      <c r="A4" s="2255" t="s">
        <v>368</v>
      </c>
      <c r="B4" s="2256"/>
      <c r="C4" s="2256"/>
      <c r="D4" s="2256"/>
      <c r="E4" s="2202"/>
      <c r="F4" s="763"/>
      <c r="G4" s="764"/>
      <c r="H4" s="765"/>
      <c r="I4" s="764"/>
      <c r="J4" s="766"/>
      <c r="K4" s="766"/>
    </row>
    <row r="5" spans="1:11" x14ac:dyDescent="0.2">
      <c r="A5" s="2233" t="s">
        <v>1068</v>
      </c>
      <c r="B5" s="2234"/>
      <c r="C5" s="2234"/>
      <c r="D5" s="2234"/>
      <c r="E5" s="2235"/>
      <c r="F5" s="767" t="s">
        <v>847</v>
      </c>
      <c r="G5" s="768"/>
      <c r="H5" s="761">
        <v>22771</v>
      </c>
      <c r="I5" s="769"/>
      <c r="J5" s="770"/>
      <c r="K5" s="770"/>
    </row>
    <row r="6" spans="1:11" x14ac:dyDescent="0.2">
      <c r="A6" s="771" t="s">
        <v>719</v>
      </c>
      <c r="B6" s="772"/>
      <c r="C6" s="772"/>
      <c r="D6" s="772"/>
      <c r="E6" s="773"/>
      <c r="F6" s="774" t="s">
        <v>848</v>
      </c>
      <c r="G6" s="761"/>
      <c r="H6" s="761">
        <v>7</v>
      </c>
      <c r="I6" s="761"/>
      <c r="J6" s="762">
        <v>2178</v>
      </c>
      <c r="K6" s="762"/>
    </row>
    <row r="7" spans="1:11" x14ac:dyDescent="0.2">
      <c r="A7" s="775" t="s">
        <v>246</v>
      </c>
      <c r="B7" s="776"/>
      <c r="C7" s="776"/>
      <c r="D7" s="776"/>
      <c r="E7" s="777"/>
      <c r="F7" s="767" t="s">
        <v>849</v>
      </c>
      <c r="G7" s="764"/>
      <c r="H7" s="764"/>
      <c r="I7" s="764"/>
      <c r="J7" s="778"/>
      <c r="K7" s="762">
        <v>2050</v>
      </c>
    </row>
    <row r="8" spans="1:11" x14ac:dyDescent="0.2">
      <c r="A8" s="775" t="s">
        <v>344</v>
      </c>
      <c r="B8" s="776"/>
      <c r="C8" s="776"/>
      <c r="D8" s="776"/>
      <c r="E8" s="777"/>
      <c r="F8" s="767" t="s">
        <v>850</v>
      </c>
      <c r="G8" s="779"/>
      <c r="H8" s="779"/>
      <c r="I8" s="779"/>
      <c r="J8" s="762">
        <v>199979</v>
      </c>
      <c r="K8" s="766"/>
    </row>
    <row r="9" spans="1:11" x14ac:dyDescent="0.2">
      <c r="A9" s="775" t="s">
        <v>138</v>
      </c>
      <c r="B9" s="776"/>
      <c r="C9" s="776"/>
      <c r="D9" s="776"/>
      <c r="E9" s="777"/>
      <c r="F9" s="774" t="s">
        <v>852</v>
      </c>
      <c r="G9" s="779"/>
      <c r="H9" s="768"/>
      <c r="I9" s="768"/>
      <c r="J9" s="778"/>
      <c r="K9" s="762">
        <v>7439</v>
      </c>
    </row>
    <row r="10" spans="1:11" x14ac:dyDescent="0.2">
      <c r="A10" s="2233" t="s">
        <v>1812</v>
      </c>
      <c r="B10" s="2234"/>
      <c r="C10" s="2234"/>
      <c r="D10" s="2234"/>
      <c r="E10" s="2236"/>
      <c r="F10" s="780" t="s">
        <v>861</v>
      </c>
      <c r="G10" s="779"/>
      <c r="H10" s="781"/>
      <c r="I10" s="761"/>
      <c r="J10" s="762">
        <v>118864</v>
      </c>
      <c r="K10" s="762"/>
    </row>
    <row r="11" spans="1:11" x14ac:dyDescent="0.2">
      <c r="A11" s="2233" t="s">
        <v>160</v>
      </c>
      <c r="B11" s="2234"/>
      <c r="C11" s="2234"/>
      <c r="D11" s="2234"/>
      <c r="E11" s="2235"/>
      <c r="F11" s="767" t="s">
        <v>851</v>
      </c>
      <c r="G11" s="768"/>
      <c r="H11" s="761"/>
      <c r="I11" s="761"/>
      <c r="J11" s="762"/>
      <c r="K11" s="770"/>
    </row>
    <row r="12" spans="1:11" ht="13.5" thickBot="1" x14ac:dyDescent="0.25">
      <c r="A12" s="2260" t="s">
        <v>904</v>
      </c>
      <c r="B12" s="2261"/>
      <c r="C12" s="2261"/>
      <c r="D12" s="2261"/>
      <c r="E12" s="2262"/>
      <c r="F12" s="1754"/>
      <c r="G12" s="1755">
        <f>SUM(G5:G11)</f>
        <v>0</v>
      </c>
      <c r="H12" s="1755">
        <f>SUM(H5:H11)</f>
        <v>22778</v>
      </c>
      <c r="I12" s="1755">
        <f>SUM(I5:I11)</f>
        <v>0</v>
      </c>
      <c r="J12" s="1755">
        <f>SUM(J5:J11)</f>
        <v>321021</v>
      </c>
      <c r="K12" s="1755">
        <f>SUM(K5:K11)</f>
        <v>9489</v>
      </c>
    </row>
    <row r="13" spans="1:11" ht="13.5" thickTop="1" x14ac:dyDescent="0.2">
      <c r="A13" s="2257" t="s">
        <v>369</v>
      </c>
      <c r="B13" s="2258"/>
      <c r="C13" s="2258"/>
      <c r="D13" s="2258"/>
      <c r="E13" s="2259"/>
      <c r="F13" s="782"/>
      <c r="G13" s="783"/>
      <c r="H13" s="784"/>
      <c r="I13" s="785"/>
      <c r="J13" s="785"/>
      <c r="K13" s="785"/>
    </row>
    <row r="14" spans="1:11" x14ac:dyDescent="0.2">
      <c r="A14" s="2240" t="s">
        <v>455</v>
      </c>
      <c r="B14" s="2240"/>
      <c r="C14" s="2240"/>
      <c r="D14" s="2240"/>
      <c r="E14" s="2241"/>
      <c r="F14" s="786" t="s">
        <v>853</v>
      </c>
      <c r="G14" s="779"/>
      <c r="H14" s="761">
        <v>22778</v>
      </c>
      <c r="I14" s="768"/>
      <c r="J14" s="770"/>
      <c r="K14" s="762">
        <v>9489</v>
      </c>
    </row>
    <row r="15" spans="1:11" x14ac:dyDescent="0.2">
      <c r="A15" s="2234" t="s">
        <v>4</v>
      </c>
      <c r="B15" s="2234"/>
      <c r="C15" s="2234"/>
      <c r="D15" s="2234"/>
      <c r="E15" s="2235"/>
      <c r="F15" s="786" t="s">
        <v>854</v>
      </c>
      <c r="G15" s="768"/>
      <c r="H15" s="761"/>
      <c r="I15" s="761"/>
      <c r="J15" s="762">
        <v>190731</v>
      </c>
      <c r="K15" s="762"/>
    </row>
    <row r="16" spans="1:11" x14ac:dyDescent="0.2">
      <c r="A16" s="2234" t="s">
        <v>297</v>
      </c>
      <c r="B16" s="2234"/>
      <c r="C16" s="2234"/>
      <c r="D16" s="2234"/>
      <c r="E16" s="2235"/>
      <c r="F16" s="786" t="s">
        <v>922</v>
      </c>
      <c r="G16" s="769"/>
      <c r="H16" s="764"/>
      <c r="I16" s="764"/>
      <c r="J16" s="766"/>
      <c r="K16" s="766"/>
    </row>
    <row r="17" spans="1:11" x14ac:dyDescent="0.2">
      <c r="A17" s="2265" t="s">
        <v>934</v>
      </c>
      <c r="B17" s="2265"/>
      <c r="C17" s="2265"/>
      <c r="D17" s="2265"/>
      <c r="E17" s="2266"/>
      <c r="F17" s="787"/>
      <c r="G17" s="788"/>
      <c r="H17" s="789"/>
      <c r="I17" s="789"/>
      <c r="J17" s="790"/>
      <c r="K17" s="791"/>
    </row>
    <row r="18" spans="1:11" x14ac:dyDescent="0.2">
      <c r="A18" s="2244" t="s">
        <v>367</v>
      </c>
      <c r="B18" s="2245"/>
      <c r="C18" s="2245"/>
      <c r="D18" s="2245"/>
      <c r="E18" s="2246"/>
      <c r="F18" s="786" t="s">
        <v>931</v>
      </c>
      <c r="G18" s="779"/>
      <c r="H18" s="779"/>
      <c r="I18" s="779"/>
      <c r="J18" s="762">
        <v>21403</v>
      </c>
      <c r="K18" s="792"/>
    </row>
    <row r="19" spans="1:11" ht="21.75" customHeight="1" x14ac:dyDescent="0.2">
      <c r="A19" s="2242" t="s">
        <v>1808</v>
      </c>
      <c r="B19" s="2242"/>
      <c r="C19" s="2242"/>
      <c r="D19" s="2242"/>
      <c r="E19" s="2243"/>
      <c r="F19" s="786" t="s">
        <v>932</v>
      </c>
      <c r="G19" s="779"/>
      <c r="H19" s="779"/>
      <c r="I19" s="779"/>
      <c r="J19" s="762">
        <v>125000</v>
      </c>
      <c r="K19" s="792"/>
    </row>
    <row r="20" spans="1:11" x14ac:dyDescent="0.2">
      <c r="A20" s="2244" t="s">
        <v>1813</v>
      </c>
      <c r="B20" s="2245"/>
      <c r="C20" s="2245"/>
      <c r="D20" s="2245"/>
      <c r="E20" s="2246"/>
      <c r="F20" s="786" t="s">
        <v>933</v>
      </c>
      <c r="G20" s="779"/>
      <c r="H20" s="779"/>
      <c r="I20" s="779"/>
      <c r="J20" s="762"/>
      <c r="K20" s="792"/>
    </row>
    <row r="21" spans="1:11" ht="13.5" thickBot="1" x14ac:dyDescent="0.25">
      <c r="A21" s="2263" t="s">
        <v>637</v>
      </c>
      <c r="B21" s="2263"/>
      <c r="C21" s="2263"/>
      <c r="D21" s="2263"/>
      <c r="E21" s="2263"/>
      <c r="F21" s="1756"/>
      <c r="G21" s="789"/>
      <c r="H21" s="793"/>
      <c r="I21" s="793"/>
      <c r="J21" s="1757">
        <f>SUM(J18:J20)</f>
        <v>146403</v>
      </c>
      <c r="K21" s="790"/>
    </row>
    <row r="22" spans="1:11" ht="13.5" thickTop="1" x14ac:dyDescent="0.2">
      <c r="A22" s="2234" t="s">
        <v>1814</v>
      </c>
      <c r="B22" s="2234"/>
      <c r="C22" s="2234"/>
      <c r="D22" s="2234"/>
      <c r="E22" s="2235"/>
      <c r="F22" s="786" t="s">
        <v>861</v>
      </c>
      <c r="G22" s="779"/>
      <c r="H22" s="761"/>
      <c r="I22" s="761"/>
      <c r="J22" s="794"/>
      <c r="K22" s="762"/>
    </row>
    <row r="23" spans="1:11" ht="13.5" thickBot="1" x14ac:dyDescent="0.25">
      <c r="A23" s="2264" t="s">
        <v>905</v>
      </c>
      <c r="B23" s="2263"/>
      <c r="C23" s="2263"/>
      <c r="D23" s="2263"/>
      <c r="E23" s="2263"/>
      <c r="F23" s="1758"/>
      <c r="G23" s="1755">
        <f>SUM(G14:G16,G21,G22)</f>
        <v>0</v>
      </c>
      <c r="H23" s="1755">
        <f>SUM(H14:H16,H21,H22)</f>
        <v>22778</v>
      </c>
      <c r="I23" s="1755">
        <f>SUM(I14:I16,I21,I22)</f>
        <v>0</v>
      </c>
      <c r="J23" s="1755">
        <f>SUM(J14:J16,J21,J22)</f>
        <v>337134</v>
      </c>
      <c r="K23" s="1755">
        <f>SUM(K14:K16,K21,K22)</f>
        <v>9489</v>
      </c>
    </row>
    <row r="24" spans="1:11" ht="14.25" thickTop="1" thickBot="1" x14ac:dyDescent="0.25">
      <c r="A24" s="2264" t="s">
        <v>1964</v>
      </c>
      <c r="B24" s="2263"/>
      <c r="C24" s="2263"/>
      <c r="D24" s="2263"/>
      <c r="E24" s="2263"/>
      <c r="F24" s="1759"/>
      <c r="G24" s="1760">
        <f>SUM(G3,G12)-G23</f>
        <v>0</v>
      </c>
      <c r="H24" s="1760">
        <f>SUM(H3,H12)-H23</f>
        <v>0</v>
      </c>
      <c r="I24" s="1760">
        <f>SUM(I3,I12)-I23</f>
        <v>0</v>
      </c>
      <c r="J24" s="1760">
        <f>SUM(J3,J12)-J23</f>
        <v>122514</v>
      </c>
      <c r="K24" s="1760">
        <f>SUM(K3,K12)-K23</f>
        <v>0</v>
      </c>
    </row>
    <row r="25" spans="1:11" ht="13.5" thickTop="1" x14ac:dyDescent="0.2">
      <c r="A25" s="795" t="s">
        <v>419</v>
      </c>
      <c r="B25" s="796"/>
      <c r="C25" s="796"/>
      <c r="D25" s="796"/>
      <c r="E25" s="797"/>
      <c r="F25" s="798">
        <v>714</v>
      </c>
      <c r="G25" s="799"/>
      <c r="H25" s="799"/>
      <c r="I25" s="799"/>
      <c r="J25" s="794">
        <v>122514</v>
      </c>
      <c r="K25" s="794"/>
    </row>
    <row r="26" spans="1:11" ht="13.5" thickBot="1" x14ac:dyDescent="0.25">
      <c r="A26" s="795" t="s">
        <v>341</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237"/>
      <c r="I31" s="2238"/>
      <c r="J31" s="2238"/>
      <c r="K31" s="2238"/>
    </row>
    <row r="32" spans="1:11" x14ac:dyDescent="0.2">
      <c r="A32" s="806"/>
      <c r="B32" s="237"/>
      <c r="C32" s="237"/>
      <c r="D32" s="237"/>
      <c r="E32" s="802"/>
      <c r="F32" s="808" t="s">
        <v>539</v>
      </c>
      <c r="G32" s="761"/>
      <c r="H32" s="2239"/>
      <c r="I32" s="2238"/>
      <c r="J32" s="2238"/>
      <c r="K32" s="2238"/>
    </row>
    <row r="33" spans="1:11" ht="1.5" customHeight="1" x14ac:dyDescent="0.2">
      <c r="A33" s="809" t="s">
        <v>1168</v>
      </c>
      <c r="B33" s="364"/>
      <c r="C33" s="364"/>
      <c r="D33" s="364"/>
      <c r="E33" s="364"/>
      <c r="F33" s="364"/>
      <c r="G33" s="810"/>
      <c r="H33" s="2239"/>
      <c r="I33" s="2238"/>
      <c r="J33" s="2238"/>
      <c r="K33" s="2238"/>
    </row>
    <row r="34" spans="1:11" x14ac:dyDescent="0.2">
      <c r="A34" s="811" t="s">
        <v>1815</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234" t="s">
        <v>540</v>
      </c>
      <c r="B41" s="2247"/>
      <c r="C41" s="2247"/>
      <c r="D41" s="2247"/>
      <c r="E41" s="2247"/>
      <c r="F41" s="2248"/>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8" t="s">
        <v>1809</v>
      </c>
      <c r="B46" s="408" t="s">
        <v>1674</v>
      </c>
    </row>
    <row r="47" spans="1:11" s="820" customFormat="1" ht="12.75" customHeight="1" x14ac:dyDescent="0.2">
      <c r="A47" s="818"/>
      <c r="B47" s="819" t="s">
        <v>1675</v>
      </c>
      <c r="E47" s="819"/>
      <c r="K47" s="821"/>
    </row>
    <row r="48" spans="1:11" ht="12.75" customHeight="1" x14ac:dyDescent="0.2">
      <c r="A48" s="1529"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1908</v>
      </c>
      <c r="B1" s="2270"/>
      <c r="C1" s="2271"/>
      <c r="D1" s="823"/>
      <c r="E1" s="824"/>
      <c r="F1" s="824"/>
      <c r="G1" s="825"/>
      <c r="H1" s="826"/>
      <c r="I1" s="827"/>
      <c r="J1" s="2267"/>
      <c r="K1" s="2268"/>
      <c r="L1" s="2268"/>
    </row>
    <row r="2" spans="1:14" ht="69.75" customHeight="1" x14ac:dyDescent="0.2">
      <c r="A2" s="828" t="s">
        <v>1677</v>
      </c>
      <c r="B2" s="829" t="s">
        <v>377</v>
      </c>
      <c r="C2" s="830" t="s">
        <v>1965</v>
      </c>
      <c r="D2" s="830" t="s">
        <v>1966</v>
      </c>
      <c r="E2" s="830" t="s">
        <v>1967</v>
      </c>
      <c r="F2" s="830" t="s">
        <v>1968</v>
      </c>
      <c r="G2" s="830" t="s">
        <v>604</v>
      </c>
      <c r="H2" s="830" t="s">
        <v>1969</v>
      </c>
      <c r="I2" s="830" t="s">
        <v>1970</v>
      </c>
      <c r="J2" s="830" t="s">
        <v>1971</v>
      </c>
      <c r="K2" s="830" t="s">
        <v>1972</v>
      </c>
      <c r="L2" s="830" t="s">
        <v>1973</v>
      </c>
      <c r="M2" s="831"/>
      <c r="N2" s="831"/>
    </row>
    <row r="3" spans="1:14" ht="13.5" thickBot="1" x14ac:dyDescent="0.25">
      <c r="A3" s="1626" t="s">
        <v>891</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892</v>
      </c>
      <c r="B5" s="837">
        <v>221</v>
      </c>
      <c r="C5" s="838">
        <v>39570</v>
      </c>
      <c r="D5" s="838"/>
      <c r="E5" s="838"/>
      <c r="F5" s="1757">
        <f>(C5+D5)-E5</f>
        <v>39570</v>
      </c>
      <c r="G5" s="834"/>
      <c r="H5" s="839"/>
      <c r="I5" s="839"/>
      <c r="J5" s="839"/>
      <c r="K5" s="790"/>
      <c r="L5" s="1766">
        <f>F5-K5</f>
        <v>39570</v>
      </c>
    </row>
    <row r="6" spans="1:14" ht="14.25" thickTop="1" thickBot="1" x14ac:dyDescent="0.25">
      <c r="A6" s="775" t="s">
        <v>1116</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1117</v>
      </c>
      <c r="B8" s="837">
        <v>231</v>
      </c>
      <c r="C8" s="841">
        <v>5911331</v>
      </c>
      <c r="D8" s="841">
        <v>390389</v>
      </c>
      <c r="E8" s="841"/>
      <c r="F8" s="1757">
        <f>(C8+D8)-E8</f>
        <v>6301720</v>
      </c>
      <c r="G8" s="840">
        <v>50</v>
      </c>
      <c r="H8" s="762">
        <v>2772339</v>
      </c>
      <c r="I8" s="762">
        <v>102430</v>
      </c>
      <c r="J8" s="762"/>
      <c r="K8" s="1766">
        <f>(H8+I8)-J8</f>
        <v>2874769</v>
      </c>
      <c r="L8" s="1766">
        <f>F8-K8</f>
        <v>3426951</v>
      </c>
    </row>
    <row r="9" spans="1:14" ht="14.25" thickTop="1" thickBot="1" x14ac:dyDescent="0.25">
      <c r="A9" s="775" t="s">
        <v>1118</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1119</v>
      </c>
      <c r="B10" s="837">
        <v>240</v>
      </c>
      <c r="C10" s="843">
        <v>1089969</v>
      </c>
      <c r="D10" s="843"/>
      <c r="E10" s="843"/>
      <c r="F10" s="1761">
        <f>(C10+D10)-E10</f>
        <v>1089969</v>
      </c>
      <c r="G10" s="840">
        <v>20</v>
      </c>
      <c r="H10" s="844">
        <v>543987</v>
      </c>
      <c r="I10" s="844">
        <v>43226</v>
      </c>
      <c r="J10" s="844"/>
      <c r="K10" s="1766">
        <f>(H10+I10)-J10</f>
        <v>587213</v>
      </c>
      <c r="L10" s="1766">
        <f>F10-K10</f>
        <v>502756</v>
      </c>
    </row>
    <row r="11" spans="1:14" ht="13.5" thickTop="1" x14ac:dyDescent="0.2">
      <c r="A11" s="1629" t="s">
        <v>1135</v>
      </c>
      <c r="B11" s="1627">
        <v>250</v>
      </c>
      <c r="C11" s="778"/>
      <c r="D11" s="778"/>
      <c r="E11" s="778"/>
      <c r="F11" s="770"/>
      <c r="G11" s="840"/>
      <c r="H11" s="778"/>
      <c r="I11" s="778"/>
      <c r="J11" s="778"/>
      <c r="K11" s="770"/>
      <c r="L11" s="770"/>
    </row>
    <row r="12" spans="1:14" ht="13.5" thickBot="1" x14ac:dyDescent="0.25">
      <c r="A12" s="845" t="s">
        <v>1120</v>
      </c>
      <c r="B12" s="837">
        <v>251</v>
      </c>
      <c r="C12" s="841">
        <v>768811</v>
      </c>
      <c r="D12" s="841">
        <v>64889</v>
      </c>
      <c r="E12" s="841">
        <v>36966</v>
      </c>
      <c r="F12" s="1757">
        <f>(C12+D12)-E12</f>
        <v>796734</v>
      </c>
      <c r="G12" s="840">
        <v>10</v>
      </c>
      <c r="H12" s="762">
        <v>387817</v>
      </c>
      <c r="I12" s="762">
        <v>79675</v>
      </c>
      <c r="J12" s="762">
        <v>36966</v>
      </c>
      <c r="K12" s="1766">
        <f>(H12+I12)-J12</f>
        <v>430526</v>
      </c>
      <c r="L12" s="1766">
        <f>F12-K12</f>
        <v>366208</v>
      </c>
    </row>
    <row r="13" spans="1:14" ht="14.25" thickTop="1" thickBot="1" x14ac:dyDescent="0.25">
      <c r="A13" s="845" t="s">
        <v>1121</v>
      </c>
      <c r="B13" s="837">
        <v>252</v>
      </c>
      <c r="C13" s="841">
        <v>672065</v>
      </c>
      <c r="D13" s="841"/>
      <c r="E13" s="841"/>
      <c r="F13" s="1757">
        <f>(C13+D13)-E13</f>
        <v>672065</v>
      </c>
      <c r="G13" s="840">
        <v>5</v>
      </c>
      <c r="H13" s="762">
        <v>555389</v>
      </c>
      <c r="I13" s="762">
        <v>43721</v>
      </c>
      <c r="J13" s="762"/>
      <c r="K13" s="1766">
        <f>(H13+I13)-J13</f>
        <v>599110</v>
      </c>
      <c r="L13" s="1766">
        <f>F13-K13</f>
        <v>72955</v>
      </c>
    </row>
    <row r="14" spans="1:14" ht="14.25" thickTop="1" thickBot="1" x14ac:dyDescent="0.25">
      <c r="A14" s="845" t="s">
        <v>1122</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527</v>
      </c>
      <c r="B15" s="1627">
        <v>260</v>
      </c>
      <c r="C15" s="841">
        <v>39379</v>
      </c>
      <c r="D15" s="841"/>
      <c r="E15" s="841">
        <v>39379</v>
      </c>
      <c r="F15" s="1757">
        <f>(C15+D15)-E15</f>
        <v>0</v>
      </c>
      <c r="G15" s="846" t="s">
        <v>861</v>
      </c>
      <c r="H15" s="778"/>
      <c r="I15" s="778"/>
      <c r="J15" s="778"/>
      <c r="K15" s="778"/>
      <c r="L15" s="1766">
        <f>F15-K15</f>
        <v>0</v>
      </c>
    </row>
    <row r="16" spans="1:14" ht="15" customHeight="1" thickTop="1" thickBot="1" x14ac:dyDescent="0.25">
      <c r="A16" s="1762" t="s">
        <v>642</v>
      </c>
      <c r="B16" s="1763">
        <v>200</v>
      </c>
      <c r="C16" s="1757">
        <f>SUM(C3,C5:C6,C8:C10,C12:C15)</f>
        <v>8521125</v>
      </c>
      <c r="D16" s="1757">
        <f>SUM(D3,D5:D6,D8:D10,D12:D15)</f>
        <v>455278</v>
      </c>
      <c r="E16" s="1757">
        <f>SUM(E3,E5:E6,E8:E10,E12:E15)</f>
        <v>76345</v>
      </c>
      <c r="F16" s="1757">
        <f>SUM(F3,F5:F6,F8:F10,F12:F15)</f>
        <v>8900058</v>
      </c>
      <c r="G16" s="840"/>
      <c r="H16" s="1757">
        <f>SUM(H3,H6,H8:H10,H12:H14,)</f>
        <v>4259532</v>
      </c>
      <c r="I16" s="1757">
        <f>SUM(I3,I6,I8:I10,I12:I14,)</f>
        <v>269052</v>
      </c>
      <c r="J16" s="1757">
        <f>SUM(J3,J6,J8:J10,J12:J14,)</f>
        <v>36966</v>
      </c>
      <c r="K16" s="1757">
        <f>(H16+I16)-J16</f>
        <v>4491618</v>
      </c>
      <c r="L16" s="1757">
        <f>F16-K16</f>
        <v>4408440</v>
      </c>
    </row>
    <row r="17" spans="1:12" ht="15" customHeight="1" thickTop="1" thickBot="1" x14ac:dyDescent="0.25">
      <c r="A17" s="1630" t="s">
        <v>290</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684</v>
      </c>
      <c r="B18" s="1765"/>
      <c r="C18" s="768"/>
      <c r="D18" s="768"/>
      <c r="E18" s="768"/>
      <c r="F18" s="847"/>
      <c r="G18" s="848"/>
      <c r="H18" s="770"/>
      <c r="I18" s="1757">
        <f>SUM(I16,I17)</f>
        <v>269052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3" sqref="F3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5" t="s">
        <v>1974</v>
      </c>
      <c r="B1" s="2276"/>
      <c r="C1" s="2276"/>
      <c r="D1" s="2276"/>
      <c r="E1" s="2276"/>
      <c r="F1" s="2277"/>
      <c r="G1" s="852"/>
    </row>
    <row r="2" spans="1:7" ht="15" customHeight="1" thickBot="1" x14ac:dyDescent="0.25">
      <c r="A2" s="2278" t="s">
        <v>476</v>
      </c>
      <c r="B2" s="2279"/>
      <c r="C2" s="2279"/>
      <c r="D2" s="2279"/>
      <c r="E2" s="2279"/>
      <c r="F2" s="2280"/>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5">
        <f>'Expenditures 15-22'!K114</f>
        <v>4427652</v>
      </c>
      <c r="G8" s="862"/>
    </row>
    <row r="9" spans="1:7" x14ac:dyDescent="0.2">
      <c r="A9" s="866" t="s">
        <v>459</v>
      </c>
      <c r="B9" s="867" t="s">
        <v>1876</v>
      </c>
      <c r="C9" s="868"/>
      <c r="D9" s="866" t="s">
        <v>500</v>
      </c>
      <c r="E9" s="865"/>
      <c r="F9" s="1906">
        <f>'Expenditures 15-22'!K151</f>
        <v>416968</v>
      </c>
      <c r="G9" s="869"/>
    </row>
    <row r="10" spans="1:7" x14ac:dyDescent="0.2">
      <c r="A10" s="866" t="s">
        <v>498</v>
      </c>
      <c r="B10" s="867" t="s">
        <v>1877</v>
      </c>
      <c r="C10" s="868"/>
      <c r="D10" s="866" t="s">
        <v>500</v>
      </c>
      <c r="E10" s="865"/>
      <c r="F10" s="1906">
        <f>'Expenditures 15-22'!K174</f>
        <v>336202</v>
      </c>
      <c r="G10" s="869"/>
    </row>
    <row r="11" spans="1:7" x14ac:dyDescent="0.2">
      <c r="A11" s="866" t="s">
        <v>460</v>
      </c>
      <c r="B11" s="867" t="s">
        <v>1878</v>
      </c>
      <c r="C11" s="868"/>
      <c r="D11" s="866" t="s">
        <v>500</v>
      </c>
      <c r="E11" s="865"/>
      <c r="F11" s="1906">
        <f>'Expenditures 15-22'!K210</f>
        <v>233377</v>
      </c>
      <c r="G11" s="869"/>
    </row>
    <row r="12" spans="1:7" x14ac:dyDescent="0.2">
      <c r="A12" s="866" t="s">
        <v>461</v>
      </c>
      <c r="B12" s="867" t="s">
        <v>1879</v>
      </c>
      <c r="C12" s="868"/>
      <c r="D12" s="866" t="s">
        <v>500</v>
      </c>
      <c r="E12" s="865"/>
      <c r="F12" s="1906">
        <f>'Expenditures 15-22'!K295</f>
        <v>159247</v>
      </c>
      <c r="G12" s="869"/>
    </row>
    <row r="13" spans="1:7" x14ac:dyDescent="0.2">
      <c r="A13" s="866" t="s">
        <v>106</v>
      </c>
      <c r="B13" s="867" t="s">
        <v>1880</v>
      </c>
      <c r="C13" s="868"/>
      <c r="D13" s="866" t="s">
        <v>500</v>
      </c>
      <c r="E13" s="865"/>
      <c r="F13" s="1906">
        <f>'Expenditures 15-22'!K342</f>
        <v>228634</v>
      </c>
      <c r="G13" s="870"/>
    </row>
    <row r="14" spans="1:7" ht="12" customHeight="1" thickBot="1" x14ac:dyDescent="0.25">
      <c r="A14" s="1767"/>
      <c r="B14" s="1768"/>
      <c r="C14" s="1769"/>
      <c r="D14" s="1770" t="s">
        <v>500</v>
      </c>
      <c r="E14" s="1771" t="s">
        <v>957</v>
      </c>
      <c r="F14" s="1772">
        <f>SUM(F8:F13)</f>
        <v>5802080</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7">
        <f>'Revenues 9-14'!F43</f>
        <v>0</v>
      </c>
      <c r="G18" s="862"/>
    </row>
    <row r="19" spans="1:7" x14ac:dyDescent="0.2">
      <c r="A19" s="866" t="s">
        <v>460</v>
      </c>
      <c r="B19" s="867" t="s">
        <v>1010</v>
      </c>
      <c r="C19" s="874">
        <f>'Revenues 9-14'!B47</f>
        <v>1421</v>
      </c>
      <c r="D19" s="875" t="str">
        <f>'Revenues 9-14'!A47</f>
        <v>Summer Sch - Transp. Fees from Pupils or Parents (In State)</v>
      </c>
      <c r="E19" s="876"/>
      <c r="F19" s="1908">
        <f>'Revenues 9-14'!F47</f>
        <v>0</v>
      </c>
      <c r="G19" s="862"/>
    </row>
    <row r="20" spans="1:7" x14ac:dyDescent="0.2">
      <c r="A20" s="866" t="s">
        <v>460</v>
      </c>
      <c r="B20" s="867" t="s">
        <v>1011</v>
      </c>
      <c r="C20" s="872">
        <f>'Revenues 9-14'!B48</f>
        <v>1422</v>
      </c>
      <c r="D20" s="873" t="str">
        <f>'Revenues 9-14'!A48</f>
        <v>Summer Sch - Transp. Fees from Other Districts (In State)</v>
      </c>
      <c r="E20" s="865"/>
      <c r="F20" s="1909">
        <f>'Revenues 9-14'!F48</f>
        <v>0</v>
      </c>
      <c r="G20" s="862"/>
    </row>
    <row r="21" spans="1:7" x14ac:dyDescent="0.2">
      <c r="A21" s="866" t="s">
        <v>460</v>
      </c>
      <c r="B21" s="867" t="s">
        <v>1012</v>
      </c>
      <c r="C21" s="874">
        <f>'Revenues 9-14'!B49</f>
        <v>1423</v>
      </c>
      <c r="D21" s="873" t="str">
        <f>'Revenues 9-14'!A49</f>
        <v>Summer Sch - Transp. Fees from Other Sources (In State)</v>
      </c>
      <c r="E21" s="865"/>
      <c r="F21" s="1910">
        <f>'Revenues 9-14'!F49</f>
        <v>0</v>
      </c>
      <c r="G21" s="862"/>
    </row>
    <row r="22" spans="1:7" x14ac:dyDescent="0.2">
      <c r="A22" s="866" t="s">
        <v>460</v>
      </c>
      <c r="B22" s="867" t="s">
        <v>1013</v>
      </c>
      <c r="C22" s="874">
        <f>'Revenues 9-14'!B50</f>
        <v>1424</v>
      </c>
      <c r="D22" s="873" t="str">
        <f>'Revenues 9-14'!A50</f>
        <v>Summer Sch - Transp. Fees from Other Sources (Out of State)</v>
      </c>
      <c r="E22" s="865"/>
      <c r="F22" s="1910">
        <f>'Revenues 9-14'!F50</f>
        <v>0</v>
      </c>
      <c r="G22" s="862"/>
    </row>
    <row r="23" spans="1:7" x14ac:dyDescent="0.2">
      <c r="A23" s="866" t="s">
        <v>460</v>
      </c>
      <c r="B23" s="867" t="s">
        <v>1014</v>
      </c>
      <c r="C23" s="872">
        <f>'Revenues 9-14'!B52</f>
        <v>1432</v>
      </c>
      <c r="D23" s="873" t="str">
        <f>'Revenues 9-14'!A52</f>
        <v>CTE - Transp Fees from Other Districts (In State)</v>
      </c>
      <c r="E23" s="865"/>
      <c r="F23" s="1910">
        <f>'Revenues 9-14'!F52</f>
        <v>0</v>
      </c>
      <c r="G23" s="862"/>
    </row>
    <row r="24" spans="1:7" x14ac:dyDescent="0.2">
      <c r="A24" s="866" t="s">
        <v>460</v>
      </c>
      <c r="B24" s="867" t="s">
        <v>1015</v>
      </c>
      <c r="C24" s="872">
        <f>'Revenues 9-14'!B56</f>
        <v>1442</v>
      </c>
      <c r="D24" s="873" t="str">
        <f>'Revenues 9-14'!A56</f>
        <v>Special Ed - Transp Fees from Other Districts (In State)</v>
      </c>
      <c r="E24" s="865"/>
      <c r="F24" s="1910">
        <f>'Revenues 9-14'!F56</f>
        <v>0</v>
      </c>
      <c r="G24" s="862"/>
    </row>
    <row r="25" spans="1:7" x14ac:dyDescent="0.2">
      <c r="A25" s="866" t="s">
        <v>460</v>
      </c>
      <c r="B25" s="867" t="s">
        <v>1016</v>
      </c>
      <c r="C25" s="872">
        <f>'Revenues 9-14'!B59</f>
        <v>1451</v>
      </c>
      <c r="D25" s="873" t="str">
        <f>'Revenues 9-14'!A59</f>
        <v>Adult - Transp Fees from Pupils or Parents (In State)</v>
      </c>
      <c r="E25" s="865"/>
      <c r="F25" s="1910">
        <f>'Revenues 9-14'!F59</f>
        <v>0</v>
      </c>
      <c r="G25" s="862"/>
    </row>
    <row r="26" spans="1:7" x14ac:dyDescent="0.2">
      <c r="A26" s="866" t="s">
        <v>460</v>
      </c>
      <c r="B26" s="867" t="s">
        <v>1017</v>
      </c>
      <c r="C26" s="872">
        <f>'Revenues 9-14'!B60</f>
        <v>1452</v>
      </c>
      <c r="D26" s="873" t="str">
        <f>'Revenues 9-14'!A60</f>
        <v>Adult - Transp Fees from Other Districts (In State)</v>
      </c>
      <c r="E26" s="865"/>
      <c r="F26" s="1910">
        <f>'Revenues 9-14'!F60</f>
        <v>0</v>
      </c>
      <c r="G26" s="862"/>
    </row>
    <row r="27" spans="1:7" x14ac:dyDescent="0.2">
      <c r="A27" s="866" t="s">
        <v>460</v>
      </c>
      <c r="B27" s="867" t="s">
        <v>1018</v>
      </c>
      <c r="C27" s="872">
        <f>'Revenues 9-14'!B61</f>
        <v>1453</v>
      </c>
      <c r="D27" s="873" t="str">
        <f>'Revenues 9-14'!A61</f>
        <v>Adult - Transp Fees from Other Sources (In State)</v>
      </c>
      <c r="E27" s="865"/>
      <c r="F27" s="1910">
        <f>'Revenues 9-14'!F61</f>
        <v>0</v>
      </c>
      <c r="G27" s="862"/>
    </row>
    <row r="28" spans="1:7" x14ac:dyDescent="0.2">
      <c r="A28" s="866" t="s">
        <v>460</v>
      </c>
      <c r="B28" s="867" t="s">
        <v>1019</v>
      </c>
      <c r="C28" s="872">
        <f>'Revenues 9-14'!B62</f>
        <v>1454</v>
      </c>
      <c r="D28" s="873" t="str">
        <f>'Revenues 9-14'!A62</f>
        <v>Adult - Transp Fees from Other Sources (Out of State)</v>
      </c>
      <c r="E28" s="865"/>
      <c r="F28" s="1910">
        <f>'Revenues 9-14'!F62</f>
        <v>0</v>
      </c>
      <c r="G28" s="862"/>
    </row>
    <row r="29" spans="1:7" x14ac:dyDescent="0.2">
      <c r="A29" s="866" t="s">
        <v>1096</v>
      </c>
      <c r="B29" s="867" t="s">
        <v>809</v>
      </c>
      <c r="C29" s="877">
        <f>'Revenues 9-14'!B149</f>
        <v>3410</v>
      </c>
      <c r="D29" s="878" t="str">
        <f>'Revenues 9-14'!A149</f>
        <v>Adult Ed (from ICCB)</v>
      </c>
      <c r="E29" s="865"/>
      <c r="F29" s="1910">
        <f>SUM('Revenues 9-14'!D149,'Revenues 9-14'!F149)</f>
        <v>0</v>
      </c>
      <c r="G29" s="862"/>
    </row>
    <row r="30" spans="1:7" x14ac:dyDescent="0.2">
      <c r="A30" s="866" t="s">
        <v>1096</v>
      </c>
      <c r="B30" s="867" t="s">
        <v>1998</v>
      </c>
      <c r="C30" s="877">
        <f>'Revenues 9-14'!B150</f>
        <v>3499</v>
      </c>
      <c r="D30" s="878" t="str">
        <f>'Revenues 9-14'!A150</f>
        <v>Adult Ed - Other (Describe &amp; Itemize)</v>
      </c>
      <c r="E30" s="865"/>
      <c r="F30" s="1911">
        <f>('Revenues 9-14'!D150+'Revenues 9-14'!F150)</f>
        <v>0</v>
      </c>
      <c r="G30" s="862"/>
    </row>
    <row r="31" spans="1:7" x14ac:dyDescent="0.2">
      <c r="A31" s="866" t="s">
        <v>1096</v>
      </c>
      <c r="B31" s="867" t="s">
        <v>1999</v>
      </c>
      <c r="C31" s="872">
        <f>'Revenues 9-14'!B211</f>
        <v>4600</v>
      </c>
      <c r="D31" s="880" t="str">
        <f>'Revenues 9-14'!A211</f>
        <v>Fed - Spec Education - Preschool Flow-Through</v>
      </c>
      <c r="E31" s="881"/>
      <c r="F31" s="1910">
        <f>SUM('Revenues 9-14'!D211,'Revenues 9-14'!F211)</f>
        <v>0</v>
      </c>
      <c r="G31" s="862"/>
    </row>
    <row r="32" spans="1:7" x14ac:dyDescent="0.2">
      <c r="A32" s="866" t="s">
        <v>1096</v>
      </c>
      <c r="B32" s="867" t="s">
        <v>2000</v>
      </c>
      <c r="C32" s="872">
        <f>'Revenues 9-14'!B212</f>
        <v>4605</v>
      </c>
      <c r="D32" s="882" t="str">
        <f>'Revenues 9-14'!A212</f>
        <v>Fed - Spec Education - Preschool Discretionary</v>
      </c>
      <c r="E32" s="881"/>
      <c r="F32" s="1910">
        <f>SUM('Revenues 9-14'!D212,'Revenues 9-14'!F212)</f>
        <v>0</v>
      </c>
      <c r="G32" s="862"/>
    </row>
    <row r="33" spans="1:7" x14ac:dyDescent="0.2">
      <c r="A33" s="866" t="s">
        <v>459</v>
      </c>
      <c r="B33" s="867" t="s">
        <v>2001</v>
      </c>
      <c r="C33" s="872">
        <f>'Revenues 9-14'!B222</f>
        <v>4810</v>
      </c>
      <c r="D33" s="880" t="str">
        <f>'Revenues 9-14'!A222</f>
        <v>Federal - Adult Education</v>
      </c>
      <c r="E33" s="865"/>
      <c r="F33" s="1910">
        <f>'Revenues 9-14'!D222</f>
        <v>0</v>
      </c>
      <c r="G33" s="862"/>
    </row>
    <row r="34" spans="1:7" x14ac:dyDescent="0.2">
      <c r="A34" s="866" t="s">
        <v>458</v>
      </c>
      <c r="B34" s="866" t="s">
        <v>1468</v>
      </c>
      <c r="C34" s="883" t="str">
        <f>'Expenditures 15-22'!B7</f>
        <v>1125</v>
      </c>
      <c r="D34" s="884" t="str">
        <f>'Expenditures 15-22'!A7</f>
        <v>Pre-K Programs</v>
      </c>
      <c r="E34" s="865"/>
      <c r="F34" s="1910">
        <f>'Expenditures 15-22'!K7-SUM('Expenditures 15-22'!G7,'Expenditures 15-22'!I7)</f>
        <v>104134</v>
      </c>
      <c r="G34" s="862"/>
    </row>
    <row r="35" spans="1:7" x14ac:dyDescent="0.2">
      <c r="A35" s="866" t="s">
        <v>458</v>
      </c>
      <c r="B35" s="866" t="s">
        <v>1469</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10">
        <f>'Expenditures 15-22'!K15-SUM('Expenditures 15-22'!G15,'Expenditures 15-22'!I15)</f>
        <v>0</v>
      </c>
      <c r="G38" s="862"/>
    </row>
    <row r="39" spans="1:7" x14ac:dyDescent="0.2">
      <c r="A39" s="866" t="s">
        <v>458</v>
      </c>
      <c r="B39" s="866" t="s">
        <v>117</v>
      </c>
      <c r="C39" s="883" t="str">
        <f>'Expenditures 15-22'!B20</f>
        <v>1910</v>
      </c>
      <c r="D39" s="885" t="str">
        <f>'Expenditures 15-22'!A20</f>
        <v>Pre-K Programs - Private Tuition</v>
      </c>
      <c r="E39" s="865"/>
      <c r="F39" s="1910">
        <f>'Expenditures 15-22'!K20</f>
        <v>0</v>
      </c>
      <c r="G39" s="862"/>
    </row>
    <row r="40" spans="1:7" x14ac:dyDescent="0.2">
      <c r="A40" s="866" t="s">
        <v>458</v>
      </c>
      <c r="B40" s="866" t="s">
        <v>118</v>
      </c>
      <c r="C40" s="883" t="str">
        <f>'Expenditures 15-22'!B21</f>
        <v>1911</v>
      </c>
      <c r="D40" s="885" t="str">
        <f>'Expenditures 15-22'!A21</f>
        <v>Regular K-12 Programs - Private Tuition</v>
      </c>
      <c r="E40" s="865"/>
      <c r="F40" s="1910">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458</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458</v>
      </c>
      <c r="B46" s="866" t="s">
        <v>124</v>
      </c>
      <c r="C46" s="883" t="str">
        <f>'Expenditures 15-22'!B27</f>
        <v>1917</v>
      </c>
      <c r="D46" s="885" t="str">
        <f>'Expenditures 15-22'!A27</f>
        <v>CTE Programs - Private Tuition</v>
      </c>
      <c r="E46" s="865"/>
      <c r="F46" s="1910">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458</v>
      </c>
      <c r="B49" s="866" t="s">
        <v>127</v>
      </c>
      <c r="C49" s="883" t="str">
        <f>'Expenditures 15-22'!B30</f>
        <v>1920</v>
      </c>
      <c r="D49" s="885" t="str">
        <f>'Expenditures 15-22'!A30</f>
        <v>Gifted Programs - Private Tuition</v>
      </c>
      <c r="E49" s="865"/>
      <c r="F49" s="1910">
        <f>'Expenditures 15-22'!K30</f>
        <v>0</v>
      </c>
      <c r="G49" s="862"/>
    </row>
    <row r="50" spans="1:7" x14ac:dyDescent="0.2">
      <c r="A50" s="866" t="s">
        <v>458</v>
      </c>
      <c r="B50" s="866" t="s">
        <v>128</v>
      </c>
      <c r="C50" s="883" t="str">
        <f>'Expenditures 15-22'!B31</f>
        <v>1921</v>
      </c>
      <c r="D50" s="885" t="str">
        <f>'Expenditures 15-22'!A31</f>
        <v>Bilingual Programs - Private Tuition</v>
      </c>
      <c r="E50" s="865"/>
      <c r="F50" s="1910">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10">
        <f>'Expenditures 15-22'!K32</f>
        <v>0</v>
      </c>
      <c r="G51" s="862"/>
    </row>
    <row r="52" spans="1:7" x14ac:dyDescent="0.2">
      <c r="A52" s="866" t="s">
        <v>458</v>
      </c>
      <c r="B52" s="866" t="s">
        <v>1473</v>
      </c>
      <c r="C52" s="886" t="str">
        <f>'Expenditures 15-22'!B75</f>
        <v>3000</v>
      </c>
      <c r="D52" s="885" t="s">
        <v>448</v>
      </c>
      <c r="E52" s="865"/>
      <c r="F52" s="1910">
        <f>'Expenditures 15-22'!K75-SUM('Expenditures 15-22'!G75,'Expenditures 15-22'!I75)</f>
        <v>0</v>
      </c>
      <c r="G52" s="862"/>
    </row>
    <row r="53" spans="1:7" x14ac:dyDescent="0.2">
      <c r="A53" s="866" t="s">
        <v>458</v>
      </c>
      <c r="B53" s="866" t="s">
        <v>1474</v>
      </c>
      <c r="C53" s="886">
        <f>'Expenditures 15-22'!B102</f>
        <v>4000</v>
      </c>
      <c r="D53" s="885" t="str">
        <f>'Expenditures 15-22'!A102</f>
        <v>Total Payments to Other Govt Units</v>
      </c>
      <c r="E53" s="865"/>
      <c r="F53" s="1910">
        <f>'Expenditures 15-22'!K102</f>
        <v>293258</v>
      </c>
      <c r="G53" s="862"/>
    </row>
    <row r="54" spans="1:7" x14ac:dyDescent="0.2">
      <c r="A54" s="866" t="s">
        <v>458</v>
      </c>
      <c r="B54" s="866" t="s">
        <v>1475</v>
      </c>
      <c r="C54" s="886" t="s">
        <v>981</v>
      </c>
      <c r="D54" s="882" t="s">
        <v>1094</v>
      </c>
      <c r="E54" s="865"/>
      <c r="F54" s="1910">
        <f>'Expenditures 15-22'!G114</f>
        <v>50223</v>
      </c>
      <c r="G54" s="862"/>
    </row>
    <row r="55" spans="1:7" x14ac:dyDescent="0.2">
      <c r="A55" s="866" t="s">
        <v>458</v>
      </c>
      <c r="B55" s="866" t="s">
        <v>1476</v>
      </c>
      <c r="C55" s="886" t="s">
        <v>981</v>
      </c>
      <c r="D55" s="882" t="s">
        <v>290</v>
      </c>
      <c r="E55" s="865"/>
      <c r="F55" s="1910">
        <f>'Expenditures 15-22'!I114</f>
        <v>0</v>
      </c>
      <c r="G55" s="862"/>
    </row>
    <row r="56" spans="1:7" x14ac:dyDescent="0.2">
      <c r="A56" s="866" t="s">
        <v>459</v>
      </c>
      <c r="B56" s="866" t="s">
        <v>1477</v>
      </c>
      <c r="C56" s="883" t="str">
        <f>'Expenditures 15-22'!B130</f>
        <v>3000</v>
      </c>
      <c r="D56" s="889" t="s">
        <v>448</v>
      </c>
      <c r="E56" s="865"/>
      <c r="F56" s="1910">
        <f>'Expenditures 15-22'!K130-SUM('Expenditures 15-22'!G130+'Expenditures 15-22'!I130)</f>
        <v>0</v>
      </c>
      <c r="G56" s="862"/>
    </row>
    <row r="57" spans="1:7" x14ac:dyDescent="0.2">
      <c r="A57" s="866" t="s">
        <v>459</v>
      </c>
      <c r="B57" s="866" t="s">
        <v>1881</v>
      </c>
      <c r="C57" s="886">
        <f>'Expenditures 15-22'!B139</f>
        <v>4000</v>
      </c>
      <c r="D57" s="884" t="str">
        <f>'Expenditures 15-22'!A139</f>
        <v>Total Payments to Other Govt Units</v>
      </c>
      <c r="E57" s="865"/>
      <c r="F57" s="1910">
        <f>'Expenditures 15-22'!K139</f>
        <v>0</v>
      </c>
      <c r="G57" s="862"/>
    </row>
    <row r="58" spans="1:7" x14ac:dyDescent="0.2">
      <c r="A58" s="866" t="s">
        <v>459</v>
      </c>
      <c r="B58" s="866" t="s">
        <v>1882</v>
      </c>
      <c r="C58" s="883" t="s">
        <v>981</v>
      </c>
      <c r="D58" s="882" t="s">
        <v>1094</v>
      </c>
      <c r="E58" s="865"/>
      <c r="F58" s="1912">
        <f>'Expenditures 15-22'!G151</f>
        <v>12865</v>
      </c>
      <c r="G58" s="862"/>
    </row>
    <row r="59" spans="1:7" x14ac:dyDescent="0.2">
      <c r="A59" s="890" t="s">
        <v>459</v>
      </c>
      <c r="B59" s="853" t="s">
        <v>1883</v>
      </c>
      <c r="C59" s="891" t="s">
        <v>981</v>
      </c>
      <c r="D59" s="853" t="s">
        <v>290</v>
      </c>
      <c r="F59" s="1913">
        <f>'Expenditures 15-22'!I151</f>
        <v>0</v>
      </c>
      <c r="G59" s="862"/>
    </row>
    <row r="60" spans="1:7" x14ac:dyDescent="0.2">
      <c r="A60" s="890" t="s">
        <v>498</v>
      </c>
      <c r="B60" s="853" t="s">
        <v>1884</v>
      </c>
      <c r="C60" s="891">
        <v>4000</v>
      </c>
      <c r="D60" s="853" t="s">
        <v>311</v>
      </c>
      <c r="F60" s="1911">
        <f>'Expenditures 15-22'!K160</f>
        <v>0</v>
      </c>
      <c r="G60" s="862"/>
    </row>
    <row r="61" spans="1:7" x14ac:dyDescent="0.2">
      <c r="A61" s="892" t="s">
        <v>498</v>
      </c>
      <c r="B61" s="892" t="s">
        <v>1885</v>
      </c>
      <c r="C61" s="893" t="str">
        <f>'Expenditures 15-22'!B170</f>
        <v>5300</v>
      </c>
      <c r="D61" s="894" t="s">
        <v>310</v>
      </c>
      <c r="E61" s="876"/>
      <c r="F61" s="1910">
        <f>'Expenditures 15-22'!K170</f>
        <v>299850</v>
      </c>
      <c r="G61" s="862"/>
    </row>
    <row r="62" spans="1:7" x14ac:dyDescent="0.2">
      <c r="A62" s="866" t="s">
        <v>460</v>
      </c>
      <c r="B62" s="866" t="s">
        <v>1886</v>
      </c>
      <c r="C62" s="883">
        <f>'Expenditures 15-22'!B185</f>
        <v>3000</v>
      </c>
      <c r="D62" s="873" t="s">
        <v>448</v>
      </c>
      <c r="E62" s="865"/>
      <c r="F62" s="1910">
        <f>'Expenditures 15-22'!K185-SUM('Expenditures 15-22'!G185,'Expenditures 15-22'!I185)</f>
        <v>0</v>
      </c>
      <c r="G62" s="862"/>
    </row>
    <row r="63" spans="1:7" x14ac:dyDescent="0.2">
      <c r="A63" s="866" t="s">
        <v>460</v>
      </c>
      <c r="B63" s="866" t="s">
        <v>1887</v>
      </c>
      <c r="C63" s="883" t="str">
        <f>'Expenditures 15-22'!B196</f>
        <v>4000</v>
      </c>
      <c r="D63" s="884" t="str">
        <f>'Expenditures 15-22'!A196</f>
        <v>Total Payments to Other Govt Units</v>
      </c>
      <c r="E63" s="865"/>
      <c r="F63" s="1910">
        <f>'Expenditures 15-22'!K196</f>
        <v>0</v>
      </c>
      <c r="G63" s="862"/>
    </row>
    <row r="64" spans="1:7" x14ac:dyDescent="0.2">
      <c r="A64" s="892" t="s">
        <v>460</v>
      </c>
      <c r="B64" s="892" t="s">
        <v>1888</v>
      </c>
      <c r="C64" s="893" t="str">
        <f>'Expenditures 15-22'!B206</f>
        <v>5300</v>
      </c>
      <c r="D64" s="889" t="s">
        <v>310</v>
      </c>
      <c r="E64" s="865"/>
      <c r="F64" s="1910">
        <f>'Expenditures 15-22'!K206</f>
        <v>34830</v>
      </c>
      <c r="G64" s="862"/>
    </row>
    <row r="65" spans="1:8" x14ac:dyDescent="0.2">
      <c r="A65" s="866" t="s">
        <v>460</v>
      </c>
      <c r="B65" s="866" t="s">
        <v>1889</v>
      </c>
      <c r="C65" s="883" t="s">
        <v>981</v>
      </c>
      <c r="D65" s="882" t="s">
        <v>1094</v>
      </c>
      <c r="E65" s="865"/>
      <c r="F65" s="1910">
        <f>'Expenditures 15-22'!G210</f>
        <v>0</v>
      </c>
      <c r="G65" s="862"/>
    </row>
    <row r="66" spans="1:8" x14ac:dyDescent="0.2">
      <c r="A66" s="866" t="s">
        <v>460</v>
      </c>
      <c r="B66" s="866" t="s">
        <v>1890</v>
      </c>
      <c r="C66" s="883" t="s">
        <v>981</v>
      </c>
      <c r="D66" s="882" t="s">
        <v>290</v>
      </c>
      <c r="E66" s="865"/>
      <c r="F66" s="1910">
        <f>'Expenditures 15-22'!I210</f>
        <v>0</v>
      </c>
      <c r="G66" s="862"/>
    </row>
    <row r="67" spans="1:8" x14ac:dyDescent="0.2">
      <c r="A67" s="866" t="s">
        <v>461</v>
      </c>
      <c r="B67" s="866" t="s">
        <v>1891</v>
      </c>
      <c r="C67" s="883" t="str">
        <f>'Expenditures 15-22'!B216</f>
        <v>1125</v>
      </c>
      <c r="D67" s="889" t="str">
        <f>'Expenditures 15-22'!A216</f>
        <v>Pre-K Programs</v>
      </c>
      <c r="E67" s="865"/>
      <c r="F67" s="1910">
        <f>'Expenditures 15-22'!K216</f>
        <v>5593</v>
      </c>
      <c r="G67" s="862"/>
    </row>
    <row r="68" spans="1:8" x14ac:dyDescent="0.2">
      <c r="A68" s="866" t="s">
        <v>461</v>
      </c>
      <c r="B68" s="866" t="s">
        <v>1478</v>
      </c>
      <c r="C68" s="883" t="str">
        <f>'Expenditures 15-22'!B218</f>
        <v>1225</v>
      </c>
      <c r="D68" s="889" t="str">
        <f>'Expenditures 15-22'!A218</f>
        <v>Special Education Programs - Pre-K</v>
      </c>
      <c r="E68" s="865"/>
      <c r="F68" s="1910">
        <f>'Expenditures 15-22'!K218</f>
        <v>0</v>
      </c>
      <c r="G68" s="862"/>
    </row>
    <row r="69" spans="1:8" x14ac:dyDescent="0.2">
      <c r="A69" s="866" t="s">
        <v>461</v>
      </c>
      <c r="B69" s="866" t="s">
        <v>1892</v>
      </c>
      <c r="C69" s="883" t="str">
        <f>'Expenditures 15-22'!B220</f>
        <v>1275</v>
      </c>
      <c r="D69" s="889" t="str">
        <f>'Expenditures 15-22'!A220</f>
        <v>Remedial and Supplemental Programs - Pre-K</v>
      </c>
      <c r="E69" s="865"/>
      <c r="F69" s="1910">
        <f>'Expenditures 15-22'!K220</f>
        <v>0</v>
      </c>
      <c r="G69" s="862"/>
    </row>
    <row r="70" spans="1:8" x14ac:dyDescent="0.2">
      <c r="A70" s="866" t="s">
        <v>461</v>
      </c>
      <c r="B70" s="866" t="s">
        <v>1893</v>
      </c>
      <c r="C70" s="883">
        <f>'Expenditures 15-22'!B221</f>
        <v>1300</v>
      </c>
      <c r="D70" s="884" t="str">
        <f>'Expenditures 15-22'!A221</f>
        <v>Adult/Continuing Education Programs</v>
      </c>
      <c r="E70" s="865"/>
      <c r="F70" s="1910">
        <f>'Expenditures 15-22'!K221</f>
        <v>0</v>
      </c>
      <c r="G70" s="862"/>
    </row>
    <row r="71" spans="1:8" x14ac:dyDescent="0.2">
      <c r="A71" s="866" t="s">
        <v>461</v>
      </c>
      <c r="B71" s="866" t="s">
        <v>1894</v>
      </c>
      <c r="C71" s="883">
        <f>'Expenditures 15-22'!B224</f>
        <v>1600</v>
      </c>
      <c r="D71" s="884" t="str">
        <f>'Expenditures 15-22'!A224</f>
        <v>Summer School Programs</v>
      </c>
      <c r="E71" s="865"/>
      <c r="F71" s="1910">
        <f>'Expenditures 15-22'!K224</f>
        <v>0</v>
      </c>
      <c r="G71" s="862"/>
    </row>
    <row r="72" spans="1:8" x14ac:dyDescent="0.2">
      <c r="A72" s="866" t="s">
        <v>461</v>
      </c>
      <c r="B72" s="866" t="s">
        <v>1895</v>
      </c>
      <c r="C72" s="883">
        <f>'Expenditures 15-22'!B280</f>
        <v>3000</v>
      </c>
      <c r="D72" s="873" t="s">
        <v>448</v>
      </c>
      <c r="E72" s="865"/>
      <c r="F72" s="1910">
        <f>'Expenditures 15-22'!K280</f>
        <v>0</v>
      </c>
      <c r="G72" s="862"/>
    </row>
    <row r="73" spans="1:8" x14ac:dyDescent="0.2">
      <c r="A73" s="866" t="s">
        <v>461</v>
      </c>
      <c r="B73" s="866" t="s">
        <v>1896</v>
      </c>
      <c r="C73" s="883" t="str">
        <f>'Expenditures 15-22'!B285</f>
        <v>4000</v>
      </c>
      <c r="D73" s="884" t="str">
        <f>'Expenditures 15-22'!A285</f>
        <v>Total Payments to Other Govt Units</v>
      </c>
      <c r="E73" s="865"/>
      <c r="F73" s="1910">
        <f>'Expenditures 15-22'!K285</f>
        <v>8344</v>
      </c>
      <c r="G73" s="862"/>
    </row>
    <row r="74" spans="1:8" x14ac:dyDescent="0.2">
      <c r="A74" s="866" t="s">
        <v>435</v>
      </c>
      <c r="B74" s="866" t="s">
        <v>1897</v>
      </c>
      <c r="C74" s="883" t="s">
        <v>859</v>
      </c>
      <c r="D74" s="884" t="s">
        <v>1486</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1898</v>
      </c>
      <c r="E76" s="1771" t="s">
        <v>957</v>
      </c>
      <c r="F76" s="1775">
        <f>SUM(F18:F74)</f>
        <v>809097</v>
      </c>
      <c r="G76" s="862"/>
    </row>
    <row r="77" spans="1:8" s="890" customFormat="1" ht="12" customHeight="1" thickTop="1" thickBot="1" x14ac:dyDescent="0.25">
      <c r="A77" s="1776"/>
      <c r="B77" s="1773"/>
      <c r="C77" s="1769"/>
      <c r="D77" s="1774" t="s">
        <v>1899</v>
      </c>
      <c r="E77" s="1771"/>
      <c r="F77" s="1777">
        <f>(F14-F76)</f>
        <v>4992983</v>
      </c>
      <c r="G77" s="866"/>
    </row>
    <row r="78" spans="1:8" s="890" customFormat="1" ht="12" customHeight="1" thickTop="1" x14ac:dyDescent="0.2">
      <c r="A78" s="1778"/>
      <c r="B78" s="1773"/>
      <c r="C78" s="1769"/>
      <c r="D78" s="1774" t="s">
        <v>2061</v>
      </c>
      <c r="E78" s="1771"/>
      <c r="F78" s="895">
        <v>503</v>
      </c>
      <c r="G78" s="896"/>
      <c r="H78" s="866"/>
    </row>
    <row r="79" spans="1:8" s="890" customFormat="1" ht="12" customHeight="1" thickBot="1" x14ac:dyDescent="0.25">
      <c r="A79" s="1779"/>
      <c r="B79" s="1773"/>
      <c r="C79" s="1769"/>
      <c r="D79" s="1774" t="s">
        <v>1900</v>
      </c>
      <c r="E79" s="1771" t="s">
        <v>957</v>
      </c>
      <c r="F79" s="1780">
        <f>IF(F78&gt;0,F77/F78," Complete Line 78")</f>
        <v>9926.4075546719687</v>
      </c>
      <c r="G79" s="866"/>
    </row>
    <row r="80" spans="1:8" s="890" customFormat="1" ht="8.25" customHeight="1" thickTop="1" x14ac:dyDescent="0.2">
      <c r="A80" s="897"/>
      <c r="B80" s="866"/>
      <c r="C80" s="868"/>
      <c r="D80" s="898"/>
      <c r="E80" s="865"/>
      <c r="F80" s="899"/>
      <c r="G80" s="866"/>
    </row>
    <row r="81" spans="1:7" s="890" customFormat="1" ht="12" thickBot="1" x14ac:dyDescent="0.25">
      <c r="A81" s="2272" t="s">
        <v>1104</v>
      </c>
      <c r="B81" s="2273"/>
      <c r="C81" s="2273"/>
      <c r="D81" s="2273"/>
      <c r="E81" s="2273"/>
      <c r="F81" s="2274"/>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904">
        <f>'Revenues 9-14'!F42</f>
        <v>0</v>
      </c>
      <c r="G84" s="909"/>
    </row>
    <row r="85" spans="1:7" x14ac:dyDescent="0.2">
      <c r="A85" s="905" t="s">
        <v>460</v>
      </c>
      <c r="B85" s="905" t="s">
        <v>183</v>
      </c>
      <c r="C85" s="910">
        <f>'Revenues 9-14'!B44</f>
        <v>1413</v>
      </c>
      <c r="D85" s="908" t="str">
        <f>'Revenues 9-14'!A44</f>
        <v>Regular - Transp Fees from Other Sources (In State)</v>
      </c>
      <c r="E85" s="903"/>
      <c r="F85" s="1786">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460</v>
      </c>
      <c r="B87" s="905" t="s">
        <v>167</v>
      </c>
      <c r="C87" s="907">
        <v>1416</v>
      </c>
      <c r="D87" s="908" t="str">
        <f>'Revenues 9-14'!A46</f>
        <v>Regular Transp Fees from Other Sources (Out of State)</v>
      </c>
      <c r="E87" s="903"/>
      <c r="F87" s="1786">
        <f>'Revenues 9-14'!F46</f>
        <v>0</v>
      </c>
      <c r="G87" s="911"/>
    </row>
    <row r="88" spans="1:7" x14ac:dyDescent="0.2">
      <c r="A88" s="905" t="s">
        <v>460</v>
      </c>
      <c r="B88" s="905" t="s">
        <v>168</v>
      </c>
      <c r="C88" s="907">
        <f>'Revenues 9-14'!B51</f>
        <v>1431</v>
      </c>
      <c r="D88" s="908" t="str">
        <f>'Revenues 9-14'!A51</f>
        <v>CTE - Transp Fees from Pupils or Parents (In State)</v>
      </c>
      <c r="E88" s="903"/>
      <c r="F88" s="1786">
        <f>'Revenues 9-14'!F51</f>
        <v>0</v>
      </c>
      <c r="G88" s="911"/>
    </row>
    <row r="89" spans="1:7" x14ac:dyDescent="0.2">
      <c r="A89" s="905" t="s">
        <v>460</v>
      </c>
      <c r="B89" s="905" t="s">
        <v>169</v>
      </c>
      <c r="C89" s="907">
        <f>'Revenues 9-14'!B53</f>
        <v>1433</v>
      </c>
      <c r="D89" s="908" t="str">
        <f>'Revenues 9-14'!A53</f>
        <v>CTE - Transp Fees from Other Sources (In State)</v>
      </c>
      <c r="E89" s="903"/>
      <c r="F89" s="1786">
        <f>'Revenues 9-14'!F53</f>
        <v>0</v>
      </c>
      <c r="G89" s="911"/>
    </row>
    <row r="90" spans="1:7" x14ac:dyDescent="0.2">
      <c r="A90" s="905" t="s">
        <v>460</v>
      </c>
      <c r="B90" s="905" t="s">
        <v>170</v>
      </c>
      <c r="C90" s="907">
        <f>'Revenues 9-14'!B54</f>
        <v>1434</v>
      </c>
      <c r="D90" s="908" t="str">
        <f>'Revenues 9-14'!A54</f>
        <v>CTE - Transp Fees from Other Sources (Out of State)</v>
      </c>
      <c r="E90" s="903"/>
      <c r="F90" s="1786">
        <f>'Revenues 9-14'!F54</f>
        <v>0</v>
      </c>
      <c r="G90" s="911"/>
    </row>
    <row r="91" spans="1:7" x14ac:dyDescent="0.2">
      <c r="A91" s="905" t="s">
        <v>460</v>
      </c>
      <c r="B91" s="905" t="s">
        <v>171</v>
      </c>
      <c r="C91" s="912">
        <f>'Revenues 9-14'!B55</f>
        <v>1441</v>
      </c>
      <c r="D91" s="908" t="str">
        <f>'Revenues 9-14'!A55</f>
        <v>Special Ed - Transp Fees from Pupils or Parents (In State)</v>
      </c>
      <c r="E91" s="903"/>
      <c r="F91" s="1786">
        <f>'Revenues 9-14'!F55</f>
        <v>0</v>
      </c>
      <c r="G91" s="911"/>
    </row>
    <row r="92" spans="1:7" x14ac:dyDescent="0.2">
      <c r="A92" s="905" t="s">
        <v>460</v>
      </c>
      <c r="B92" s="905" t="s">
        <v>172</v>
      </c>
      <c r="C92" s="907">
        <f>'Revenues 9-14'!B57</f>
        <v>1443</v>
      </c>
      <c r="D92" s="908" t="str">
        <f>'Revenues 9-14'!A57</f>
        <v>Special Ed - Transp Fees from Other Sources (In State)</v>
      </c>
      <c r="E92" s="903"/>
      <c r="F92" s="1786">
        <f>'Revenues 9-14'!F57</f>
        <v>0</v>
      </c>
      <c r="G92" s="913"/>
    </row>
    <row r="93" spans="1:7" x14ac:dyDescent="0.2">
      <c r="A93" s="905" t="s">
        <v>460</v>
      </c>
      <c r="B93" s="905" t="s">
        <v>173</v>
      </c>
      <c r="C93" s="907">
        <f>'Revenues 9-14'!B58</f>
        <v>1444</v>
      </c>
      <c r="D93" s="908" t="str">
        <f>'Revenues 9-14'!A58</f>
        <v>Special Ed - Transp Fees from Other Sources (Out of State)</v>
      </c>
      <c r="E93" s="903"/>
      <c r="F93" s="1786">
        <f>'Revenues 9-14'!F58</f>
        <v>0</v>
      </c>
      <c r="G93" s="913"/>
    </row>
    <row r="94" spans="1:7" x14ac:dyDescent="0.2">
      <c r="A94" s="905" t="s">
        <v>458</v>
      </c>
      <c r="B94" s="905" t="s">
        <v>174</v>
      </c>
      <c r="C94" s="907">
        <v>1600</v>
      </c>
      <c r="D94" s="914" t="str">
        <f>'Revenues 9-14'!A75</f>
        <v>Total Food Service</v>
      </c>
      <c r="E94" s="903"/>
      <c r="F94" s="1786">
        <f>'Revenues 9-14'!C75</f>
        <v>61702</v>
      </c>
      <c r="G94" s="909"/>
    </row>
    <row r="95" spans="1:7" x14ac:dyDescent="0.2">
      <c r="A95" s="905" t="s">
        <v>140</v>
      </c>
      <c r="B95" s="905" t="s">
        <v>175</v>
      </c>
      <c r="C95" s="907">
        <v>1700</v>
      </c>
      <c r="D95" s="915" t="str">
        <f>'Revenues 9-14'!A82</f>
        <v>Total District/School Activity Income</v>
      </c>
      <c r="E95" s="903"/>
      <c r="F95" s="1786">
        <f>SUM('Revenues 9-14'!C82,'Revenues 9-14'!D82)</f>
        <v>20939</v>
      </c>
      <c r="G95" s="909"/>
    </row>
    <row r="96" spans="1:7" x14ac:dyDescent="0.2">
      <c r="A96" s="905" t="s">
        <v>458</v>
      </c>
      <c r="B96" s="905" t="s">
        <v>176</v>
      </c>
      <c r="C96" s="907">
        <f>'Revenues 9-14'!B84</f>
        <v>1811</v>
      </c>
      <c r="D96" s="908" t="str">
        <f>'Revenues 9-14'!A84</f>
        <v>Rentals - Regular Textbooks</v>
      </c>
      <c r="E96" s="903"/>
      <c r="F96" s="1786">
        <f>'Revenues 9-14'!C84</f>
        <v>24243</v>
      </c>
      <c r="G96" s="909"/>
    </row>
    <row r="97" spans="1:7" x14ac:dyDescent="0.2">
      <c r="A97" s="905" t="s">
        <v>458</v>
      </c>
      <c r="B97" s="905" t="s">
        <v>177</v>
      </c>
      <c r="C97" s="907">
        <f>'Revenues 9-14'!B87</f>
        <v>1819</v>
      </c>
      <c r="D97" s="908" t="str">
        <f>'Revenues 9-14'!A87</f>
        <v>Rentals - Other (Describe &amp; Itemize)</v>
      </c>
      <c r="E97" s="903"/>
      <c r="F97" s="1786">
        <f>'Revenues 9-14'!C87</f>
        <v>7015</v>
      </c>
      <c r="G97" s="909"/>
    </row>
    <row r="98" spans="1:7" x14ac:dyDescent="0.2">
      <c r="A98" s="905" t="s">
        <v>458</v>
      </c>
      <c r="B98" s="905" t="s">
        <v>178</v>
      </c>
      <c r="C98" s="907">
        <f>'Revenues 9-14'!B88</f>
        <v>1821</v>
      </c>
      <c r="D98" s="908" t="str">
        <f>'Revenues 9-14'!A88</f>
        <v>Sales - Regular Textbooks</v>
      </c>
      <c r="E98" s="903"/>
      <c r="F98" s="1786">
        <f>'Revenues 9-14'!C88</f>
        <v>0</v>
      </c>
      <c r="G98" s="909"/>
    </row>
    <row r="99" spans="1:7" x14ac:dyDescent="0.2">
      <c r="A99" s="905" t="s">
        <v>458</v>
      </c>
      <c r="B99" s="905" t="s">
        <v>179</v>
      </c>
      <c r="C99" s="907">
        <f>'Revenues 9-14'!B91</f>
        <v>1829</v>
      </c>
      <c r="D99" s="908" t="str">
        <f>'Revenues 9-14'!A91</f>
        <v>Sales - Other (Describe &amp; Itemize)</v>
      </c>
      <c r="E99" s="903"/>
      <c r="F99" s="1786">
        <f>'Revenues 9-14'!C91</f>
        <v>0</v>
      </c>
      <c r="G99" s="909"/>
    </row>
    <row r="100" spans="1:7" x14ac:dyDescent="0.2">
      <c r="A100" s="905" t="s">
        <v>458</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502</v>
      </c>
      <c r="B102" s="905" t="s">
        <v>182</v>
      </c>
      <c r="C102" s="907">
        <f>'Revenues 9-14'!B98</f>
        <v>1940</v>
      </c>
      <c r="D102" s="908" t="str">
        <f>'Revenues 9-14'!A98</f>
        <v>Services Provided Other Districts</v>
      </c>
      <c r="E102" s="903"/>
      <c r="F102" s="1786">
        <f>SUM('Revenues 9-14'!C98,'Revenues 9-14'!D98,'Revenues 9-14'!F98)</f>
        <v>24880</v>
      </c>
      <c r="G102" s="909"/>
    </row>
    <row r="103" spans="1:7" x14ac:dyDescent="0.2">
      <c r="A103" s="905" t="s">
        <v>1008</v>
      </c>
      <c r="B103" s="905" t="s">
        <v>800</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86">
        <f>('Revenues 9-14'!C106)</f>
        <v>0</v>
      </c>
      <c r="G104" s="909"/>
    </row>
    <row r="105" spans="1:7" x14ac:dyDescent="0.2">
      <c r="A105" s="905" t="s">
        <v>502</v>
      </c>
      <c r="B105" s="905" t="s">
        <v>2002</v>
      </c>
      <c r="C105" s="910">
        <v>3100</v>
      </c>
      <c r="D105" s="916" t="str">
        <f>'Revenues 9-14'!A132</f>
        <v>Total Special Education</v>
      </c>
      <c r="E105" s="903"/>
      <c r="F105" s="1786">
        <f>SUM('Revenues 9-14'!C132:D132,'Revenues 9-14'!F132)</f>
        <v>6335</v>
      </c>
      <c r="G105" s="909"/>
    </row>
    <row r="106" spans="1:7" x14ac:dyDescent="0.2">
      <c r="A106" s="905" t="s">
        <v>672</v>
      </c>
      <c r="B106" s="905" t="s">
        <v>2003</v>
      </c>
      <c r="C106" s="917">
        <v>3200</v>
      </c>
      <c r="D106" s="908" t="str">
        <f>'Revenues 9-14'!A141</f>
        <v>Total Career and Technical Education</v>
      </c>
      <c r="E106" s="903"/>
      <c r="F106" s="1786">
        <f>SUM('Revenues 9-14'!C141,'Revenues 9-14'!D141,'Revenues 9-14'!G141)</f>
        <v>25061</v>
      </c>
      <c r="G106" s="909"/>
    </row>
    <row r="107" spans="1:7" x14ac:dyDescent="0.2">
      <c r="A107" s="918" t="s">
        <v>663</v>
      </c>
      <c r="B107" s="905" t="s">
        <v>2004</v>
      </c>
      <c r="C107" s="917">
        <v>3300</v>
      </c>
      <c r="D107" s="908" t="str">
        <f>'Revenues 9-14'!A145</f>
        <v>Total Bilingual Ed</v>
      </c>
      <c r="E107" s="903"/>
      <c r="F107" s="1786">
        <f>SUM('Revenues 9-14'!C145,'Revenues 9-14'!G145)</f>
        <v>0</v>
      </c>
      <c r="G107" s="909"/>
    </row>
    <row r="108" spans="1:7" x14ac:dyDescent="0.2">
      <c r="A108" s="905" t="s">
        <v>458</v>
      </c>
      <c r="B108" s="905" t="s">
        <v>2005</v>
      </c>
      <c r="C108" s="917">
        <f>'Revenues 9-14'!B146</f>
        <v>3360</v>
      </c>
      <c r="D108" s="908" t="str">
        <f>'Revenues 9-14'!A146</f>
        <v>State Free Lunch &amp; Breakfast</v>
      </c>
      <c r="E108" s="903"/>
      <c r="F108" s="1786">
        <f>'Revenues 9-14'!C146</f>
        <v>2262</v>
      </c>
      <c r="G108" s="909"/>
    </row>
    <row r="109" spans="1:7" x14ac:dyDescent="0.2">
      <c r="A109" s="905" t="s">
        <v>672</v>
      </c>
      <c r="B109" s="905" t="s">
        <v>2006</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2007</v>
      </c>
      <c r="C110" s="917">
        <f>'Revenues 9-14'!B148</f>
        <v>3370</v>
      </c>
      <c r="D110" s="908" t="str">
        <f>'Revenues 9-14'!A148</f>
        <v>Driver Education</v>
      </c>
      <c r="E110" s="903"/>
      <c r="F110" s="1786">
        <f>SUM('Revenues 9-14'!C148,'Revenues 9-14'!D148)</f>
        <v>7439</v>
      </c>
      <c r="G110" s="909"/>
    </row>
    <row r="111" spans="1:7" x14ac:dyDescent="0.2">
      <c r="A111" s="905" t="s">
        <v>667</v>
      </c>
      <c r="B111" s="905" t="s">
        <v>2008</v>
      </c>
      <c r="C111" s="919">
        <v>3500</v>
      </c>
      <c r="D111" s="908" t="str">
        <f>'Revenues 9-14'!A155</f>
        <v>Total Transportation</v>
      </c>
      <c r="E111" s="903"/>
      <c r="F111" s="1786">
        <f>SUM('Revenues 9-14'!C155,'Revenues 9-14'!D155,'Revenues 9-14'!F155,'Revenues 9-14'!G155)</f>
        <v>110951</v>
      </c>
      <c r="G111" s="909"/>
    </row>
    <row r="112" spans="1:7" x14ac:dyDescent="0.2">
      <c r="A112" s="905" t="s">
        <v>458</v>
      </c>
      <c r="B112" s="905" t="s">
        <v>2009</v>
      </c>
      <c r="C112" s="917">
        <f>'Revenues 9-14'!B156</f>
        <v>3610</v>
      </c>
      <c r="D112" s="908" t="str">
        <f>'Revenues 9-14'!A156</f>
        <v>Learning Improvement - Change Grants</v>
      </c>
      <c r="E112" s="903"/>
      <c r="F112" s="1786">
        <f>'Revenues 9-14'!C156</f>
        <v>0</v>
      </c>
      <c r="G112" s="909"/>
    </row>
    <row r="113" spans="1:7" x14ac:dyDescent="0.2">
      <c r="A113" s="905" t="s">
        <v>667</v>
      </c>
      <c r="B113" s="905" t="s">
        <v>2010</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2011</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667</v>
      </c>
      <c r="B115" s="905" t="s">
        <v>2012</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667</v>
      </c>
      <c r="B116" s="905" t="s">
        <v>2013</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1008</v>
      </c>
      <c r="B117" s="920" t="s">
        <v>2014</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1008</v>
      </c>
      <c r="B118" s="920" t="s">
        <v>2015</v>
      </c>
      <c r="C118" s="921">
        <f>'Revenues 9-14'!B163</f>
        <v>3780</v>
      </c>
      <c r="D118" s="922" t="str">
        <f>'Revenues 9-14'!A163</f>
        <v>Technology - Technology for Success</v>
      </c>
      <c r="E118" s="903"/>
      <c r="F118" s="1904">
        <f>SUM('Revenues 9-14'!C163:G163)</f>
        <v>0</v>
      </c>
      <c r="G118" s="909"/>
    </row>
    <row r="119" spans="1:7" x14ac:dyDescent="0.2">
      <c r="A119" s="920" t="s">
        <v>503</v>
      </c>
      <c r="B119" s="920" t="s">
        <v>2016</v>
      </c>
      <c r="C119" s="921">
        <f>'Revenues 9-14'!B164</f>
        <v>3815</v>
      </c>
      <c r="D119" s="922" t="str">
        <f>'Revenues 9-14'!A164</f>
        <v>State Charter Schools</v>
      </c>
      <c r="E119" s="903"/>
      <c r="F119" s="1904">
        <f>SUM('Revenues 9-14'!C164,'Revenues 9-14'!F164)</f>
        <v>0</v>
      </c>
      <c r="G119" s="909"/>
    </row>
    <row r="120" spans="1:7" x14ac:dyDescent="0.2">
      <c r="A120" s="924" t="s">
        <v>459</v>
      </c>
      <c r="B120" s="924" t="s">
        <v>2017</v>
      </c>
      <c r="C120" s="925">
        <f>'Revenues 9-14'!B167</f>
        <v>3925</v>
      </c>
      <c r="D120" s="926" t="str">
        <f>'Revenues 9-14'!A167</f>
        <v>School Infrastructure - Maintenance Projects</v>
      </c>
      <c r="E120" s="903"/>
      <c r="F120" s="1786">
        <f>'Revenues 9-14'!D167</f>
        <v>0</v>
      </c>
      <c r="G120" s="927"/>
    </row>
    <row r="121" spans="1:7" x14ac:dyDescent="0.2">
      <c r="A121" s="924" t="s">
        <v>499</v>
      </c>
      <c r="B121" s="924" t="s">
        <v>2018</v>
      </c>
      <c r="C121" s="925">
        <f>'Revenues 9-14'!B168</f>
        <v>3999</v>
      </c>
      <c r="D121" s="926" t="s">
        <v>542</v>
      </c>
      <c r="E121" s="928"/>
      <c r="F121" s="1786">
        <f>SUM('Revenues 9-14'!C168:G168,'Revenues 9-14'!J168)</f>
        <v>750</v>
      </c>
      <c r="G121" s="927"/>
    </row>
    <row r="122" spans="1:7" x14ac:dyDescent="0.2">
      <c r="A122" s="924" t="s">
        <v>458</v>
      </c>
      <c r="B122" s="924" t="s">
        <v>2019</v>
      </c>
      <c r="C122" s="929">
        <f>'Revenues 9-14'!B177</f>
        <v>4045</v>
      </c>
      <c r="D122" s="926" t="str">
        <f>'Revenues 9-14'!A177 &amp; " (Subtract)"</f>
        <v>Head Start (Subtract)</v>
      </c>
      <c r="E122" s="903"/>
      <c r="F122" s="1786">
        <f>SUM(-'Revenues 9-14'!C177)</f>
        <v>0</v>
      </c>
      <c r="G122" s="927"/>
    </row>
    <row r="123" spans="1:7" x14ac:dyDescent="0.2">
      <c r="A123" s="924" t="s">
        <v>667</v>
      </c>
      <c r="B123" s="924" t="s">
        <v>2020</v>
      </c>
      <c r="C123" s="929" t="s">
        <v>981</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667</v>
      </c>
      <c r="B124" s="924" t="s">
        <v>2021</v>
      </c>
      <c r="C124" s="929">
        <v>4100</v>
      </c>
      <c r="D124" s="930" t="str">
        <f>'Revenues 9-14'!A188</f>
        <v>Total Title V</v>
      </c>
      <c r="E124" s="903"/>
      <c r="F124" s="1786">
        <f>SUM('Revenues 9-14'!C188,'Revenues 9-14'!D188,'Revenues 9-14'!F188,'Revenues 9-14'!G188)</f>
        <v>0</v>
      </c>
      <c r="G124" s="927"/>
    </row>
    <row r="125" spans="1:7" x14ac:dyDescent="0.2">
      <c r="A125" s="924" t="s">
        <v>663</v>
      </c>
      <c r="B125" s="924" t="s">
        <v>2022</v>
      </c>
      <c r="C125" s="929">
        <v>4200</v>
      </c>
      <c r="D125" s="926" t="str">
        <f>'Revenues 9-14'!A198</f>
        <v>Total Food Service</v>
      </c>
      <c r="E125" s="903"/>
      <c r="F125" s="1786">
        <f>SUM('Revenues 9-14'!C198,'Revenues 9-14'!G198)</f>
        <v>138741</v>
      </c>
      <c r="G125" s="927"/>
    </row>
    <row r="126" spans="1:7" x14ac:dyDescent="0.2">
      <c r="A126" s="924" t="s">
        <v>667</v>
      </c>
      <c r="B126" s="924" t="s">
        <v>2023</v>
      </c>
      <c r="C126" s="929">
        <v>4300</v>
      </c>
      <c r="D126" s="930" t="str">
        <f>'Revenues 9-14'!A204</f>
        <v>Total Title I</v>
      </c>
      <c r="E126" s="903"/>
      <c r="F126" s="1786">
        <f>SUM('Revenues 9-14'!C204,'Revenues 9-14'!D204,'Revenues 9-14'!F204,'Revenues 9-14'!G204)</f>
        <v>124492</v>
      </c>
      <c r="G126" s="927"/>
    </row>
    <row r="127" spans="1:7" x14ac:dyDescent="0.2">
      <c r="A127" s="924" t="s">
        <v>667</v>
      </c>
      <c r="B127" s="924" t="s">
        <v>2024</v>
      </c>
      <c r="C127" s="929">
        <v>4400</v>
      </c>
      <c r="D127" s="930" t="str">
        <f>'Revenues 9-14'!A209</f>
        <v>Total Title IV</v>
      </c>
      <c r="E127" s="903"/>
      <c r="F127" s="1786">
        <f>SUM('Revenues 9-14'!C209,'Revenues 9-14'!D209,'Revenues 9-14'!F209,'Revenues 9-14'!G209)</f>
        <v>18721</v>
      </c>
      <c r="G127" s="927"/>
    </row>
    <row r="128" spans="1:7" x14ac:dyDescent="0.2">
      <c r="A128" s="924" t="s">
        <v>667</v>
      </c>
      <c r="B128" s="924" t="s">
        <v>2025</v>
      </c>
      <c r="C128" s="929">
        <f>'Revenues 9-14'!B213</f>
        <v>4620</v>
      </c>
      <c r="D128" s="930" t="str">
        <f>'Revenues 9-14'!A213</f>
        <v>Fed - Spec Education - IDEA - Flow Through</v>
      </c>
      <c r="E128" s="903"/>
      <c r="F128" s="1786">
        <f>SUM('Revenues 9-14'!C213:D213,'Revenues 9-14'!F213:G213)</f>
        <v>0</v>
      </c>
      <c r="G128" s="927"/>
    </row>
    <row r="129" spans="1:7" x14ac:dyDescent="0.2">
      <c r="A129" s="924" t="s">
        <v>667</v>
      </c>
      <c r="B129" s="924" t="s">
        <v>2026</v>
      </c>
      <c r="C129" s="929">
        <f>'Revenues 9-14'!B214</f>
        <v>4625</v>
      </c>
      <c r="D129" s="930" t="str">
        <f>'Revenues 9-14'!A214</f>
        <v>Fed - Spec Education - IDEA - Room &amp; Board</v>
      </c>
      <c r="E129" s="903"/>
      <c r="F129" s="1786">
        <f>SUM('Revenues 9-14'!C214,'Revenues 9-14'!D214,'Revenues 9-14'!F214,'Revenues 9-14'!G214)</f>
        <v>1280</v>
      </c>
      <c r="G129" s="927"/>
    </row>
    <row r="130" spans="1:7" x14ac:dyDescent="0.2">
      <c r="A130" s="924" t="s">
        <v>667</v>
      </c>
      <c r="B130" s="924" t="s">
        <v>2027</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672</v>
      </c>
      <c r="B132" s="924" t="s">
        <v>2028</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2029</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2030</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2031</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2032</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2033</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2034</v>
      </c>
      <c r="C138" s="932" t="s">
        <v>212</v>
      </c>
      <c r="D138" s="933" t="str">
        <f>'Revenues 9-14'!A229</f>
        <v>ARRA - IDEA - Part B - Preschool</v>
      </c>
      <c r="E138" s="934"/>
      <c r="F138" s="1786">
        <v>0</v>
      </c>
      <c r="G138" s="902"/>
    </row>
    <row r="139" spans="1:7" s="864" customFormat="1" hidden="1" x14ac:dyDescent="0.2">
      <c r="A139" s="931" t="s">
        <v>206</v>
      </c>
      <c r="B139" s="931" t="s">
        <v>2035</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2036</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2037</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667</v>
      </c>
      <c r="B142" s="931" t="s">
        <v>2038</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2039</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2040</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2041</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1416</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2042</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499</v>
      </c>
      <c r="B157" s="936" t="s">
        <v>2043</v>
      </c>
      <c r="C157" s="937" t="s">
        <v>840</v>
      </c>
      <c r="D157" s="938" t="s">
        <v>776</v>
      </c>
      <c r="E157" s="939"/>
      <c r="F157" s="1786">
        <f>SUM(F133:F156)</f>
        <v>0</v>
      </c>
      <c r="G157" s="902"/>
    </row>
    <row r="158" spans="1:7" s="864" customFormat="1" x14ac:dyDescent="0.2">
      <c r="A158" s="935" t="s">
        <v>458</v>
      </c>
      <c r="B158" s="936" t="s">
        <v>2044</v>
      </c>
      <c r="C158" s="937" t="s">
        <v>1426</v>
      </c>
      <c r="D158" s="938" t="s">
        <v>1427</v>
      </c>
      <c r="E158" s="939"/>
      <c r="F158" s="1786">
        <f>SUM('Revenues 9-14'!C253)</f>
        <v>0</v>
      </c>
      <c r="G158" s="902"/>
    </row>
    <row r="159" spans="1:7" s="864" customFormat="1" x14ac:dyDescent="0.2">
      <c r="A159" s="935" t="s">
        <v>499</v>
      </c>
      <c r="B159" s="936" t="s">
        <v>2045</v>
      </c>
      <c r="C159" s="937" t="s">
        <v>1465</v>
      </c>
      <c r="D159" s="938" t="s">
        <v>1466</v>
      </c>
      <c r="E159" s="939"/>
      <c r="F159" s="1786">
        <f>SUM('Revenues 9-14'!C254:H254,'Revenues 9-14'!J254:K254)</f>
        <v>0</v>
      </c>
      <c r="G159" s="902"/>
    </row>
    <row r="160" spans="1:7" x14ac:dyDescent="0.2">
      <c r="A160" s="924" t="s">
        <v>5</v>
      </c>
      <c r="B160" s="924" t="s">
        <v>2046</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2047</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667</v>
      </c>
      <c r="B162" s="924" t="s">
        <v>2048</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667</v>
      </c>
      <c r="B163" s="941" t="s">
        <v>2049</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667</v>
      </c>
      <c r="B164" s="924" t="s">
        <v>2050</v>
      </c>
      <c r="C164" s="929">
        <f>'Revenues 9-14'!B259</f>
        <v>4932</v>
      </c>
      <c r="D164" s="930" t="str">
        <f>'Revenues 9-14'!A259</f>
        <v>Title II - Teacher Quality</v>
      </c>
      <c r="E164" s="903"/>
      <c r="F164" s="1904">
        <f>SUM('Revenues 9-14'!C259,'Revenues 9-14'!D259,'Revenues 9-14'!F259,'Revenues 9-14'!G259)</f>
        <v>8541</v>
      </c>
      <c r="G164" s="927"/>
    </row>
    <row r="165" spans="1:7" x14ac:dyDescent="0.2">
      <c r="A165" s="924" t="s">
        <v>667</v>
      </c>
      <c r="B165" s="924" t="s">
        <v>2051</v>
      </c>
      <c r="C165" s="929">
        <f>'Revenues 9-14'!B260</f>
        <v>4960</v>
      </c>
      <c r="D165" s="926" t="str">
        <f>'Revenues 9-14'!A260</f>
        <v>Federal Charter Schools</v>
      </c>
      <c r="E165" s="903"/>
      <c r="F165" s="1786">
        <f>SUM('Revenues 9-14'!C260:D260,'Revenues 9-14'!F260:G260)</f>
        <v>0</v>
      </c>
      <c r="G165" s="927"/>
    </row>
    <row r="166" spans="1:7" x14ac:dyDescent="0.2">
      <c r="A166" s="924" t="s">
        <v>667</v>
      </c>
      <c r="B166" s="924" t="s">
        <v>1996</v>
      </c>
      <c r="C166" s="929">
        <f>'Revenues 9-14'!B261</f>
        <v>4981</v>
      </c>
      <c r="D166" s="926" t="str">
        <f>'Revenues 9-14'!A261</f>
        <v>State Assessment Grants</v>
      </c>
      <c r="E166" s="903"/>
      <c r="F166" s="1786">
        <f>SUM('Revenues 9-14'!C261:D261,'Revenues 9-14'!F261:G261)</f>
        <v>0</v>
      </c>
      <c r="G166" s="927"/>
    </row>
    <row r="167" spans="1:7" x14ac:dyDescent="0.2">
      <c r="A167" s="924" t="s">
        <v>667</v>
      </c>
      <c r="B167" s="924" t="s">
        <v>1997</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667</v>
      </c>
      <c r="B168" s="924" t="s">
        <v>2052</v>
      </c>
      <c r="C168" s="929">
        <f>'Revenues 9-14'!B263</f>
        <v>4991</v>
      </c>
      <c r="D168" s="930" t="str">
        <f>'Revenues 9-14'!A263</f>
        <v>Medicaid Matching Funds - Administrative Outreach</v>
      </c>
      <c r="E168" s="903"/>
      <c r="F168" s="1786">
        <f>SUM('Revenues 9-14'!C263:D263,'Revenues 9-14'!F263:G263)</f>
        <v>3578</v>
      </c>
      <c r="G168" s="944">
        <v>6320</v>
      </c>
    </row>
    <row r="169" spans="1:7" x14ac:dyDescent="0.2">
      <c r="A169" s="924" t="s">
        <v>667</v>
      </c>
      <c r="B169" s="924" t="s">
        <v>2053</v>
      </c>
      <c r="C169" s="929">
        <f>'Revenues 9-14'!B264</f>
        <v>4992</v>
      </c>
      <c r="D169" s="930" t="str">
        <f>'Revenues 9-14'!A264</f>
        <v>Medicaid Matching Funds - Fee-for-Service Program</v>
      </c>
      <c r="E169" s="903"/>
      <c r="F169" s="1786">
        <f>SUM('Revenues 9-14'!C264:D264,'Revenues 9-14'!F264:G264)</f>
        <v>2987</v>
      </c>
      <c r="G169" s="944"/>
    </row>
    <row r="170" spans="1:7" x14ac:dyDescent="0.2">
      <c r="A170" s="945" t="s">
        <v>667</v>
      </c>
      <c r="B170" s="941" t="s">
        <v>2054</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1919</v>
      </c>
      <c r="C171" s="1917">
        <v>3100</v>
      </c>
      <c r="D171" s="1918" t="s">
        <v>1921</v>
      </c>
      <c r="E171" s="903"/>
      <c r="F171" s="1903">
        <v>105967.19</v>
      </c>
      <c r="G171" s="924"/>
    </row>
    <row r="172" spans="1:7" x14ac:dyDescent="0.2">
      <c r="A172" s="1915" t="s">
        <v>663</v>
      </c>
      <c r="B172" s="1916" t="s">
        <v>1919</v>
      </c>
      <c r="C172" s="1917">
        <v>3300</v>
      </c>
      <c r="D172" s="1918" t="s">
        <v>1922</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2055</v>
      </c>
      <c r="E174" s="1784" t="s">
        <v>957</v>
      </c>
      <c r="F174" s="1785">
        <f>SUM(F84:F132,F157:F172)</f>
        <v>695884.19</v>
      </c>
    </row>
    <row r="175" spans="1:7" ht="12" customHeight="1" x14ac:dyDescent="0.2">
      <c r="A175" s="1767"/>
      <c r="B175" s="1781"/>
      <c r="C175" s="1782"/>
      <c r="D175" s="1783" t="s">
        <v>2056</v>
      </c>
      <c r="E175" s="1784"/>
      <c r="F175" s="1786">
        <f>'PCTC-OEPP 27-28'!F77-F174</f>
        <v>4297098.8100000005</v>
      </c>
    </row>
    <row r="176" spans="1:7" ht="12" customHeight="1" x14ac:dyDescent="0.2">
      <c r="A176" s="1767"/>
      <c r="B176" s="1781"/>
      <c r="C176" s="1782"/>
      <c r="D176" s="1783" t="s">
        <v>1816</v>
      </c>
      <c r="E176" s="1784"/>
      <c r="F176" s="1786">
        <f>'Cap Outlay Deprec 26'!I18</f>
        <v>269052</v>
      </c>
    </row>
    <row r="177" spans="1:7" ht="12" customHeight="1" x14ac:dyDescent="0.2">
      <c r="A177" s="1767"/>
      <c r="B177" s="1781"/>
      <c r="C177" s="1782"/>
      <c r="D177" s="1783" t="s">
        <v>2057</v>
      </c>
      <c r="E177" s="1784"/>
      <c r="F177" s="1786">
        <f>F175+F176</f>
        <v>4566150.8100000005</v>
      </c>
    </row>
    <row r="178" spans="1:7" ht="12" customHeight="1" x14ac:dyDescent="0.2">
      <c r="A178" s="1767"/>
      <c r="B178" s="1787"/>
      <c r="C178" s="1782"/>
      <c r="D178" s="1783" t="str">
        <f>D78</f>
        <v>9 Month ADA from District Average Daily Attendance/Prior General State Aid Inquiry 2018-2019</v>
      </c>
      <c r="E178" s="1784"/>
      <c r="F178" s="1788">
        <f>'PCTC-OEPP 27-28'!F78</f>
        <v>503</v>
      </c>
      <c r="G178" s="927"/>
    </row>
    <row r="179" spans="1:7" ht="12" customHeight="1" thickBot="1" x14ac:dyDescent="0.25">
      <c r="A179" s="1767"/>
      <c r="B179" s="1787"/>
      <c r="C179" s="1782"/>
      <c r="D179" s="1783" t="s">
        <v>2058</v>
      </c>
      <c r="E179" s="1784" t="s">
        <v>1544</v>
      </c>
      <c r="F179" s="1789">
        <f>F177/F178</f>
        <v>9077.8346123260453</v>
      </c>
      <c r="G179" s="853">
        <v>6323</v>
      </c>
    </row>
    <row r="180" spans="1:7" ht="12" thickTop="1" x14ac:dyDescent="0.2">
      <c r="B180" s="927"/>
      <c r="C180" s="946"/>
      <c r="D180" s="927"/>
      <c r="E180" s="946"/>
      <c r="F180" s="927"/>
      <c r="G180" s="948">
        <v>6326</v>
      </c>
    </row>
    <row r="181" spans="1:7" ht="12.2" customHeight="1" x14ac:dyDescent="0.2">
      <c r="A181" s="927" t="s">
        <v>1920</v>
      </c>
      <c r="B181" s="927"/>
      <c r="C181" s="946"/>
      <c r="D181" s="927"/>
      <c r="E181" s="946"/>
      <c r="F181" s="927"/>
      <c r="G181" s="927"/>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6"/>
      <c r="D184" s="927"/>
      <c r="E184" s="946"/>
      <c r="F184" s="927"/>
      <c r="G184" s="927"/>
    </row>
    <row r="185" spans="1:7" x14ac:dyDescent="0.2">
      <c r="A185" s="1923" t="s">
        <v>1924</v>
      </c>
      <c r="B185" s="1924" t="s">
        <v>1923</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F33" sqref="F33"/>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86" t="s">
        <v>1817</v>
      </c>
      <c r="B4" s="2287"/>
      <c r="C4" s="2287"/>
      <c r="D4" s="2287"/>
      <c r="E4" s="2287"/>
      <c r="F4" s="2287"/>
      <c r="G4" s="2288"/>
    </row>
    <row r="5" spans="1:7" x14ac:dyDescent="0.25">
      <c r="A5" s="2289"/>
      <c r="B5" s="2290"/>
      <c r="C5" s="2290"/>
      <c r="D5" s="2290"/>
      <c r="E5" s="2290"/>
      <c r="F5" s="2290"/>
      <c r="G5" s="2291"/>
    </row>
    <row r="6" spans="1:7" ht="18.75" x14ac:dyDescent="0.25">
      <c r="A6" s="1531" t="s">
        <v>1818</v>
      </c>
      <c r="B6" s="1532"/>
      <c r="C6" s="1532"/>
      <c r="D6" s="1532"/>
      <c r="E6" s="1532"/>
      <c r="F6" s="1532"/>
      <c r="G6" s="1533"/>
    </row>
    <row r="7" spans="1:7" ht="30.75" customHeight="1" x14ac:dyDescent="0.25">
      <c r="A7" s="2292" t="s">
        <v>1931</v>
      </c>
      <c r="B7" s="2293"/>
      <c r="C7" s="2293"/>
      <c r="D7" s="2293"/>
      <c r="E7" s="2293"/>
      <c r="F7" s="2293"/>
      <c r="G7" s="2294"/>
    </row>
    <row r="8" spans="1:7" ht="15.75" customHeight="1" x14ac:dyDescent="0.25">
      <c r="A8" s="2295" t="s">
        <v>1906</v>
      </c>
      <c r="B8" s="2296"/>
      <c r="C8" s="2296"/>
      <c r="D8" s="2296"/>
      <c r="E8" s="2296"/>
      <c r="F8" s="2296"/>
      <c r="G8" s="2297"/>
    </row>
    <row r="9" spans="1:7" ht="35.25" customHeight="1" x14ac:dyDescent="0.25">
      <c r="A9" s="2292" t="s">
        <v>1934</v>
      </c>
      <c r="B9" s="2293"/>
      <c r="C9" s="2293"/>
      <c r="D9" s="2293"/>
      <c r="E9" s="2293"/>
      <c r="F9" s="2293"/>
      <c r="G9" s="2294"/>
    </row>
    <row r="10" spans="1:7" ht="15" customHeight="1" x14ac:dyDescent="0.25">
      <c r="A10" s="1534" t="s">
        <v>1819</v>
      </c>
      <c r="B10" s="1535"/>
      <c r="C10" s="1535"/>
      <c r="D10" s="1535"/>
      <c r="E10" s="1535"/>
      <c r="F10" s="1535"/>
      <c r="G10" s="1536"/>
    </row>
    <row r="11" spans="1:7" ht="17.25" customHeight="1" x14ac:dyDescent="0.25">
      <c r="A11" s="2292" t="s">
        <v>1933</v>
      </c>
      <c r="B11" s="2293"/>
      <c r="C11" s="2293"/>
      <c r="D11" s="2293"/>
      <c r="E11" s="2293"/>
      <c r="F11" s="2293"/>
      <c r="G11" s="2294"/>
    </row>
    <row r="12" spans="1:7" ht="15" customHeight="1" x14ac:dyDescent="0.25">
      <c r="A12" s="1534" t="s">
        <v>1824</v>
      </c>
      <c r="B12" s="1535"/>
      <c r="C12" s="1535"/>
      <c r="D12" s="1535"/>
      <c r="E12" s="1535"/>
      <c r="F12" s="1535"/>
      <c r="G12" s="1536"/>
    </row>
    <row r="13" spans="1:7" ht="32.25" customHeight="1" x14ac:dyDescent="0.25">
      <c r="A13" s="2283" t="s">
        <v>1975</v>
      </c>
      <c r="B13" s="2284"/>
      <c r="C13" s="2284"/>
      <c r="D13" s="2284"/>
      <c r="E13" s="2284"/>
      <c r="F13" s="2284"/>
      <c r="G13" s="2285"/>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6" t="s">
        <v>2129</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298" t="s">
        <v>1678</v>
      </c>
      <c r="B5" s="2299"/>
      <c r="C5" s="2299"/>
      <c r="D5" s="2299"/>
      <c r="E5" s="2299"/>
      <c r="F5" s="2299"/>
      <c r="G5" s="230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1932</v>
      </c>
      <c r="B10" s="968"/>
      <c r="C10" s="973"/>
      <c r="D10" s="969"/>
      <c r="E10" s="970">
        <v>81749</v>
      </c>
      <c r="F10" s="971"/>
      <c r="G10" s="972"/>
      <c r="H10" s="162"/>
      <c r="I10" s="162"/>
    </row>
    <row r="11" spans="1:9" s="665" customFormat="1" ht="22.5" customHeight="1" x14ac:dyDescent="0.2">
      <c r="A11" s="2303" t="s">
        <v>1976</v>
      </c>
      <c r="B11" s="2304"/>
      <c r="C11" s="2304"/>
      <c r="D11" s="2305"/>
      <c r="E11" s="974">
        <v>19212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5" t="s">
        <v>531</v>
      </c>
      <c r="E17" s="1636"/>
      <c r="F17" s="1635" t="s">
        <v>432</v>
      </c>
      <c r="G17" s="1637"/>
      <c r="H17" s="162"/>
      <c r="I17" s="162"/>
    </row>
    <row r="18" spans="1:9" s="259" customFormat="1" ht="11.25" x14ac:dyDescent="0.2">
      <c r="A18" s="985"/>
      <c r="C18" s="986" t="s">
        <v>433</v>
      </c>
      <c r="D18" s="1638" t="s">
        <v>434</v>
      </c>
      <c r="E18" s="1638" t="s">
        <v>53</v>
      </c>
      <c r="F18" s="1638" t="s">
        <v>434</v>
      </c>
      <c r="G18" s="1638" t="s">
        <v>53</v>
      </c>
      <c r="H18" s="178"/>
      <c r="I18" s="178"/>
    </row>
    <row r="19" spans="1:9" s="665" customFormat="1" ht="12" customHeight="1" x14ac:dyDescent="0.2">
      <c r="A19" s="987" t="s">
        <v>455</v>
      </c>
      <c r="B19" s="988"/>
      <c r="C19" s="989" t="s">
        <v>569</v>
      </c>
      <c r="D19" s="1796"/>
      <c r="E19" s="1797">
        <f>'Expenditures 15-22'!K33-SUM('Expenditures 15-22'!G33,'Expenditures 15-22'!I33)+'Expenditures 15-22'!D229</f>
        <v>3103547</v>
      </c>
      <c r="F19" s="1796"/>
      <c r="G19" s="1798">
        <f>'Expenditures 15-22'!K33-SUM('Expenditures 15-22'!G33,'Expenditures 15-22'!I33)+'Expenditures 15-22'!D229</f>
        <v>3103547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400</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58980</v>
      </c>
      <c r="F21" s="1799"/>
      <c r="G21" s="1802">
        <f>'Expenditures 15-22'!K42-SUM('Expenditures 15-22'!G42,'Expenditures 15-22'!I42)+'Expenditures 15-22'!K120-SUM('Expenditures 15-22'!G120,'Expenditures 15-22'!I120)+'Expenditures 15-22'!K180-SUM('Expenditures 15-22'!G180,'Expenditures 15-22'!I180)+'Expenditures 15-22'!D238</f>
        <v>58980</v>
      </c>
      <c r="H21" s="984"/>
      <c r="I21" s="162"/>
    </row>
    <row r="22" spans="1:9" s="665" customFormat="1" ht="12" customHeight="1" x14ac:dyDescent="0.2">
      <c r="A22" s="991" t="s">
        <v>563</v>
      </c>
      <c r="B22" s="992"/>
      <c r="C22" s="990">
        <v>2200</v>
      </c>
      <c r="D22" s="1799"/>
      <c r="E22" s="1801">
        <f>'Expenditures 15-22'!K47-SUM('Expenditures 15-22'!G47,'Expenditures 15-22'!I47)+'Expenditures 15-22'!D243</f>
        <v>236196</v>
      </c>
      <c r="F22" s="1799"/>
      <c r="G22" s="1802">
        <f>'Expenditures 15-22'!K47-SUM('Expenditures 15-22'!G47,'Expenditures 15-22'!I47)+'Expenditures 15-22'!D243</f>
        <v>236196</v>
      </c>
      <c r="H22" s="984"/>
      <c r="I22" s="162"/>
    </row>
    <row r="23" spans="1:9" s="665" customFormat="1" ht="12" customHeight="1" x14ac:dyDescent="0.2">
      <c r="A23" s="991" t="s">
        <v>564</v>
      </c>
      <c r="B23" s="992"/>
      <c r="C23" s="990">
        <v>2300</v>
      </c>
      <c r="D23" s="1799"/>
      <c r="E23" s="1801">
        <f>'Expenditures 15-22'!K53-SUM('Expenditures 15-22'!G53,'Expenditures 15-22'!I53)+'Expenditures 15-22'!D257+'Expenditures 15-22'!K330-SUM('Expenditures 15-22'!G330,'Expenditures 15-22'!I330)</f>
        <v>462195</v>
      </c>
      <c r="F23" s="1799"/>
      <c r="G23" s="1801">
        <f>'Expenditures 15-22'!K53-SUM('Expenditures 15-22'!G53,'Expenditures 15-22'!I53)+'Expenditures 15-22'!D257+'Expenditures 15-22'!K330-SUM('Expenditures 15-22'!G330,'Expenditures 15-22'!I330)</f>
        <v>462195</v>
      </c>
      <c r="H23" s="984"/>
      <c r="I23" s="162"/>
    </row>
    <row r="24" spans="1:9" s="665" customFormat="1" ht="12" customHeight="1" x14ac:dyDescent="0.2">
      <c r="A24" s="991" t="s">
        <v>565</v>
      </c>
      <c r="B24" s="992"/>
      <c r="C24" s="990">
        <v>2400</v>
      </c>
      <c r="D24" s="1799"/>
      <c r="E24" s="1801">
        <f>'Expenditures 15-22'!K57-SUM('Expenditures 15-22'!G57,'Expenditures 15-22'!I57)+'Expenditures 15-22'!D261</f>
        <v>250265</v>
      </c>
      <c r="F24" s="1799"/>
      <c r="G24" s="1802">
        <f>'Expenditures 15-22'!K57-SUM('Expenditures 15-22'!G57,'Expenditures 15-22'!I57)+'Expenditures 15-22'!D261</f>
        <v>250265</v>
      </c>
      <c r="H24" s="984"/>
      <c r="I24" s="162"/>
    </row>
    <row r="25" spans="1:9" s="665" customFormat="1" ht="12" customHeight="1" x14ac:dyDescent="0.2">
      <c r="A25" s="987" t="s">
        <v>566</v>
      </c>
      <c r="B25" s="993"/>
      <c r="C25" s="990"/>
      <c r="D25" s="1799"/>
      <c r="E25" s="1801"/>
      <c r="F25" s="1799"/>
      <c r="G25" s="1802"/>
      <c r="H25" s="984"/>
      <c r="I25" s="162"/>
    </row>
    <row r="26" spans="1:9" s="665" customFormat="1" ht="12" customHeight="1" x14ac:dyDescent="0.2">
      <c r="A26" s="991" t="s">
        <v>514</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462</v>
      </c>
      <c r="B27" s="994"/>
      <c r="C27" s="990">
        <v>2520</v>
      </c>
      <c r="D27" s="1801">
        <f>'Expenditures 15-22'!K60-SUM('Expenditures 15-22'!G60,'Expenditures 15-22'!I60)+'Expenditures 15-22'!D264-E8</f>
        <v>75505</v>
      </c>
      <c r="E27" s="1801">
        <f>E8</f>
        <v>0</v>
      </c>
      <c r="F27" s="1801">
        <f>'Expenditures 15-22'!K60-SUM('Expenditures 15-22'!G60,'Expenditures 15-22'!I60)+'Expenditures 15-22'!D264-E8</f>
        <v>75505</v>
      </c>
      <c r="G27" s="1802">
        <f>E8</f>
        <v>0</v>
      </c>
      <c r="H27" s="984"/>
      <c r="I27" s="162"/>
    </row>
    <row r="28" spans="1:9" s="665" customFormat="1" ht="12" customHeight="1" x14ac:dyDescent="0.2">
      <c r="A28" s="991" t="s">
        <v>515</v>
      </c>
      <c r="B28" s="994"/>
      <c r="C28" s="990">
        <v>2540</v>
      </c>
      <c r="D28" s="1803"/>
      <c r="E28" s="1801">
        <f>'Expenditures 15-22'!K61-SUM('Expenditures 15-22'!G61,'Expenditures 15-22'!I61)+'Expenditures 15-22'!K124-SUM('Expenditures 15-22'!G124,'Expenditures 15-22'!I124)+'Expenditures 15-22'!D266</f>
        <v>441075</v>
      </c>
      <c r="F28" s="1803">
        <f>'Expenditures 15-22'!K61-SUM('Expenditures 15-22'!G61,'Expenditures 15-22'!I61)+'Expenditures 15-22'!K124-SUM('Expenditures 15-22'!G124,'Expenditures 15-22'!I124)+'Expenditures 15-22'!D266-E9</f>
        <v>441075</v>
      </c>
      <c r="G28" s="1802">
        <f>E9</f>
        <v>0</v>
      </c>
      <c r="H28" s="984"/>
      <c r="I28" s="162"/>
    </row>
    <row r="29" spans="1:9" ht="12" customHeight="1" x14ac:dyDescent="0.2">
      <c r="A29" s="991" t="s">
        <v>516</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212810</v>
      </c>
      <c r="F29" s="1799"/>
      <c r="G29" s="1802">
        <f>'Expenditures 15-22'!K62-SUM('Expenditures 15-22'!G62,'Expenditures 15-22'!I62)+'Expenditures 15-22'!K125-SUM('Expenditures 15-22'!G125,'Expenditures 15-22'!I125)+'Expenditures 15-22'!K182-SUM('Expenditures 15-22'!G182,'Expenditures 15-22'!I182)+'Expenditures 15-22'!D267</f>
        <v>212810</v>
      </c>
      <c r="H29" s="982"/>
    </row>
    <row r="30" spans="1:9" ht="12" customHeight="1" x14ac:dyDescent="0.2">
      <c r="A30" s="991" t="s">
        <v>100</v>
      </c>
      <c r="B30" s="994"/>
      <c r="C30" s="990">
        <v>2560</v>
      </c>
      <c r="D30" s="1799"/>
      <c r="E30" s="1801">
        <f>'Expenditures 15-22'!K63-SUM('Expenditures 15-22'!G63,'Expenditures 15-22'!I63)+'Expenditures 15-22'!D268-E10</f>
        <v>141387</v>
      </c>
      <c r="F30" s="1799"/>
      <c r="G30" s="1801">
        <f>'Expenditures 15-22'!K63-SUM('Expenditures 15-22'!G63,'Expenditures 15-22'!I63)+'Expenditures 15-22'!D268-E10</f>
        <v>141387</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517</v>
      </c>
      <c r="B32" s="993"/>
      <c r="C32" s="990"/>
      <c r="D32" s="1799"/>
      <c r="E32" s="1799"/>
      <c r="F32" s="1799"/>
      <c r="G32" s="1799"/>
    </row>
    <row r="33" spans="1:7" ht="12" customHeight="1" x14ac:dyDescent="0.2">
      <c r="A33" s="991" t="s">
        <v>518</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519</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1060</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402</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403</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520</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448</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1822</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75505</v>
      </c>
      <c r="E41" s="1803">
        <f>SUM(E19:E40)</f>
        <v>4906455</v>
      </c>
      <c r="F41" s="1803">
        <f>SUM(F19:F39)</f>
        <v>516580</v>
      </c>
      <c r="G41" s="1803">
        <f>SUM(G19:G40)</f>
        <v>4465380</v>
      </c>
    </row>
    <row r="42" spans="1:7" x14ac:dyDescent="0.2">
      <c r="A42" s="984"/>
      <c r="B42" s="162"/>
      <c r="C42" s="998"/>
      <c r="D42" s="2301" t="s">
        <v>521</v>
      </c>
      <c r="E42" s="2302"/>
      <c r="F42" s="999" t="s">
        <v>522</v>
      </c>
      <c r="G42" s="1000"/>
    </row>
    <row r="43" spans="1:7" ht="12" customHeight="1" x14ac:dyDescent="0.2">
      <c r="A43" s="984"/>
      <c r="B43" s="162"/>
      <c r="C43" s="998"/>
      <c r="D43" s="1804" t="s">
        <v>472</v>
      </c>
      <c r="E43" s="1805">
        <f>D41</f>
        <v>75505</v>
      </c>
      <c r="F43" s="1804" t="s">
        <v>472</v>
      </c>
      <c r="G43" s="1805">
        <f>F41</f>
        <v>516580</v>
      </c>
    </row>
    <row r="44" spans="1:7" ht="12" customHeight="1" x14ac:dyDescent="0.2">
      <c r="A44" s="984"/>
      <c r="B44" s="162"/>
      <c r="C44" s="998"/>
      <c r="D44" s="1804" t="s">
        <v>473</v>
      </c>
      <c r="E44" s="1805">
        <f>E41</f>
        <v>4906455</v>
      </c>
      <c r="F44" s="1804" t="s">
        <v>473</v>
      </c>
      <c r="G44" s="1805">
        <f>G41</f>
        <v>4465380</v>
      </c>
    </row>
    <row r="45" spans="1:7" ht="12" customHeight="1" x14ac:dyDescent="0.2">
      <c r="A45" s="984"/>
      <c r="B45" s="162"/>
      <c r="C45" s="162"/>
      <c r="D45" s="1806" t="s">
        <v>1005</v>
      </c>
      <c r="E45" s="1807">
        <f>(E43/E44)</f>
        <v>1.5388911138490009E-2</v>
      </c>
      <c r="F45" s="1806" t="s">
        <v>1005</v>
      </c>
      <c r="G45" s="1807">
        <f>(G43/G44)</f>
        <v>0.1156855631547595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20" zoomScaleNormal="120" workbookViewId="0">
      <pane ySplit="4" topLeftCell="A5" activePane="bottomLeft" state="frozen"/>
      <selection activeCell="F33" sqref="F3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0" t="s">
        <v>1378</v>
      </c>
      <c r="B1" s="2320"/>
      <c r="C1" s="2320"/>
      <c r="D1" s="2320"/>
      <c r="E1" s="2320"/>
      <c r="F1" s="2320"/>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321" t="s">
        <v>1545</v>
      </c>
      <c r="B5" s="2322"/>
      <c r="C5" s="2323"/>
      <c r="D5" s="2323"/>
      <c r="E5" s="2323"/>
      <c r="F5" s="2323"/>
    </row>
    <row r="6" spans="1:10" ht="12" customHeight="1" x14ac:dyDescent="0.25">
      <c r="A6" s="1847"/>
      <c r="B6" s="1848"/>
      <c r="C6" s="2324" t="str">
        <f>COVER!A17</f>
        <v>Wethersfield Community Unit School District No. 230</v>
      </c>
      <c r="D6" s="2324"/>
      <c r="E6" s="2324"/>
      <c r="F6" s="1849"/>
    </row>
    <row r="7" spans="1:10" ht="11.25" customHeight="1" thickBot="1" x14ac:dyDescent="0.3">
      <c r="A7" s="1847"/>
      <c r="B7" s="1848"/>
      <c r="C7" s="2325">
        <f>COVER!A13</f>
        <v>28037230026</v>
      </c>
      <c r="D7" s="2325"/>
      <c r="E7" s="2325"/>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t="s">
        <v>2069</v>
      </c>
      <c r="D11" s="1862" t="s">
        <v>2069</v>
      </c>
      <c r="E11" s="1863"/>
      <c r="F11" s="1864" t="s">
        <v>2085</v>
      </c>
      <c r="H11" s="1875">
        <f>IF(C11="X",5,0)</f>
        <v>5</v>
      </c>
      <c r="I11" s="1875">
        <f>IF(D11="X",5,0)</f>
        <v>5</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t="s">
        <v>2069</v>
      </c>
      <c r="D13" s="1862" t="s">
        <v>2069</v>
      </c>
      <c r="E13" s="1865"/>
      <c r="F13" s="1864" t="s">
        <v>2086</v>
      </c>
      <c r="H13" s="1875">
        <f t="shared" si="0"/>
        <v>5</v>
      </c>
      <c r="I13" s="1875">
        <f t="shared" si="1"/>
        <v>5</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t="s">
        <v>2069</v>
      </c>
      <c r="D15" s="1862" t="s">
        <v>2069</v>
      </c>
      <c r="E15" s="1865"/>
      <c r="F15" s="1864" t="s">
        <v>2087</v>
      </c>
      <c r="H15" s="1875">
        <f t="shared" si="0"/>
        <v>5</v>
      </c>
      <c r="I15" s="1875">
        <f t="shared" si="1"/>
        <v>5</v>
      </c>
      <c r="J15" s="1875">
        <f t="shared" si="2"/>
        <v>0</v>
      </c>
    </row>
    <row r="16" spans="1:10" ht="12" customHeight="1" x14ac:dyDescent="0.2">
      <c r="A16" s="1860" t="s">
        <v>1387</v>
      </c>
      <c r="B16" s="1861"/>
      <c r="C16" s="1862" t="s">
        <v>2069</v>
      </c>
      <c r="D16" s="1862" t="s">
        <v>2069</v>
      </c>
      <c r="E16" s="1865"/>
      <c r="F16" s="1864" t="s">
        <v>2088</v>
      </c>
      <c r="H16" s="1875">
        <f t="shared" si="0"/>
        <v>5</v>
      </c>
      <c r="I16" s="1875">
        <f t="shared" si="1"/>
        <v>5</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2069</v>
      </c>
      <c r="D19" s="1862" t="s">
        <v>2069</v>
      </c>
      <c r="E19" s="1865"/>
      <c r="F19" s="1864" t="s">
        <v>2089</v>
      </c>
      <c r="H19" s="1875">
        <f t="shared" si="0"/>
        <v>5</v>
      </c>
      <c r="I19" s="1875">
        <f t="shared" si="1"/>
        <v>5</v>
      </c>
      <c r="J19" s="1875">
        <f t="shared" si="2"/>
        <v>0</v>
      </c>
    </row>
    <row r="20" spans="1:12" ht="12" customHeight="1" x14ac:dyDescent="0.2">
      <c r="A20" s="1860" t="s">
        <v>1527</v>
      </c>
      <c r="B20" s="1861"/>
      <c r="C20" s="1862" t="s">
        <v>2069</v>
      </c>
      <c r="D20" s="1862" t="s">
        <v>2069</v>
      </c>
      <c r="E20" s="1865"/>
      <c r="F20" s="1864" t="s">
        <v>2090</v>
      </c>
      <c r="H20" s="1875">
        <f t="shared" si="0"/>
        <v>5</v>
      </c>
      <c r="I20" s="1875">
        <f t="shared" si="1"/>
        <v>5</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t="s">
        <v>2069</v>
      </c>
      <c r="D22" s="1862" t="s">
        <v>2069</v>
      </c>
      <c r="E22" s="1865"/>
      <c r="F22" s="1864" t="s">
        <v>2091</v>
      </c>
      <c r="H22" s="1875">
        <f t="shared" si="0"/>
        <v>5</v>
      </c>
      <c r="I22" s="1875">
        <f t="shared" si="1"/>
        <v>5</v>
      </c>
      <c r="J22" s="1875">
        <f t="shared" si="2"/>
        <v>0</v>
      </c>
    </row>
    <row r="23" spans="1:12" ht="12" customHeight="1" x14ac:dyDescent="0.2">
      <c r="A23" s="1860" t="s">
        <v>1530</v>
      </c>
      <c r="B23" s="1861"/>
      <c r="C23" s="1862" t="s">
        <v>2069</v>
      </c>
      <c r="D23" s="1862" t="s">
        <v>2069</v>
      </c>
      <c r="E23" s="1865"/>
      <c r="F23" s="1864" t="s">
        <v>2092</v>
      </c>
      <c r="H23" s="1875">
        <f t="shared" si="0"/>
        <v>5</v>
      </c>
      <c r="I23" s="1875">
        <f t="shared" si="1"/>
        <v>5</v>
      </c>
      <c r="J23" s="1875">
        <f t="shared" si="2"/>
        <v>0</v>
      </c>
    </row>
    <row r="24" spans="1:12" ht="12" customHeight="1" x14ac:dyDescent="0.2">
      <c r="A24" s="1860" t="s">
        <v>1531</v>
      </c>
      <c r="B24" s="1861"/>
      <c r="C24" s="1862" t="s">
        <v>2069</v>
      </c>
      <c r="D24" s="1862" t="s">
        <v>2069</v>
      </c>
      <c r="E24" s="1865"/>
      <c r="F24" s="1864" t="s">
        <v>2093</v>
      </c>
      <c r="H24" s="1875">
        <f t="shared" si="0"/>
        <v>5</v>
      </c>
      <c r="I24" s="1875">
        <f t="shared" si="1"/>
        <v>5</v>
      </c>
      <c r="J24" s="1875">
        <f t="shared" si="2"/>
        <v>0</v>
      </c>
    </row>
    <row r="25" spans="1:12" ht="12" customHeight="1" x14ac:dyDescent="0.2">
      <c r="A25" s="1860" t="s">
        <v>1532</v>
      </c>
      <c r="B25" s="1861"/>
      <c r="C25" s="1862" t="s">
        <v>2069</v>
      </c>
      <c r="D25" s="1862" t="s">
        <v>2069</v>
      </c>
      <c r="E25" s="1865"/>
      <c r="F25" s="1864" t="s">
        <v>2094</v>
      </c>
      <c r="H25" s="1875">
        <f t="shared" si="0"/>
        <v>5</v>
      </c>
      <c r="I25" s="1875">
        <f t="shared" si="1"/>
        <v>5</v>
      </c>
      <c r="J25" s="1875">
        <f t="shared" si="2"/>
        <v>0</v>
      </c>
    </row>
    <row r="26" spans="1:12" ht="12" customHeight="1" x14ac:dyDescent="0.2">
      <c r="A26" s="1860" t="s">
        <v>1533</v>
      </c>
      <c r="B26" s="1861"/>
      <c r="C26" s="1862" t="s">
        <v>2069</v>
      </c>
      <c r="D26" s="1862" t="s">
        <v>2069</v>
      </c>
      <c r="E26" s="1865"/>
      <c r="F26" s="1864" t="s">
        <v>2095</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t="s">
        <v>2069</v>
      </c>
      <c r="D28" s="1862" t="s">
        <v>2069</v>
      </c>
      <c r="E28" s="1865"/>
      <c r="F28" s="1864" t="s">
        <v>2096</v>
      </c>
      <c r="H28" s="1875">
        <f t="shared" si="0"/>
        <v>5</v>
      </c>
      <c r="I28" s="1875">
        <f t="shared" si="1"/>
        <v>5</v>
      </c>
      <c r="J28" s="1875">
        <f t="shared" si="2"/>
        <v>0</v>
      </c>
    </row>
    <row r="29" spans="1:12" ht="12" customHeight="1" x14ac:dyDescent="0.2">
      <c r="A29" s="1860" t="s">
        <v>1536</v>
      </c>
      <c r="B29" s="1861"/>
      <c r="C29" s="1862" t="s">
        <v>2069</v>
      </c>
      <c r="D29" s="1862" t="s">
        <v>2069</v>
      </c>
      <c r="E29" s="1865"/>
      <c r="F29" s="1864" t="s">
        <v>2097</v>
      </c>
      <c r="H29" s="1875">
        <f t="shared" si="0"/>
        <v>5</v>
      </c>
      <c r="I29" s="1875">
        <f t="shared" si="1"/>
        <v>5</v>
      </c>
      <c r="J29" s="1875">
        <f t="shared" si="2"/>
        <v>0</v>
      </c>
    </row>
    <row r="30" spans="1:12" ht="12" customHeight="1" x14ac:dyDescent="0.2">
      <c r="A30" s="1860" t="s">
        <v>1537</v>
      </c>
      <c r="B30" s="1861"/>
      <c r="C30" s="1862" t="s">
        <v>2069</v>
      </c>
      <c r="D30" s="1862" t="s">
        <v>2069</v>
      </c>
      <c r="E30" s="1865"/>
      <c r="F30" s="1864" t="s">
        <v>2098</v>
      </c>
      <c r="H30" s="1875">
        <f t="shared" si="0"/>
        <v>5</v>
      </c>
      <c r="I30" s="1875">
        <f t="shared" si="1"/>
        <v>5</v>
      </c>
      <c r="J30" s="1875">
        <f t="shared" si="2"/>
        <v>0</v>
      </c>
    </row>
    <row r="31" spans="1:12" ht="12" customHeight="1" x14ac:dyDescent="0.2">
      <c r="A31" s="1860" t="s">
        <v>1538</v>
      </c>
      <c r="B31" s="1861"/>
      <c r="C31" s="1862" t="s">
        <v>2069</v>
      </c>
      <c r="D31" s="1862" t="s">
        <v>2069</v>
      </c>
      <c r="E31" s="1865"/>
      <c r="F31" s="1864" t="s">
        <v>2099</v>
      </c>
      <c r="H31" s="1875">
        <f t="shared" si="0"/>
        <v>5</v>
      </c>
      <c r="I31" s="1875">
        <f t="shared" si="1"/>
        <v>5</v>
      </c>
      <c r="J31" s="1875">
        <f t="shared" si="2"/>
        <v>0</v>
      </c>
      <c r="L31" s="1866"/>
    </row>
    <row r="32" spans="1:12" ht="12" customHeight="1" x14ac:dyDescent="0.2">
      <c r="A32" s="1860" t="s">
        <v>1539</v>
      </c>
      <c r="B32" s="1861"/>
      <c r="C32" s="1862" t="s">
        <v>2069</v>
      </c>
      <c r="D32" s="1862" t="s">
        <v>2069</v>
      </c>
      <c r="E32" s="1865"/>
      <c r="F32" s="1864" t="s">
        <v>2100</v>
      </c>
      <c r="H32" s="1875">
        <f t="shared" si="0"/>
        <v>5</v>
      </c>
      <c r="I32" s="1875">
        <f t="shared" si="1"/>
        <v>5</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80</v>
      </c>
      <c r="I34" s="1875">
        <f>SUM(I11:I32)</f>
        <v>80</v>
      </c>
      <c r="J34" s="1875">
        <f>SUM(J11:J32)</f>
        <v>0</v>
      </c>
      <c r="K34" s="1875">
        <f>SUM(H34:J34)</f>
        <v>160</v>
      </c>
    </row>
    <row r="35" spans="1:11" ht="12" customHeight="1" x14ac:dyDescent="0.2">
      <c r="A35" s="1868" t="s">
        <v>1391</v>
      </c>
      <c r="B35" s="1869"/>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0"/>
      <c r="B39" s="1870"/>
      <c r="C39" s="1870"/>
      <c r="D39" s="1870"/>
      <c r="E39" s="1870"/>
      <c r="F39" s="1870"/>
    </row>
    <row r="40" spans="1:11" s="1867" customFormat="1" ht="12" customHeight="1" x14ac:dyDescent="0.25">
      <c r="A40" s="1871" t="s">
        <v>1390</v>
      </c>
      <c r="B40" s="1872"/>
      <c r="C40" s="2315"/>
      <c r="D40" s="2315"/>
      <c r="E40" s="2315"/>
      <c r="F40" s="2316"/>
      <c r="H40" s="1876"/>
      <c r="I40" s="1876"/>
      <c r="J40" s="1876"/>
      <c r="K40" s="1876"/>
    </row>
    <row r="41" spans="1:11" s="1867" customFormat="1" ht="12" customHeight="1" x14ac:dyDescent="0.25">
      <c r="A41" s="2317"/>
      <c r="B41" s="2318"/>
      <c r="C41" s="2318"/>
      <c r="D41" s="2318"/>
      <c r="E41" s="2318"/>
      <c r="F41" s="2319"/>
      <c r="H41" s="1876"/>
      <c r="I41" s="1876"/>
      <c r="J41" s="1876"/>
      <c r="K41" s="1876"/>
    </row>
    <row r="42" spans="1:11" s="1867" customFormat="1" ht="12" customHeight="1" x14ac:dyDescent="0.25">
      <c r="A42" s="2317"/>
      <c r="B42" s="2318"/>
      <c r="C42" s="2318"/>
      <c r="D42" s="2318"/>
      <c r="E42" s="2318"/>
      <c r="F42" s="2319"/>
      <c r="H42" s="1876"/>
      <c r="I42" s="1876"/>
      <c r="J42" s="1876"/>
      <c r="K42" s="1876"/>
    </row>
    <row r="43" spans="1:11" s="1867" customFormat="1" ht="15" x14ac:dyDescent="0.25">
      <c r="A43" s="2306"/>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91" t="s">
        <v>671</v>
      </c>
      <c r="B6" s="1639"/>
      <c r="C6" s="1639"/>
      <c r="D6" s="1639"/>
      <c r="E6" s="1640"/>
      <c r="F6" s="1012"/>
      <c r="G6" s="1006"/>
      <c r="H6" s="1013" t="s">
        <v>1027</v>
      </c>
      <c r="I6" s="2333" t="str">
        <f>COVER!A17</f>
        <v>Wethersfield Community Unit School District No. 230</v>
      </c>
      <c r="J6" s="2334"/>
      <c r="Q6" s="1661"/>
    </row>
    <row r="7" spans="1:17" x14ac:dyDescent="0.2">
      <c r="A7" s="2335" t="s">
        <v>868</v>
      </c>
      <c r="B7" s="2336"/>
      <c r="C7" s="2336"/>
      <c r="D7" s="2336"/>
      <c r="E7" s="2337"/>
      <c r="F7" s="1014"/>
      <c r="G7" s="1006"/>
      <c r="H7" s="1013" t="s">
        <v>371</v>
      </c>
      <c r="I7" s="2338">
        <f>COVER!A13</f>
        <v>28037230026</v>
      </c>
      <c r="J7" s="233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1978</v>
      </c>
      <c r="F9" s="1020"/>
      <c r="G9" s="1020"/>
      <c r="H9" s="1893" t="s">
        <v>1979</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339" t="s">
        <v>480</v>
      </c>
      <c r="B11" s="2340"/>
      <c r="C11" s="2341"/>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8">
        <f>'Expenditures 15-22'!K50</f>
        <v>194645</v>
      </c>
      <c r="F12" s="1036"/>
      <c r="G12" s="1808">
        <f t="shared" ref="G12:G18" si="0">SUM(E12:F12)</f>
        <v>194645</v>
      </c>
      <c r="H12" s="1037">
        <v>202449</v>
      </c>
      <c r="I12" s="1036"/>
      <c r="J12" s="1808">
        <f t="shared" ref="J12:J18" si="1">SUM(H12:I12)</f>
        <v>202449</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1067</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1059</v>
      </c>
      <c r="C17" s="1034"/>
      <c r="D17" s="1035">
        <v>2610</v>
      </c>
      <c r="E17" s="1808">
        <f>'Expenditures 15-22'!K67</f>
        <v>0</v>
      </c>
      <c r="F17" s="1036"/>
      <c r="G17" s="1808">
        <f t="shared" si="0"/>
        <v>0</v>
      </c>
      <c r="H17" s="1037"/>
      <c r="I17" s="1036"/>
      <c r="J17" s="1808">
        <f t="shared" si="1"/>
        <v>0</v>
      </c>
    </row>
    <row r="18" spans="1:10" ht="22.5" customHeight="1" x14ac:dyDescent="0.2">
      <c r="A18" s="1039">
        <v>7</v>
      </c>
      <c r="B18" s="2342" t="s">
        <v>7</v>
      </c>
      <c r="C18" s="2343"/>
      <c r="D18" s="2344"/>
      <c r="E18" s="1040"/>
      <c r="F18" s="1040"/>
      <c r="G18" s="1809">
        <f t="shared" si="0"/>
        <v>0</v>
      </c>
      <c r="H18" s="1037"/>
      <c r="I18" s="1037"/>
      <c r="J18" s="1808">
        <f t="shared" si="1"/>
        <v>0</v>
      </c>
    </row>
    <row r="19" spans="1:10" ht="12.75" customHeight="1" thickBot="1" x14ac:dyDescent="0.25">
      <c r="A19" s="1032">
        <v>8</v>
      </c>
      <c r="B19" s="1041" t="s">
        <v>1160</v>
      </c>
      <c r="D19" s="1042"/>
      <c r="E19" s="1810">
        <f t="shared" ref="E19:J19" si="2">SUM(E12:E17)-E18</f>
        <v>194645</v>
      </c>
      <c r="F19" s="1810">
        <f t="shared" si="2"/>
        <v>0</v>
      </c>
      <c r="G19" s="1810">
        <f t="shared" si="2"/>
        <v>194645</v>
      </c>
      <c r="H19" s="1810">
        <f t="shared" si="2"/>
        <v>202449</v>
      </c>
      <c r="I19" s="1810">
        <f t="shared" si="2"/>
        <v>0</v>
      </c>
      <c r="J19" s="1810">
        <f t="shared" si="2"/>
        <v>202449</v>
      </c>
    </row>
    <row r="20" spans="1:10" ht="13.5" thickTop="1" x14ac:dyDescent="0.2">
      <c r="A20" s="1032">
        <v>9</v>
      </c>
      <c r="B20" s="2345" t="s">
        <v>1980</v>
      </c>
      <c r="C20" s="2345"/>
      <c r="D20" s="2346"/>
      <c r="E20" s="1043"/>
      <c r="F20" s="1043"/>
      <c r="G20" s="1043"/>
      <c r="H20" s="1043"/>
      <c r="I20" s="1043"/>
      <c r="J20" s="1811">
        <f>IF(AND(G19&gt;0,J19&gt;0),(((J19-G19)/G19)),"Enter Budget Data")</f>
        <v>4.0093503557758994E-2</v>
      </c>
    </row>
    <row r="21" spans="1:10" ht="9" customHeight="1" x14ac:dyDescent="0.2">
      <c r="B21" s="1044"/>
    </row>
    <row r="22" spans="1:10" x14ac:dyDescent="0.2">
      <c r="A22" s="1045" t="s">
        <v>133</v>
      </c>
      <c r="B22" s="1044"/>
    </row>
    <row r="23" spans="1:10" x14ac:dyDescent="0.2">
      <c r="A23" s="1008" t="s">
        <v>1981</v>
      </c>
      <c r="B23" s="1044"/>
    </row>
    <row r="24" spans="1:10" x14ac:dyDescent="0.2">
      <c r="A24" s="1008" t="s">
        <v>1994</v>
      </c>
      <c r="B24" s="1044"/>
    </row>
    <row r="25" spans="1:10" x14ac:dyDescent="0.2">
      <c r="A25" s="1046"/>
      <c r="B25" s="1044"/>
    </row>
    <row r="26" spans="1:10" ht="20.100000000000001" customHeight="1" x14ac:dyDescent="0.2">
      <c r="B26" s="1044"/>
      <c r="C26" s="2351"/>
      <c r="D26" s="2351"/>
      <c r="E26" s="1047"/>
      <c r="F26" s="2350"/>
      <c r="G26" s="2350"/>
    </row>
    <row r="27" spans="1:10" x14ac:dyDescent="0.2">
      <c r="B27" s="1044"/>
      <c r="C27" s="1048" t="s">
        <v>1032</v>
      </c>
      <c r="D27" s="1049"/>
      <c r="E27" s="1050"/>
      <c r="F27" s="2347" t="s">
        <v>1508</v>
      </c>
      <c r="G27" s="2347"/>
    </row>
    <row r="28" spans="1:10" ht="28.5" customHeight="1" x14ac:dyDescent="0.2">
      <c r="B28" s="1044"/>
      <c r="C28" s="2349"/>
      <c r="D28" s="2349"/>
      <c r="E28" s="1051"/>
      <c r="F28" s="2349"/>
      <c r="G28" s="2349"/>
    </row>
    <row r="29" spans="1:10" x14ac:dyDescent="0.2">
      <c r="B29" s="1044"/>
      <c r="C29" s="1052" t="s">
        <v>1560</v>
      </c>
      <c r="E29" s="1053"/>
      <c r="F29" s="2348" t="s">
        <v>1509</v>
      </c>
      <c r="G29" s="2348"/>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9"/>
    </row>
    <row r="36" spans="1:10" ht="13.5" customHeight="1" x14ac:dyDescent="0.2">
      <c r="B36" s="1058"/>
      <c r="C36" s="2332" t="s">
        <v>1982</v>
      </c>
      <c r="D36" s="2331"/>
      <c r="E36" s="2331"/>
      <c r="F36" s="2331"/>
      <c r="G36" s="2331"/>
      <c r="H36" s="2331"/>
      <c r="I36" s="2331"/>
      <c r="J36" s="1060"/>
    </row>
    <row r="37" spans="1:10" ht="22.5" customHeight="1" x14ac:dyDescent="0.2">
      <c r="C37" s="2331"/>
      <c r="D37" s="2331"/>
      <c r="E37" s="2331"/>
      <c r="F37" s="2331"/>
      <c r="G37" s="2331"/>
      <c r="H37" s="2331"/>
      <c r="I37" s="2331"/>
      <c r="J37" s="1060"/>
    </row>
    <row r="38" spans="1:10" ht="7.5" customHeight="1" x14ac:dyDescent="0.2">
      <c r="C38" s="1059"/>
      <c r="D38" s="1061"/>
      <c r="E38" s="1062"/>
      <c r="F38" s="1063"/>
      <c r="G38" s="1062"/>
    </row>
    <row r="39" spans="1:10" ht="13.5" customHeight="1" x14ac:dyDescent="0.2">
      <c r="B39" s="1058"/>
      <c r="C39" s="2328" t="s">
        <v>881</v>
      </c>
      <c r="D39" s="2329"/>
      <c r="E39" s="2329"/>
      <c r="F39" s="2329"/>
      <c r="G39" s="2329"/>
      <c r="H39" s="2329"/>
      <c r="I39" s="232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2130</v>
      </c>
    </row>
    <row r="6" spans="1:2" x14ac:dyDescent="0.2">
      <c r="A6" s="1065">
        <v>2</v>
      </c>
      <c r="B6" s="329" t="s">
        <v>2131</v>
      </c>
    </row>
    <row r="7" spans="1:2" x14ac:dyDescent="0.2">
      <c r="A7" s="1065">
        <v>3</v>
      </c>
      <c r="B7" s="329" t="s">
        <v>2132</v>
      </c>
    </row>
    <row r="8" spans="1:2" x14ac:dyDescent="0.2">
      <c r="A8" s="1065">
        <v>4</v>
      </c>
      <c r="B8" s="329" t="s">
        <v>2133</v>
      </c>
    </row>
    <row r="9" spans="1:2" x14ac:dyDescent="0.2">
      <c r="A9" s="1065">
        <v>5</v>
      </c>
      <c r="B9" s="329" t="s">
        <v>2134</v>
      </c>
    </row>
    <row r="10" spans="1:2" x14ac:dyDescent="0.2">
      <c r="A10" s="1065">
        <v>6</v>
      </c>
      <c r="B10" s="329" t="s">
        <v>2135</v>
      </c>
    </row>
    <row r="11" spans="1:2" x14ac:dyDescent="0.2">
      <c r="A11" s="1065">
        <v>7</v>
      </c>
      <c r="B11" s="329" t="s">
        <v>2136</v>
      </c>
    </row>
    <row r="12" spans="1:2" x14ac:dyDescent="0.2">
      <c r="A12" s="1065">
        <v>8</v>
      </c>
      <c r="B12" s="329" t="s">
        <v>2137</v>
      </c>
    </row>
    <row r="13" spans="1:2" x14ac:dyDescent="0.2">
      <c r="A13" s="1065">
        <v>9</v>
      </c>
      <c r="B13" s="329" t="s">
        <v>2138</v>
      </c>
    </row>
    <row r="14" spans="1:2" x14ac:dyDescent="0.2">
      <c r="A14" s="1065">
        <v>10</v>
      </c>
      <c r="B14" s="329" t="s">
        <v>2139</v>
      </c>
    </row>
    <row r="15" spans="1:2" x14ac:dyDescent="0.2">
      <c r="A15" s="1065">
        <v>11</v>
      </c>
      <c r="B15" s="329" t="s">
        <v>2140</v>
      </c>
    </row>
    <row r="16" spans="1:2" x14ac:dyDescent="0.2">
      <c r="A16" s="1065">
        <v>12</v>
      </c>
      <c r="B16" s="329" t="s">
        <v>2145</v>
      </c>
    </row>
    <row r="17" spans="1:2" x14ac:dyDescent="0.2">
      <c r="A17" s="1065">
        <v>13</v>
      </c>
      <c r="B17" s="329" t="s">
        <v>2144</v>
      </c>
    </row>
    <row r="18" spans="1:2" x14ac:dyDescent="0.2">
      <c r="A18" s="1065">
        <v>14</v>
      </c>
      <c r="B18" s="329" t="s">
        <v>2141</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Wethersfield Community Unit School District No. 230</v>
      </c>
    </row>
    <row r="67" spans="1:2" x14ac:dyDescent="0.2">
      <c r="B67" s="1067">
        <f>COVER!A13</f>
        <v>28037230026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33" sqref="F3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1607</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52" t="s">
        <v>1684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1009650</xdr:colOff>
                <xdr:row>1</xdr:row>
                <xdr:rowOff>9525</xdr:rowOff>
              </from>
              <to>
                <xdr:col>1</xdr:col>
                <xdr:colOff>1924050</xdr:colOff>
                <xdr:row>5</xdr:row>
                <xdr:rowOff>47625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1689</v>
      </c>
      <c r="B1" s="2354"/>
      <c r="C1" s="2354"/>
      <c r="D1" s="2354"/>
      <c r="E1" s="2354"/>
      <c r="F1" s="2355"/>
    </row>
    <row r="2" spans="1:8" ht="45" customHeight="1" x14ac:dyDescent="0.2">
      <c r="A2" s="2363" t="s">
        <v>1986</v>
      </c>
      <c r="B2" s="2364"/>
      <c r="C2" s="2364"/>
      <c r="D2" s="2364"/>
      <c r="E2" s="2364"/>
      <c r="F2" s="2365"/>
      <c r="G2" s="1071"/>
      <c r="H2" s="1071"/>
    </row>
    <row r="3" spans="1:8" ht="57" customHeight="1" x14ac:dyDescent="0.2">
      <c r="A3" s="2366" t="s">
        <v>1685</v>
      </c>
      <c r="B3" s="2367"/>
      <c r="C3" s="2367"/>
      <c r="D3" s="2367"/>
      <c r="E3" s="2367"/>
      <c r="F3" s="2368"/>
      <c r="G3" s="1071"/>
      <c r="H3" s="1071"/>
    </row>
    <row r="4" spans="1:8" ht="14.25" customHeight="1" x14ac:dyDescent="0.2">
      <c r="A4" s="2372" t="s">
        <v>1987</v>
      </c>
      <c r="B4" s="2373"/>
      <c r="C4" s="2373"/>
      <c r="D4" s="2373"/>
      <c r="E4" s="2373"/>
      <c r="F4" s="2374"/>
      <c r="G4" s="1071"/>
      <c r="H4" s="1071"/>
    </row>
    <row r="5" spans="1:8" ht="14.25" customHeight="1" x14ac:dyDescent="0.2">
      <c r="A5" s="2375" t="s">
        <v>1983</v>
      </c>
      <c r="B5" s="2376"/>
      <c r="C5" s="2376"/>
      <c r="D5" s="2376"/>
      <c r="E5" s="2376"/>
      <c r="F5" s="2377"/>
      <c r="G5" s="1071"/>
      <c r="H5" s="1071"/>
    </row>
    <row r="6" spans="1:8" s="1072" customFormat="1" ht="41.25" customHeight="1" x14ac:dyDescent="0.2">
      <c r="A6" s="2369" t="s">
        <v>1690</v>
      </c>
      <c r="B6" s="2370"/>
      <c r="C6" s="2370"/>
      <c r="D6" s="2370"/>
      <c r="E6" s="2370"/>
      <c r="F6" s="2371"/>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4369508</v>
      </c>
      <c r="C8" s="1812">
        <f>'Acct Summary 7-8'!D8</f>
        <v>460697</v>
      </c>
      <c r="D8" s="1812">
        <f>'Acct Summary 7-8'!F8</f>
        <v>236975</v>
      </c>
      <c r="E8" s="1812">
        <f>'Acct Summary 7-8'!I8</f>
        <v>28870</v>
      </c>
      <c r="F8" s="1812">
        <f>SUM(B8:E8)</f>
        <v>5096050</v>
      </c>
    </row>
    <row r="9" spans="1:8" s="1076" customFormat="1" ht="14.25" customHeight="1" thickBot="1" x14ac:dyDescent="0.25">
      <c r="A9" s="1075" t="s">
        <v>1368</v>
      </c>
      <c r="B9" s="1813">
        <f>'Acct Summary 7-8'!C17</f>
        <v>4427652</v>
      </c>
      <c r="C9" s="1813">
        <f>'Acct Summary 7-8'!D17</f>
        <v>416968</v>
      </c>
      <c r="D9" s="1813">
        <f>'Acct Summary 7-8'!F17</f>
        <v>233377</v>
      </c>
      <c r="E9" s="1812"/>
      <c r="F9" s="1812">
        <f>SUM(B9:E9)</f>
        <v>5077997</v>
      </c>
    </row>
    <row r="10" spans="1:8" s="1076" customFormat="1" ht="14.25" thickTop="1" thickBot="1" x14ac:dyDescent="0.25">
      <c r="A10" s="1077" t="s">
        <v>1369</v>
      </c>
      <c r="B10" s="1814">
        <f>(B8-B9)</f>
        <v>-58144</v>
      </c>
      <c r="C10" s="1814">
        <f>(C8-C9)</f>
        <v>43729</v>
      </c>
      <c r="D10" s="1814">
        <f>(D8-D9)</f>
        <v>3598</v>
      </c>
      <c r="E10" s="1813">
        <f>(E8-E9)</f>
        <v>28870</v>
      </c>
      <c r="F10" s="1815">
        <f>SUM(F8-F9)</f>
        <v>18053</v>
      </c>
    </row>
    <row r="11" spans="1:8" s="1076" customFormat="1" ht="14.25" thickTop="1" thickBot="1" x14ac:dyDescent="0.25">
      <c r="A11" s="1078" t="s">
        <v>1984</v>
      </c>
      <c r="B11" s="1816">
        <f>'Acct Summary 7-8'!C81</f>
        <v>1711147</v>
      </c>
      <c r="C11" s="1816">
        <f>'Acct Summary 7-8'!D81</f>
        <v>232195</v>
      </c>
      <c r="D11" s="1816">
        <f>'Acct Summary 7-8'!F81</f>
        <v>199168</v>
      </c>
      <c r="E11" s="1816">
        <f>'Acct Summary 7-8'!I81</f>
        <v>203564</v>
      </c>
      <c r="F11" s="1817">
        <f>SUM(B11:E11)</f>
        <v>2346074</v>
      </c>
    </row>
    <row r="12" spans="1:8" ht="16.5" customHeight="1" thickTop="1" x14ac:dyDescent="0.2">
      <c r="A12" s="1079"/>
      <c r="B12" s="1080"/>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1686</v>
      </c>
      <c r="B16" s="2356"/>
      <c r="C16" s="2356"/>
      <c r="D16" s="2356"/>
      <c r="E16" s="2356"/>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664</v>
      </c>
      <c r="B3" s="2379"/>
      <c r="C3" s="2379"/>
      <c r="D3" s="2380"/>
    </row>
    <row r="4" spans="1:4" x14ac:dyDescent="0.2">
      <c r="A4" s="1149" t="s">
        <v>1691</v>
      </c>
      <c r="B4" s="1150"/>
      <c r="C4" s="1151"/>
      <c r="D4" s="1152"/>
    </row>
    <row r="5" spans="1:4" ht="21" customHeight="1" x14ac:dyDescent="0.2">
      <c r="A5" s="1145"/>
      <c r="B5" s="1146">
        <v>1</v>
      </c>
      <c r="C5" s="1147" t="s">
        <v>1834</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389" t="s">
        <v>1503</v>
      </c>
      <c r="D7" s="2390"/>
    </row>
    <row r="8" spans="1:4" s="665" customFormat="1" ht="12.75" x14ac:dyDescent="0.2">
      <c r="A8" s="1135"/>
      <c r="B8" s="1090"/>
      <c r="C8" s="1093" t="s">
        <v>1502</v>
      </c>
      <c r="D8" s="1094"/>
    </row>
    <row r="9" spans="1:4" s="665" customFormat="1" ht="14.25" customHeight="1" x14ac:dyDescent="0.2">
      <c r="A9" s="1135"/>
      <c r="B9" s="1090">
        <f>B7+1</f>
        <v>4</v>
      </c>
      <c r="C9" s="1091" t="s">
        <v>1912</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381" t="s">
        <v>1007</v>
      </c>
      <c r="B15" s="2382"/>
      <c r="C15" s="2382"/>
      <c r="D15" s="2383"/>
    </row>
    <row r="16" spans="1:4" s="665" customFormat="1" ht="24" customHeight="1" x14ac:dyDescent="0.2">
      <c r="A16" s="2384" t="s">
        <v>662</v>
      </c>
      <c r="B16" s="2385"/>
      <c r="C16" s="2385"/>
      <c r="D16" s="2386"/>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93" t="s">
        <v>313</v>
      </c>
      <c r="D21" s="2394"/>
    </row>
    <row r="22" spans="1:10" ht="12.75" x14ac:dyDescent="0.2">
      <c r="A22" s="1136"/>
      <c r="B22" s="1137">
        <v>2</v>
      </c>
      <c r="C22" s="2391" t="s">
        <v>1523</v>
      </c>
      <c r="D22" s="2392"/>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95" t="s">
        <v>535</v>
      </c>
      <c r="D43" s="2396"/>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87" t="s">
        <v>783</v>
      </c>
      <c r="D56" s="2388"/>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87" t="s">
        <v>1695</v>
      </c>
      <c r="D70" s="2388"/>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PLEASE ENTER CONTRACTS PAID IN CURRENT YEAR.</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28037230026</v>
      </c>
    </row>
    <row r="3" spans="1:2" x14ac:dyDescent="0.2">
      <c r="A3" t="s">
        <v>955</v>
      </c>
      <c r="B3" s="138" t="str">
        <f>COVER!A15</f>
        <v>Henry</v>
      </c>
    </row>
    <row r="4" spans="1:2" x14ac:dyDescent="0.2">
      <c r="A4" t="s">
        <v>1006</v>
      </c>
      <c r="B4" s="138" t="str">
        <f>COVER!A17</f>
        <v>Wethersfield Community Unit School District No. 230</v>
      </c>
    </row>
    <row r="5" spans="1:2" x14ac:dyDescent="0.2">
      <c r="A5" t="s">
        <v>703</v>
      </c>
      <c r="B5" s="138" t="str">
        <f>COVER!A38</f>
        <v>Shane Kazubowski</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Tim C. Custis, CPA</v>
      </c>
    </row>
    <row r="18" spans="1:2" x14ac:dyDescent="0.2">
      <c r="A18" t="s">
        <v>1149</v>
      </c>
      <c r="B18" s="138" t="str">
        <f>COVER!T17</f>
        <v>4200 N Knoxville Ave</v>
      </c>
    </row>
    <row r="19" spans="1:2" x14ac:dyDescent="0.2">
      <c r="A19" t="s">
        <v>885</v>
      </c>
      <c r="B19" s="138" t="str">
        <f>COVER!T25</f>
        <v>tcustis@gorenzcpa.com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702475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1711147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1704830</v>
      </c>
      <c r="D92" s="2" t="str">
        <f t="shared" si="0"/>
        <v>Error?</v>
      </c>
    </row>
    <row r="93" spans="1:4" x14ac:dyDescent="0.2">
      <c r="A93" s="5">
        <v>32</v>
      </c>
      <c r="B93" s="138">
        <f>'Assets-Liab 5-6'!C41</f>
        <v>1711147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12772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232195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232195</v>
      </c>
      <c r="D123" s="2" t="str">
        <f t="shared" si="0"/>
        <v>Error?</v>
      </c>
    </row>
    <row r="124" spans="1:4" x14ac:dyDescent="0.2">
      <c r="A124" s="5">
        <v>63</v>
      </c>
      <c r="B124" s="138">
        <f>'Assets-Liab 5-6'!D41</f>
        <v>232195</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230837</v>
      </c>
      <c r="D129" s="2" t="str">
        <f t="shared" si="1"/>
        <v>Error?</v>
      </c>
    </row>
    <row r="130" spans="1:4" x14ac:dyDescent="0.2">
      <c r="A130" s="5">
        <v>69</v>
      </c>
      <c r="B130" s="138">
        <f>'Assets-Liab 5-6'!E12</f>
        <v>0</v>
      </c>
      <c r="D130" s="2" t="str">
        <f t="shared" si="1"/>
        <v>Error?</v>
      </c>
    </row>
    <row r="131" spans="1:4" x14ac:dyDescent="0.2">
      <c r="A131" s="5">
        <v>70</v>
      </c>
      <c r="B131" s="138">
        <f>'Assets-Liab 5-6'!E13</f>
        <v>561515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439001</v>
      </c>
      <c r="D140" s="2" t="str">
        <f t="shared" si="1"/>
        <v>Error?</v>
      </c>
    </row>
    <row r="141" spans="1:4" x14ac:dyDescent="0.2">
      <c r="A141" s="5">
        <v>80</v>
      </c>
      <c r="B141" s="138">
        <f>'Assets-Liab 5-6'!E41</f>
        <v>561515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5932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199168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199168</v>
      </c>
      <c r="D170" s="2" t="str">
        <f t="shared" si="1"/>
        <v>Error?</v>
      </c>
    </row>
    <row r="171" spans="1:4" x14ac:dyDescent="0.2">
      <c r="A171" s="5">
        <v>110</v>
      </c>
      <c r="B171" s="138">
        <f>'Assets-Liab 5-6'!F41</f>
        <v>199168</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191022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111746</v>
      </c>
      <c r="D189" s="2" t="str">
        <f t="shared" si="1"/>
        <v>Error?</v>
      </c>
    </row>
    <row r="190" spans="1:4" x14ac:dyDescent="0.2">
      <c r="A190" s="5">
        <v>129</v>
      </c>
      <c r="B190" s="138">
        <f>'Assets-Liab 5-6'!G41</f>
        <v>191022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68575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68575</v>
      </c>
      <c r="D212" s="2" t="str">
        <f t="shared" si="2"/>
        <v>Error?</v>
      </c>
    </row>
    <row r="213" spans="1:4" x14ac:dyDescent="0.2">
      <c r="A213" s="12">
        <v>152</v>
      </c>
      <c r="B213" s="138">
        <f>'Assets-Liab 5-6'!H41</f>
        <v>68575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39570</v>
      </c>
      <c r="D273" s="2" t="str">
        <f t="shared" si="3"/>
        <v>Error?</v>
      </c>
    </row>
    <row r="274" spans="1:4" x14ac:dyDescent="0.2">
      <c r="A274" s="5">
        <v>213</v>
      </c>
      <c r="B274" s="138">
        <f>'Assets-Liab 5-6'!M17</f>
        <v>6301720</v>
      </c>
      <c r="D274" s="2" t="str">
        <f t="shared" si="3"/>
        <v>Error?</v>
      </c>
    </row>
    <row r="275" spans="1:4" x14ac:dyDescent="0.2">
      <c r="A275" s="5">
        <v>214</v>
      </c>
      <c r="B275" s="138">
        <f>'Assets-Liab 5-6'!M18</f>
        <v>1089969</v>
      </c>
      <c r="D275" s="2" t="str">
        <f t="shared" si="3"/>
        <v>Error?</v>
      </c>
    </row>
    <row r="276" spans="1:4" x14ac:dyDescent="0.2">
      <c r="A276" s="5">
        <v>215</v>
      </c>
      <c r="B276" s="138">
        <f>'Assets-Liab 5-6'!M19</f>
        <v>1468799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8900058</v>
      </c>
      <c r="C279" s="2" t="s">
        <v>572</v>
      </c>
      <c r="D279" s="2" t="str">
        <f t="shared" si="3"/>
        <v>Error?</v>
      </c>
    </row>
    <row r="280" spans="1:4" x14ac:dyDescent="0.2">
      <c r="A280" s="5">
        <v>219</v>
      </c>
      <c r="B280" s="138">
        <f>'Assets-Liab 5-6'!M40</f>
        <v>8900058</v>
      </c>
      <c r="D280" s="2" t="str">
        <f t="shared" si="3"/>
        <v>Error?</v>
      </c>
    </row>
    <row r="281" spans="1:4" x14ac:dyDescent="0.2">
      <c r="A281" s="5">
        <v>220</v>
      </c>
      <c r="B281" s="138">
        <f>'Assets-Liab 5-6'!M41</f>
        <v>8900058</v>
      </c>
      <c r="C281" s="2" t="s">
        <v>572</v>
      </c>
      <c r="D281" s="2" t="str">
        <f t="shared" si="3"/>
        <v>Error?</v>
      </c>
    </row>
    <row r="282" spans="1:4" x14ac:dyDescent="0.2">
      <c r="A282" s="5">
        <v>221</v>
      </c>
      <c r="B282" s="138">
        <f>'Assets-Liab 5-6'!N21</f>
        <v>561515</v>
      </c>
      <c r="D282" s="2" t="str">
        <f t="shared" si="3"/>
        <v>Error?</v>
      </c>
    </row>
    <row r="283" spans="1:4" x14ac:dyDescent="0.2">
      <c r="A283" s="5">
        <v>222</v>
      </c>
      <c r="B283" s="138">
        <f>'Assets-Liab 5-6'!N22</f>
        <v>1234441</v>
      </c>
      <c r="D283" s="2" t="str">
        <f t="shared" si="3"/>
        <v>Error?</v>
      </c>
    </row>
    <row r="284" spans="1:4" x14ac:dyDescent="0.2">
      <c r="A284" s="5">
        <v>223</v>
      </c>
      <c r="B284" s="138">
        <f>'Assets-Liab 5-6'!N23</f>
        <v>1795956</v>
      </c>
      <c r="C284" s="2" t="s">
        <v>572</v>
      </c>
      <c r="D284" s="2" t="str">
        <f t="shared" si="3"/>
        <v>Error?</v>
      </c>
    </row>
    <row r="285" spans="1:4" x14ac:dyDescent="0.2">
      <c r="A285" s="5">
        <v>224</v>
      </c>
      <c r="B285" s="138">
        <f>'Assets-Liab 5-6'!N36</f>
        <v>1795956</v>
      </c>
      <c r="D285" s="2" t="str">
        <f t="shared" si="3"/>
        <v>Error?</v>
      </c>
    </row>
    <row r="286" spans="1:4" x14ac:dyDescent="0.2">
      <c r="A286" s="10">
        <v>225</v>
      </c>
      <c r="D286" s="2" t="str">
        <f t="shared" si="3"/>
        <v>OK</v>
      </c>
    </row>
    <row r="287" spans="1:4" x14ac:dyDescent="0.2">
      <c r="A287" s="5">
        <v>226</v>
      </c>
      <c r="B287" s="138">
        <f>'Assets-Liab 5-6'!N37</f>
        <v>1795956</v>
      </c>
      <c r="C287" s="2" t="s">
        <v>572</v>
      </c>
      <c r="D287" s="2" t="str">
        <f t="shared" si="3"/>
        <v>Error?</v>
      </c>
    </row>
    <row r="288" spans="1:4" x14ac:dyDescent="0.2">
      <c r="A288" s="5">
        <v>227</v>
      </c>
      <c r="B288" s="138">
        <f>'Assets-Liab 5-6'!N41</f>
        <v>1795956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1717944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77570</v>
      </c>
      <c r="D717" s="2" t="str">
        <f t="shared" si="10"/>
        <v>Error?</v>
      </c>
    </row>
    <row r="718" spans="1:4" x14ac:dyDescent="0.2">
      <c r="A718" s="5">
        <v>657</v>
      </c>
      <c r="B718" s="138">
        <f>'Expenditures 15-22'!C14</f>
        <v>89509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2226362</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44178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36</v>
      </c>
      <c r="D726" s="2" t="str">
        <f t="shared" si="10"/>
        <v>Error?</v>
      </c>
    </row>
    <row r="727" spans="1:4" x14ac:dyDescent="0.2">
      <c r="A727" s="5">
        <v>666</v>
      </c>
      <c r="B727" s="138">
        <f>'Expenditures 15-22'!C42</f>
        <v>44214</v>
      </c>
      <c r="C727" s="2" t="s">
        <v>572</v>
      </c>
      <c r="D727" s="2" t="str">
        <f t="shared" si="10"/>
        <v>Error?</v>
      </c>
    </row>
    <row r="728" spans="1:4" x14ac:dyDescent="0.2">
      <c r="A728" s="5">
        <v>667</v>
      </c>
      <c r="B728" s="138">
        <f>'Expenditures 15-22'!C44</f>
        <v>12257</v>
      </c>
      <c r="D728" s="2" t="str">
        <f t="shared" si="10"/>
        <v>Error?</v>
      </c>
    </row>
    <row r="729" spans="1:4" x14ac:dyDescent="0.2">
      <c r="A729" s="5">
        <v>668</v>
      </c>
      <c r="B729" s="138">
        <f>'Expenditures 15-22'!C45</f>
        <v>118381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130638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153296</v>
      </c>
      <c r="D733" s="2" t="str">
        <f t="shared" si="10"/>
        <v>Error?</v>
      </c>
    </row>
    <row r="734" spans="1:4" x14ac:dyDescent="0.2">
      <c r="A734" s="5">
        <v>673</v>
      </c>
      <c r="B734" s="138">
        <f>'Expenditures 15-22'!C53</f>
        <v>153296</v>
      </c>
      <c r="C734" s="2" t="s">
        <v>572</v>
      </c>
      <c r="D734" s="2" t="str">
        <f t="shared" si="10"/>
        <v>Error?</v>
      </c>
    </row>
    <row r="735" spans="1:4" x14ac:dyDescent="0.2">
      <c r="A735" s="5">
        <v>674</v>
      </c>
      <c r="B735" s="138">
        <f>'Expenditures 15-22'!C55</f>
        <v>201533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201533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44303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90827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135130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664811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2891173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454750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24354</v>
      </c>
      <c r="D775" s="2" t="str">
        <f t="shared" si="11"/>
        <v>Error?</v>
      </c>
    </row>
    <row r="776" spans="1:4" x14ac:dyDescent="0.2">
      <c r="A776" s="5">
        <v>715</v>
      </c>
      <c r="B776" s="138">
        <f>'Expenditures 15-22'!D14</f>
        <v>9607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586404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12884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12884</v>
      </c>
      <c r="C785" s="2" t="s">
        <v>572</v>
      </c>
      <c r="D785" s="2" t="str">
        <f t="shared" si="11"/>
        <v>Error?</v>
      </c>
    </row>
    <row r="786" spans="1:4" x14ac:dyDescent="0.2">
      <c r="A786" s="5">
        <v>725</v>
      </c>
      <c r="B786" s="138">
        <f>'Expenditures 15-22'!D44</f>
        <v>5316</v>
      </c>
      <c r="D786" s="2" t="str">
        <f t="shared" si="11"/>
        <v>Error?</v>
      </c>
    </row>
    <row r="787" spans="1:4" x14ac:dyDescent="0.2">
      <c r="A787" s="5">
        <v>726</v>
      </c>
      <c r="B787" s="138">
        <f>'Expenditures 15-22'!D45</f>
        <v>23186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28502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38626</v>
      </c>
      <c r="D791" s="2" t="str">
        <f t="shared" si="11"/>
        <v>Error?</v>
      </c>
    </row>
    <row r="792" spans="1:4" x14ac:dyDescent="0.2">
      <c r="A792" s="5">
        <v>731</v>
      </c>
      <c r="B792" s="138">
        <f>'Expenditures 15-22'!D53</f>
        <v>38626</v>
      </c>
      <c r="C792" s="2" t="s">
        <v>572</v>
      </c>
      <c r="D792" s="2" t="str">
        <f t="shared" si="11"/>
        <v>Error?</v>
      </c>
    </row>
    <row r="793" spans="1:4" x14ac:dyDescent="0.2">
      <c r="A793" s="5">
        <v>732</v>
      </c>
      <c r="B793" s="138">
        <f>'Expenditures 15-22'!D55</f>
        <v>38288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38288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15433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23713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142013</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728417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1005</v>
      </c>
      <c r="D833" s="2" t="str">
        <f t="shared" si="12"/>
        <v>Error?</v>
      </c>
    </row>
    <row r="834" spans="1:4" x14ac:dyDescent="0.2">
      <c r="A834" s="5">
        <v>773</v>
      </c>
      <c r="B834" s="138">
        <f>'Expenditures 15-22'!E14</f>
        <v>23471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49871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458</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47491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47491</v>
      </c>
      <c r="C847" s="2" t="s">
        <v>572</v>
      </c>
      <c r="D847" s="2" t="str">
        <f t="shared" si="12"/>
        <v>Error?</v>
      </c>
    </row>
    <row r="848" spans="1:4" x14ac:dyDescent="0.2">
      <c r="A848" s="5">
        <v>787</v>
      </c>
      <c r="B848" s="138">
        <f>'Expenditures 15-22'!E49</f>
        <v>20417</v>
      </c>
      <c r="D848" s="2" t="str">
        <f t="shared" si="12"/>
        <v>Error?</v>
      </c>
    </row>
    <row r="849" spans="1:4" x14ac:dyDescent="0.2">
      <c r="A849" s="5">
        <v>788</v>
      </c>
      <c r="B849" s="138">
        <f>'Expenditures 15-22'!E50</f>
        <v>865</v>
      </c>
      <c r="D849" s="2" t="str">
        <f t="shared" si="12"/>
        <v>Error?</v>
      </c>
    </row>
    <row r="850" spans="1:4" x14ac:dyDescent="0.2">
      <c r="A850" s="5">
        <v>789</v>
      </c>
      <c r="B850" s="138">
        <f>'Expenditures 15-22'!E53</f>
        <v>21282</v>
      </c>
      <c r="C850" s="2" t="s">
        <v>572</v>
      </c>
      <c r="D850" s="2" t="str">
        <f t="shared" si="12"/>
        <v>Error?</v>
      </c>
    </row>
    <row r="851" spans="1:4" x14ac:dyDescent="0.2">
      <c r="A851" s="5">
        <v>790</v>
      </c>
      <c r="B851" s="138">
        <f>'Expenditures 15-22'!E55</f>
        <v>1771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1771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14351</v>
      </c>
      <c r="D855" s="2" t="str">
        <f t="shared" si="12"/>
        <v>Error?</v>
      </c>
    </row>
    <row r="856" spans="1:4" x14ac:dyDescent="0.2">
      <c r="A856" s="5">
        <v>795</v>
      </c>
      <c r="B856" s="138">
        <f>'Expenditures 15-22'!E61</f>
        <v>2493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18556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89558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142929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58409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15623</v>
      </c>
      <c r="D891" s="2" t="str">
        <f t="shared" si="12"/>
        <v>Error?</v>
      </c>
    </row>
    <row r="892" spans="1:4" x14ac:dyDescent="0.2">
      <c r="A892" s="5">
        <v>831</v>
      </c>
      <c r="B892" s="138">
        <f>'Expenditures 15-22'!F14</f>
        <v>42259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136378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789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20471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20471</v>
      </c>
      <c r="C905" s="2" t="s">
        <v>572</v>
      </c>
      <c r="D905" s="2" t="str">
        <f t="shared" si="13"/>
        <v>Error?</v>
      </c>
    </row>
    <row r="906" spans="1:4" x14ac:dyDescent="0.2">
      <c r="A906" s="5">
        <v>845</v>
      </c>
      <c r="B906" s="138">
        <f>'Expenditures 15-22'!F49</f>
        <v>480</v>
      </c>
      <c r="D906" s="2" t="str">
        <f t="shared" si="13"/>
        <v>Error?</v>
      </c>
    </row>
    <row r="907" spans="1:4" x14ac:dyDescent="0.2">
      <c r="A907" s="5">
        <v>846</v>
      </c>
      <c r="B907" s="138">
        <f>'Expenditures 15-22'!F50</f>
        <v>83</v>
      </c>
      <c r="D907" s="2" t="str">
        <f t="shared" si="13"/>
        <v>Error?</v>
      </c>
    </row>
    <row r="908" spans="1:4" x14ac:dyDescent="0.2">
      <c r="A908" s="5">
        <v>847</v>
      </c>
      <c r="B908" s="138">
        <f>'Expenditures 15-22'!F53</f>
        <v>563</v>
      </c>
      <c r="C908" s="2" t="s">
        <v>572</v>
      </c>
      <c r="D908" s="2" t="str">
        <f t="shared" si="13"/>
        <v>Error?</v>
      </c>
    </row>
    <row r="909" spans="1:4" x14ac:dyDescent="0.2">
      <c r="A909" s="5">
        <v>848</v>
      </c>
      <c r="B909" s="138">
        <f>'Expenditures 15-22'!F55</f>
        <v>1332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1332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2296</v>
      </c>
      <c r="D913" s="2" t="str">
        <f t="shared" si="13"/>
        <v>Error?</v>
      </c>
    </row>
    <row r="914" spans="1:4" x14ac:dyDescent="0.2">
      <c r="A914" s="5">
        <v>853</v>
      </c>
      <c r="B914" s="138">
        <f>'Expenditures 15-22'!F61</f>
        <v>4497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100638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107431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130586</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266964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2356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47307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47307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560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560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47867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50223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36375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14913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51288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4929</v>
      </c>
      <c r="D1022" s="2" t="str">
        <f t="shared" si="14"/>
        <v>Error?</v>
      </c>
    </row>
    <row r="1023" spans="1:4" x14ac:dyDescent="0.2">
      <c r="A1023" s="5">
        <v>962</v>
      </c>
      <c r="B1023" s="138">
        <f>'Expenditures 15-22'!H50</f>
        <v>1775</v>
      </c>
      <c r="D1023" s="2" t="str">
        <f t="shared" ref="D1023:D1086" si="15">IF(ISBLANK(B1023),"OK",IF(A1023-B1023=0,"OK","Error?"))</f>
        <v>Error?</v>
      </c>
    </row>
    <row r="1024" spans="1:4" x14ac:dyDescent="0.2">
      <c r="A1024" s="5">
        <v>963</v>
      </c>
      <c r="B1024" s="138">
        <f>'Expenditures 15-22'!H53</f>
        <v>6704</v>
      </c>
      <c r="C1024" s="2" t="s">
        <v>572</v>
      </c>
      <c r="D1024" s="2" t="str">
        <f t="shared" si="15"/>
        <v>Error?</v>
      </c>
    </row>
    <row r="1025" spans="1:4" x14ac:dyDescent="0.2">
      <c r="A1025" s="5">
        <v>964</v>
      </c>
      <c r="B1025" s="138">
        <f>'Expenditures 15-22'!H55</f>
        <v>196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6900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289758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347946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2270811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118552</v>
      </c>
      <c r="C1105" s="2" t="s">
        <v>572</v>
      </c>
      <c r="D1105" s="2" t="str">
        <f t="shared" si="16"/>
        <v>Error?</v>
      </c>
    </row>
    <row r="1106" spans="1:4" x14ac:dyDescent="0.2">
      <c r="A1106" s="5">
        <v>1045</v>
      </c>
      <c r="B1106" s="138">
        <f>'Expenditures 15-22'!K14</f>
        <v>180916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3052659</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57062</v>
      </c>
      <c r="C1110" s="2" t="s">
        <v>572</v>
      </c>
      <c r="D1110" s="2" t="str">
        <f t="shared" si="16"/>
        <v>Error?</v>
      </c>
    </row>
    <row r="1111" spans="1:4" x14ac:dyDescent="0.2">
      <c r="A1111" s="5">
        <v>1050</v>
      </c>
      <c r="B1111" s="138">
        <f>'Expenditures 15-22'!K38</f>
        <v>1247</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36</v>
      </c>
      <c r="C1114" s="2" t="s">
        <v>572</v>
      </c>
      <c r="D1114" s="2" t="str">
        <f t="shared" si="16"/>
        <v>Error?</v>
      </c>
    </row>
    <row r="1115" spans="1:4" x14ac:dyDescent="0.2">
      <c r="A1115" s="5">
        <v>1054</v>
      </c>
      <c r="B1115" s="138">
        <f>'Expenditures 15-22'!K42</f>
        <v>58345</v>
      </c>
      <c r="C1115" s="2" t="s">
        <v>572</v>
      </c>
      <c r="D1115" s="2" t="str">
        <f t="shared" si="16"/>
        <v>Error?</v>
      </c>
    </row>
    <row r="1116" spans="1:4" x14ac:dyDescent="0.2">
      <c r="A1116" s="5">
        <v>1055</v>
      </c>
      <c r="B1116" s="138">
        <f>'Expenditures 15-22'!K44</f>
        <v>17573</v>
      </c>
      <c r="C1116" s="2" t="s">
        <v>572</v>
      </c>
      <c r="D1116" s="2" t="str">
        <f t="shared" si="16"/>
        <v>Error?</v>
      </c>
    </row>
    <row r="1117" spans="1:4" x14ac:dyDescent="0.2">
      <c r="A1117" s="5">
        <v>1056</v>
      </c>
      <c r="B1117" s="138">
        <f>'Expenditures 15-22'!K45</f>
        <v>256836</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274409</v>
      </c>
      <c r="C1119" s="2" t="s">
        <v>572</v>
      </c>
      <c r="D1119" s="2" t="str">
        <f t="shared" si="16"/>
        <v>Error?</v>
      </c>
    </row>
    <row r="1120" spans="1:4" x14ac:dyDescent="0.2">
      <c r="A1120" s="5">
        <v>1059</v>
      </c>
      <c r="B1120" s="138">
        <f>'Expenditures 15-22'!K49</f>
        <v>25826</v>
      </c>
      <c r="C1120" s="2" t="s">
        <v>572</v>
      </c>
      <c r="D1120" s="2" t="str">
        <f t="shared" si="16"/>
        <v>Error?</v>
      </c>
    </row>
    <row r="1121" spans="1:4" x14ac:dyDescent="0.2">
      <c r="A1121" s="5">
        <v>1060</v>
      </c>
      <c r="B1121" s="138">
        <f>'Expenditures 15-22'!K50</f>
        <v>194645</v>
      </c>
      <c r="C1121" s="2" t="s">
        <v>572</v>
      </c>
      <c r="D1121" s="2" t="str">
        <f t="shared" si="16"/>
        <v>Error?</v>
      </c>
    </row>
    <row r="1122" spans="1:4" x14ac:dyDescent="0.2">
      <c r="A1122" s="5">
        <v>1061</v>
      </c>
      <c r="B1122" s="138">
        <f>'Expenditures 15-22'!K53</f>
        <v>220471</v>
      </c>
      <c r="C1122" s="2" t="s">
        <v>572</v>
      </c>
      <c r="D1122" s="2" t="str">
        <f t="shared" si="16"/>
        <v>Error?</v>
      </c>
    </row>
    <row r="1123" spans="1:4" x14ac:dyDescent="0.2">
      <c r="A1123" s="5">
        <v>1062</v>
      </c>
      <c r="B1123" s="138">
        <f>'Expenditures 15-22'!K55</f>
        <v>243680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243680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69230</v>
      </c>
      <c r="C1127" s="2" t="s">
        <v>572</v>
      </c>
      <c r="D1127" s="2" t="str">
        <f t="shared" si="16"/>
        <v>Error?</v>
      </c>
    </row>
    <row r="1128" spans="1:4" x14ac:dyDescent="0.2">
      <c r="A1128" s="5">
        <v>1067</v>
      </c>
      <c r="B1128" s="138">
        <f>'Expenditures 15-22'!K61</f>
        <v>6990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208610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284830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1081735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293258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4427652</v>
      </c>
      <c r="C1152" s="2" t="s">
        <v>572</v>
      </c>
      <c r="D1152" s="2" t="str">
        <f t="shared" si="17"/>
        <v>Error?</v>
      </c>
    </row>
    <row r="1153" spans="1:4" x14ac:dyDescent="0.2">
      <c r="A1153" s="5">
        <v>1092</v>
      </c>
      <c r="B1153" s="138">
        <f>'Expenditures 15-22'!K115</f>
        <v>-58144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195223</v>
      </c>
      <c r="D1221" s="2" t="str">
        <f t="shared" si="18"/>
        <v>Error?</v>
      </c>
    </row>
    <row r="1222" spans="1:4" x14ac:dyDescent="0.2">
      <c r="A1222" s="10">
        <v>1161</v>
      </c>
      <c r="D1222" s="2" t="str">
        <f t="shared" si="18"/>
        <v>OK</v>
      </c>
    </row>
    <row r="1223" spans="1:4" x14ac:dyDescent="0.2">
      <c r="A1223" s="5">
        <v>1162</v>
      </c>
      <c r="B1223" s="138">
        <f>'Expenditures 15-22'!C127</f>
        <v>195223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195223</v>
      </c>
      <c r="C1225" s="2" t="s">
        <v>572</v>
      </c>
      <c r="D1225" s="2" t="str">
        <f t="shared" si="18"/>
        <v>Error?</v>
      </c>
    </row>
    <row r="1226" spans="1:4" x14ac:dyDescent="0.2">
      <c r="A1226" s="5">
        <v>1165</v>
      </c>
      <c r="B1226" s="138">
        <f>'Expenditures 15-22'!C151</f>
        <v>195223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37728</v>
      </c>
      <c r="D1229" s="2" t="str">
        <f t="shared" si="18"/>
        <v>Error?</v>
      </c>
    </row>
    <row r="1230" spans="1:4" x14ac:dyDescent="0.2">
      <c r="A1230" s="10">
        <v>1169</v>
      </c>
      <c r="D1230" s="2" t="str">
        <f t="shared" si="18"/>
        <v>OK</v>
      </c>
    </row>
    <row r="1231" spans="1:4" x14ac:dyDescent="0.2">
      <c r="A1231" s="5">
        <v>1170</v>
      </c>
      <c r="B1231" s="138">
        <f>'Expenditures 15-22'!D127</f>
        <v>37728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37728</v>
      </c>
      <c r="C1233" s="2" t="s">
        <v>572</v>
      </c>
      <c r="D1233" s="2" t="str">
        <f t="shared" si="18"/>
        <v>Error?</v>
      </c>
    </row>
    <row r="1234" spans="1:4" x14ac:dyDescent="0.2">
      <c r="A1234" s="5">
        <v>1173</v>
      </c>
      <c r="B1234" s="138">
        <f>'Expenditures 15-22'!D151</f>
        <v>37728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146564</v>
      </c>
      <c r="D1237" s="2" t="str">
        <f t="shared" si="18"/>
        <v>Error?</v>
      </c>
    </row>
    <row r="1238" spans="1:4" x14ac:dyDescent="0.2">
      <c r="A1238" s="10">
        <v>1177</v>
      </c>
      <c r="D1238" s="2" t="str">
        <f t="shared" si="18"/>
        <v>OK</v>
      </c>
    </row>
    <row r="1239" spans="1:4" x14ac:dyDescent="0.2">
      <c r="A1239" s="5">
        <v>1178</v>
      </c>
      <c r="B1239" s="138">
        <f>'Expenditures 15-22'!E127</f>
        <v>146564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146564</v>
      </c>
      <c r="C1241" s="2" t="s">
        <v>572</v>
      </c>
      <c r="D1241" s="2" t="str">
        <f t="shared" si="18"/>
        <v>Error?</v>
      </c>
    </row>
    <row r="1242" spans="1:4" x14ac:dyDescent="0.2">
      <c r="A1242" s="5">
        <v>1181</v>
      </c>
      <c r="B1242" s="138">
        <f>'Expenditures 15-22'!E151</f>
        <v>146564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24588</v>
      </c>
      <c r="D1245" s="2" t="str">
        <f t="shared" si="18"/>
        <v>Error?</v>
      </c>
    </row>
    <row r="1246" spans="1:4" x14ac:dyDescent="0.2">
      <c r="A1246" s="10">
        <v>1185</v>
      </c>
      <c r="D1246" s="2" t="str">
        <f t="shared" si="18"/>
        <v>OK</v>
      </c>
    </row>
    <row r="1247" spans="1:4" x14ac:dyDescent="0.2">
      <c r="A1247" s="5">
        <v>1186</v>
      </c>
      <c r="B1247" s="138">
        <f>'Expenditures 15-22'!F127</f>
        <v>24588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24588</v>
      </c>
      <c r="C1249" s="2" t="s">
        <v>572</v>
      </c>
      <c r="D1249" s="2" t="str">
        <f t="shared" si="18"/>
        <v>Error?</v>
      </c>
    </row>
    <row r="1250" spans="1:4" x14ac:dyDescent="0.2">
      <c r="A1250" s="5">
        <v>1189</v>
      </c>
      <c r="B1250" s="138">
        <f>'Expenditures 15-22'!F151</f>
        <v>24588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12865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12865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12865</v>
      </c>
      <c r="C1258" s="2" t="s">
        <v>572</v>
      </c>
      <c r="D1258" s="2" t="str">
        <f t="shared" si="18"/>
        <v>Error?</v>
      </c>
    </row>
    <row r="1259" spans="1:4" x14ac:dyDescent="0.2">
      <c r="A1259" s="5">
        <v>1198</v>
      </c>
      <c r="B1259" s="138">
        <f>'Expenditures 15-22'!G151</f>
        <v>12865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416968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416968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416968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416968</v>
      </c>
      <c r="C1288" s="2" t="s">
        <v>572</v>
      </c>
      <c r="D1288" s="2" t="str">
        <f t="shared" si="19"/>
        <v>Error?</v>
      </c>
    </row>
    <row r="1289" spans="1:4" x14ac:dyDescent="0.2">
      <c r="A1289" s="5">
        <v>1228</v>
      </c>
      <c r="B1289" s="138">
        <f>'Expenditures 15-22'!K152</f>
        <v>43729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572</v>
      </c>
      <c r="D1308" s="2" t="str">
        <f t="shared" si="19"/>
        <v>Error?</v>
      </c>
    </row>
    <row r="1309" spans="1:4" x14ac:dyDescent="0.2">
      <c r="A1309" s="5">
        <v>1248</v>
      </c>
      <c r="B1309" s="138">
        <f>'Expenditures 15-22'!E174</f>
        <v>500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35852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299850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335702</v>
      </c>
      <c r="C1317" s="2" t="s">
        <v>572</v>
      </c>
      <c r="D1317" s="2" t="str">
        <f t="shared" si="19"/>
        <v>Error?</v>
      </c>
    </row>
    <row r="1318" spans="1:4" x14ac:dyDescent="0.2">
      <c r="A1318" s="5">
        <v>1257</v>
      </c>
      <c r="B1318" s="138">
        <f>'Expenditures 15-22'!H174</f>
        <v>335702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35852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299850</v>
      </c>
      <c r="C1329" s="2" t="s">
        <v>572</v>
      </c>
      <c r="D1329" s="2" t="str">
        <f t="shared" si="19"/>
        <v>Error?</v>
      </c>
    </row>
    <row r="1330" spans="1:4" x14ac:dyDescent="0.2">
      <c r="A1330" s="5">
        <v>1269</v>
      </c>
      <c r="B1330" s="138">
        <f>'Expenditures 15-22'!K171</f>
        <v>500</v>
      </c>
      <c r="C1330" s="2" t="s">
        <v>572</v>
      </c>
      <c r="D1330" s="2" t="str">
        <f t="shared" si="19"/>
        <v>Error?</v>
      </c>
    </row>
    <row r="1331" spans="1:4" x14ac:dyDescent="0.2">
      <c r="A1331" s="5">
        <v>1270</v>
      </c>
      <c r="B1331" s="138">
        <f>'Expenditures 15-22'!K172</f>
        <v>336202</v>
      </c>
      <c r="C1331" s="2" t="s">
        <v>572</v>
      </c>
      <c r="D1331" s="2" t="str">
        <f t="shared" si="19"/>
        <v>Error?</v>
      </c>
    </row>
    <row r="1332" spans="1:4" x14ac:dyDescent="0.2">
      <c r="A1332" s="5">
        <v>1271</v>
      </c>
      <c r="B1332" s="138">
        <f>'Expenditures 15-22'!K174</f>
        <v>336202</v>
      </c>
      <c r="C1332" s="2" t="s">
        <v>572</v>
      </c>
      <c r="D1332" s="2" t="str">
        <f t="shared" si="19"/>
        <v>Error?</v>
      </c>
    </row>
    <row r="1333" spans="1:4" x14ac:dyDescent="0.2">
      <c r="A1333" s="5">
        <v>1272</v>
      </c>
      <c r="B1333" s="138">
        <f>'Expenditures 15-22'!K175</f>
        <v>-6453</v>
      </c>
      <c r="C1333" s="2" t="s">
        <v>572</v>
      </c>
      <c r="D1333" s="2" t="str">
        <f t="shared" si="19"/>
        <v>Error?</v>
      </c>
    </row>
    <row r="1334" spans="1:4" x14ac:dyDescent="0.2">
      <c r="A1334" s="10">
        <v>1273</v>
      </c>
      <c r="D1334" s="2" t="str">
        <f t="shared" si="19"/>
        <v>OK</v>
      </c>
    </row>
    <row r="1335" spans="1:4" x14ac:dyDescent="0.2">
      <c r="A1335" s="5">
        <v>1274</v>
      </c>
      <c r="B1335" s="138">
        <f>'Expenditures 15-22'!C182</f>
        <v>139548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139548</v>
      </c>
      <c r="C1339" s="2" t="s">
        <v>572</v>
      </c>
      <c r="D1339" s="2" t="str">
        <f t="shared" si="19"/>
        <v>Error?</v>
      </c>
    </row>
    <row r="1340" spans="1:4" x14ac:dyDescent="0.2">
      <c r="A1340" s="5">
        <v>1279</v>
      </c>
      <c r="B1340" s="138">
        <f>'Expenditures 15-22'!C210</f>
        <v>139548</v>
      </c>
      <c r="C1340" s="2" t="s">
        <v>572</v>
      </c>
      <c r="D1340" s="2" t="str">
        <f t="shared" si="19"/>
        <v>Error?</v>
      </c>
    </row>
    <row r="1341" spans="1:4" x14ac:dyDescent="0.2">
      <c r="A1341" s="5">
        <v>1280</v>
      </c>
      <c r="B1341" s="138">
        <f>'Expenditures 15-22'!D182</f>
        <v>2309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2309</v>
      </c>
      <c r="C1345" s="2" t="s">
        <v>572</v>
      </c>
      <c r="D1345" s="2" t="str">
        <f t="shared" si="20"/>
        <v>Error?</v>
      </c>
    </row>
    <row r="1346" spans="1:4" x14ac:dyDescent="0.2">
      <c r="A1346" s="5">
        <v>1285</v>
      </c>
      <c r="B1346" s="138">
        <f>'Expenditures 15-22'!D210</f>
        <v>2309</v>
      </c>
      <c r="C1346" s="2" t="s">
        <v>572</v>
      </c>
      <c r="D1346" s="2" t="str">
        <f t="shared" si="20"/>
        <v>Error?</v>
      </c>
    </row>
    <row r="1347" spans="1:4" x14ac:dyDescent="0.2">
      <c r="A1347" s="5">
        <v>1286</v>
      </c>
      <c r="B1347" s="138">
        <f>'Expenditures 15-22'!E182</f>
        <v>27601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27601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27601</v>
      </c>
      <c r="C1353" s="2" t="s">
        <v>572</v>
      </c>
      <c r="D1353" s="2" t="str">
        <f t="shared" si="20"/>
        <v>Error?</v>
      </c>
    </row>
    <row r="1354" spans="1:4" x14ac:dyDescent="0.2">
      <c r="A1354" s="5">
        <v>1293</v>
      </c>
      <c r="B1354" s="138">
        <f>'Expenditures 15-22'!F182</f>
        <v>25899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25899</v>
      </c>
      <c r="C1358" s="2" t="s">
        <v>572</v>
      </c>
      <c r="D1358" s="2" t="str">
        <f t="shared" si="20"/>
        <v>Error?</v>
      </c>
    </row>
    <row r="1359" spans="1:4" x14ac:dyDescent="0.2">
      <c r="A1359" s="5">
        <v>1298</v>
      </c>
      <c r="B1359" s="138">
        <f>'Expenditures 15-22'!F210</f>
        <v>25899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541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541</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37479</v>
      </c>
      <c r="C1375" s="2" t="s">
        <v>572</v>
      </c>
      <c r="D1375" s="2" t="str">
        <f t="shared" si="20"/>
        <v>Error?</v>
      </c>
    </row>
    <row r="1376" spans="1:4" x14ac:dyDescent="0.2">
      <c r="A1376" s="5">
        <v>1315</v>
      </c>
      <c r="B1376" s="138">
        <f>'Expenditures 15-22'!H210</f>
        <v>38020</v>
      </c>
      <c r="C1376" s="2" t="s">
        <v>572</v>
      </c>
      <c r="D1376" s="2" t="str">
        <f t="shared" si="20"/>
        <v>Error?</v>
      </c>
    </row>
    <row r="1377" spans="1:4" x14ac:dyDescent="0.2">
      <c r="A1377" s="5">
        <v>1316</v>
      </c>
      <c r="B1377" s="138">
        <f>'Expenditures 15-22'!K182</f>
        <v>195898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195898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37479</v>
      </c>
      <c r="C1387" s="2" t="s">
        <v>572</v>
      </c>
      <c r="D1387" s="2" t="str">
        <f t="shared" si="20"/>
        <v>Error?</v>
      </c>
    </row>
    <row r="1388" spans="1:4" x14ac:dyDescent="0.2">
      <c r="A1388" s="5">
        <v>1327</v>
      </c>
      <c r="B1388" s="138">
        <f>'Expenditures 15-22'!K210</f>
        <v>233377</v>
      </c>
      <c r="C1388" s="2" t="s">
        <v>572</v>
      </c>
      <c r="D1388" s="2" t="str">
        <f t="shared" si="20"/>
        <v>Error?</v>
      </c>
    </row>
    <row r="1389" spans="1:4" x14ac:dyDescent="0.2">
      <c r="A1389" s="5">
        <v>1328</v>
      </c>
      <c r="B1389" s="138">
        <f>'Expenditures 15-22'!K211</f>
        <v>3598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998</v>
      </c>
      <c r="D1407" s="2" t="str">
        <f t="shared" ref="D1407:D1470" si="21">IF(ISBLANK(B1407),"OK",IF(A1407-B1407=0,"OK","Error?"))</f>
        <v>Error?</v>
      </c>
    </row>
    <row r="1408" spans="1:4" x14ac:dyDescent="0.2">
      <c r="A1408" s="5">
        <v>1347</v>
      </c>
      <c r="B1408" s="138">
        <f>'Expenditures 15-22'!D223</f>
        <v>1323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53244</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v>
      </c>
      <c r="D1416" s="2" t="str">
        <f t="shared" si="21"/>
        <v>Error?</v>
      </c>
    </row>
    <row r="1417" spans="1:4" x14ac:dyDescent="0.2">
      <c r="A1417" s="5">
        <v>1356</v>
      </c>
      <c r="B1417" s="138">
        <f>'Expenditures 15-22'!D238</f>
        <v>635</v>
      </c>
      <c r="C1417" s="2" t="s">
        <v>572</v>
      </c>
      <c r="D1417" s="2" t="str">
        <f t="shared" si="21"/>
        <v>Error?</v>
      </c>
    </row>
    <row r="1418" spans="1:4" x14ac:dyDescent="0.2">
      <c r="A1418" s="5">
        <v>1357</v>
      </c>
      <c r="B1418" s="138">
        <f>'Expenditures 15-22'!D240</f>
        <v>177</v>
      </c>
      <c r="D1418" s="2" t="str">
        <f t="shared" si="21"/>
        <v>Error?</v>
      </c>
    </row>
    <row r="1419" spans="1:4" x14ac:dyDescent="0.2">
      <c r="A1419" s="5">
        <v>1358</v>
      </c>
      <c r="B1419" s="138">
        <f>'Expenditures 15-22'!D241</f>
        <v>8917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9094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7254</v>
      </c>
      <c r="D1423" s="2" t="str">
        <f t="shared" si="21"/>
        <v>Error?</v>
      </c>
    </row>
    <row r="1424" spans="1:4" x14ac:dyDescent="0.2">
      <c r="A1424" s="5">
        <v>1363</v>
      </c>
      <c r="B1424" s="138">
        <f>'Expenditures 15-22'!D257</f>
        <v>13090</v>
      </c>
      <c r="C1424" s="2" t="s">
        <v>572</v>
      </c>
      <c r="D1424" s="2" t="str">
        <f t="shared" si="21"/>
        <v>Error?</v>
      </c>
    </row>
    <row r="1425" spans="1:4" x14ac:dyDescent="0.2">
      <c r="A1425" s="5">
        <v>1364</v>
      </c>
      <c r="B1425" s="138">
        <f>'Expenditures 15-22'!D259</f>
        <v>7145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7145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29982</v>
      </c>
      <c r="D1431" s="2" t="str">
        <f t="shared" si="21"/>
        <v>Error?</v>
      </c>
    </row>
    <row r="1432" spans="1:4" x14ac:dyDescent="0.2">
      <c r="A1432" s="5">
        <v>1371</v>
      </c>
      <c r="B1432" s="138">
        <f>'Expenditures 15-22'!D267</f>
        <v>16912</v>
      </c>
      <c r="D1432" s="2" t="str">
        <f t="shared" si="21"/>
        <v>Error?</v>
      </c>
    </row>
    <row r="1433" spans="1:4" x14ac:dyDescent="0.2">
      <c r="A1433" s="5">
        <v>1372</v>
      </c>
      <c r="B1433" s="138">
        <f>'Expenditures 15-22'!D268</f>
        <v>14526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67695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97659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159247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998</v>
      </c>
      <c r="C1471" s="2" t="s">
        <v>572</v>
      </c>
      <c r="D1471" s="2" t="str">
        <f t="shared" ref="D1471:D1534" si="22">IF(ISBLANK(B1471),"OK",IF(A1471-B1471=0,"OK","Error?"))</f>
        <v>Error?</v>
      </c>
    </row>
    <row r="1472" spans="1:4" x14ac:dyDescent="0.2">
      <c r="A1472" s="5">
        <v>1411</v>
      </c>
      <c r="B1472" s="138">
        <f>'Expenditures 15-22'!K223</f>
        <v>1323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53244</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632</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3</v>
      </c>
      <c r="C1480" s="2" t="s">
        <v>572</v>
      </c>
      <c r="D1480" s="2" t="str">
        <f t="shared" si="22"/>
        <v>Error?</v>
      </c>
    </row>
    <row r="1481" spans="1:4" x14ac:dyDescent="0.2">
      <c r="A1481" s="5">
        <v>1420</v>
      </c>
      <c r="B1481" s="138">
        <f>'Expenditures 15-22'!K238</f>
        <v>635</v>
      </c>
      <c r="C1481" s="2" t="s">
        <v>572</v>
      </c>
      <c r="D1481" s="2" t="str">
        <f t="shared" si="22"/>
        <v>Error?</v>
      </c>
    </row>
    <row r="1482" spans="1:4" x14ac:dyDescent="0.2">
      <c r="A1482" s="5">
        <v>1421</v>
      </c>
      <c r="B1482" s="138">
        <f>'Expenditures 15-22'!K240</f>
        <v>177</v>
      </c>
      <c r="C1482" s="2" t="s">
        <v>572</v>
      </c>
      <c r="D1482" s="2" t="str">
        <f t="shared" si="22"/>
        <v>Error?</v>
      </c>
    </row>
    <row r="1483" spans="1:4" x14ac:dyDescent="0.2">
      <c r="A1483" s="5">
        <v>1422</v>
      </c>
      <c r="B1483" s="138">
        <f>'Expenditures 15-22'!K241</f>
        <v>8917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9094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7254</v>
      </c>
      <c r="C1487" s="2" t="s">
        <v>572</v>
      </c>
      <c r="D1487" s="2" t="str">
        <f t="shared" si="22"/>
        <v>Error?</v>
      </c>
    </row>
    <row r="1488" spans="1:4" x14ac:dyDescent="0.2">
      <c r="A1488" s="5">
        <v>1427</v>
      </c>
      <c r="B1488" s="138">
        <f>'Expenditures 15-22'!K257</f>
        <v>13090</v>
      </c>
      <c r="C1488" s="2" t="s">
        <v>572</v>
      </c>
      <c r="D1488" s="2" t="str">
        <f t="shared" si="22"/>
        <v>Error?</v>
      </c>
    </row>
    <row r="1489" spans="1:4" x14ac:dyDescent="0.2">
      <c r="A1489" s="5">
        <v>1428</v>
      </c>
      <c r="B1489" s="138">
        <f>'Expenditures 15-22'!K259</f>
        <v>7145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7145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6275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29982</v>
      </c>
      <c r="C1495" s="2" t="s">
        <v>572</v>
      </c>
      <c r="D1495" s="2" t="str">
        <f t="shared" si="22"/>
        <v>Error?</v>
      </c>
    </row>
    <row r="1496" spans="1:4" x14ac:dyDescent="0.2">
      <c r="A1496" s="5">
        <v>1435</v>
      </c>
      <c r="B1496" s="138">
        <f>'Expenditures 15-22'!K267</f>
        <v>16912</v>
      </c>
      <c r="C1496" s="2" t="s">
        <v>572</v>
      </c>
      <c r="D1496" s="2" t="str">
        <f t="shared" si="22"/>
        <v>Error?</v>
      </c>
    </row>
    <row r="1497" spans="1:4" x14ac:dyDescent="0.2">
      <c r="A1497" s="5">
        <v>1436</v>
      </c>
      <c r="B1497" s="138">
        <f>'Expenditures 15-22'!K268</f>
        <v>14526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67695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97659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159247</v>
      </c>
      <c r="C1517" s="2" t="s">
        <v>572</v>
      </c>
      <c r="D1517" s="2" t="str">
        <f t="shared" si="22"/>
        <v>Error?</v>
      </c>
    </row>
    <row r="1518" spans="1:4" x14ac:dyDescent="0.2">
      <c r="A1518" s="5">
        <v>1457</v>
      </c>
      <c r="B1518" s="138">
        <f>'Expenditures 15-22'!K296</f>
        <v>28060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58447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58447</v>
      </c>
      <c r="C1535" s="2" t="s">
        <v>572</v>
      </c>
      <c r="D1535" s="2" t="str">
        <f t="shared" ref="D1535:D1598" si="23">IF(ISBLANK(B1535),"OK",IF(A1535-B1535=0,"OK","Error?"))</f>
        <v>Error?</v>
      </c>
    </row>
    <row r="1536" spans="1:4" x14ac:dyDescent="0.2">
      <c r="A1536" s="5">
        <v>1475</v>
      </c>
      <c r="B1536" s="138">
        <f>'Expenditures 15-22'!E312</f>
        <v>58447</v>
      </c>
      <c r="C1536" s="2" t="s">
        <v>572</v>
      </c>
      <c r="D1536" s="2" t="str">
        <f t="shared" si="23"/>
        <v>Error?</v>
      </c>
    </row>
    <row r="1537" spans="1:4" x14ac:dyDescent="0.2">
      <c r="A1537" s="5">
        <v>1476</v>
      </c>
      <c r="B1537" s="138">
        <f>'Expenditures 15-22'!F301</f>
        <v>1242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1242</v>
      </c>
      <c r="C1541" s="2" t="s">
        <v>572</v>
      </c>
      <c r="D1541" s="2" t="str">
        <f t="shared" si="23"/>
        <v>Error?</v>
      </c>
    </row>
    <row r="1542" spans="1:4" x14ac:dyDescent="0.2">
      <c r="A1542" s="5">
        <v>1481</v>
      </c>
      <c r="B1542" s="138">
        <f>'Expenditures 15-22'!F312</f>
        <v>1242</v>
      </c>
      <c r="C1542" s="2" t="s">
        <v>572</v>
      </c>
      <c r="D1542" s="2" t="str">
        <f t="shared" si="23"/>
        <v>Error?</v>
      </c>
    </row>
    <row r="1543" spans="1:4" x14ac:dyDescent="0.2">
      <c r="A1543" s="5">
        <v>1482</v>
      </c>
      <c r="B1543" s="138">
        <f>'Expenditures 15-22'!G301</f>
        <v>352811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352811</v>
      </c>
      <c r="C1547" s="2" t="s">
        <v>572</v>
      </c>
      <c r="D1547" s="2" t="str">
        <f t="shared" si="23"/>
        <v>Error?</v>
      </c>
    </row>
    <row r="1548" spans="1:4" x14ac:dyDescent="0.2">
      <c r="A1548" s="5">
        <v>1487</v>
      </c>
      <c r="B1548" s="138">
        <f>'Expenditures 15-22'!G312</f>
        <v>352811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412500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412500</v>
      </c>
      <c r="C1559" s="2" t="s">
        <v>572</v>
      </c>
      <c r="D1559" s="2" t="str">
        <f t="shared" si="23"/>
        <v>Error?</v>
      </c>
    </row>
    <row r="1560" spans="1:4" x14ac:dyDescent="0.2">
      <c r="A1560" s="5">
        <v>1499</v>
      </c>
      <c r="B1560" s="138">
        <f>'Expenditures 15-22'!K312</f>
        <v>412500</v>
      </c>
      <c r="C1560" s="2" t="s">
        <v>572</v>
      </c>
      <c r="D1560" s="2" t="str">
        <f t="shared" si="23"/>
        <v>Error?</v>
      </c>
    </row>
    <row r="1561" spans="1:4" x14ac:dyDescent="0.2">
      <c r="A1561" s="5">
        <v>1500</v>
      </c>
      <c r="B1561" s="138">
        <f>'Expenditures 15-22'!K313</f>
        <v>-221657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1770603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1711147</v>
      </c>
      <c r="C1630" s="2" t="s">
        <v>572</v>
      </c>
      <c r="D1630" s="2" t="str">
        <f t="shared" si="24"/>
        <v>Error?</v>
      </c>
    </row>
    <row r="1631" spans="1:4" x14ac:dyDescent="0.2">
      <c r="A1631" s="5">
        <v>1570</v>
      </c>
      <c r="B1631" s="138">
        <f>'Acct Summary 7-8'!D79</f>
        <v>188466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232195</v>
      </c>
      <c r="C1644" s="2" t="s">
        <v>572</v>
      </c>
      <c r="D1644" s="2" t="str">
        <f t="shared" si="24"/>
        <v>Error?</v>
      </c>
    </row>
    <row r="1645" spans="1:4" x14ac:dyDescent="0.2">
      <c r="A1645" s="5">
        <v>1584</v>
      </c>
      <c r="B1645" s="138">
        <f>'Acct Summary 7-8'!E79</f>
        <v>536704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561515</v>
      </c>
      <c r="C1658" s="2" t="s">
        <v>572</v>
      </c>
      <c r="D1658" s="2" t="str">
        <f t="shared" si="24"/>
        <v>Error?</v>
      </c>
    </row>
    <row r="1659" spans="1:4" x14ac:dyDescent="0.2">
      <c r="A1659" s="5">
        <v>1598</v>
      </c>
      <c r="B1659" s="138">
        <f>'Acct Summary 7-8'!F79</f>
        <v>195570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199168</v>
      </c>
      <c r="C1672" s="2" t="s">
        <v>572</v>
      </c>
      <c r="D1672" s="2" t="str">
        <f t="shared" si="25"/>
        <v>Error?</v>
      </c>
    </row>
    <row r="1673" spans="1:4" x14ac:dyDescent="0.2">
      <c r="A1673" s="5">
        <v>1612</v>
      </c>
      <c r="B1673" s="138">
        <f>'Acct Summary 7-8'!G79</f>
        <v>162962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191022</v>
      </c>
      <c r="C1686" s="2" t="s">
        <v>572</v>
      </c>
      <c r="D1686" s="2" t="str">
        <f t="shared" si="25"/>
        <v>Error?</v>
      </c>
    </row>
    <row r="1687" spans="1:4" x14ac:dyDescent="0.2">
      <c r="A1687" s="5">
        <v>1626</v>
      </c>
      <c r="B1687" s="138">
        <f>'Acct Summary 7-8'!H79</f>
        <v>290232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68575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1480136</v>
      </c>
      <c r="C1744" s="2" t="s">
        <v>572</v>
      </c>
      <c r="D1744" s="2" t="str">
        <f t="shared" si="26"/>
        <v>Error?</v>
      </c>
    </row>
    <row r="1745" spans="1:5" x14ac:dyDescent="0.2">
      <c r="A1745" s="5">
        <v>1684</v>
      </c>
      <c r="B1745" s="138">
        <f>'Tax Sched 23'!B5</f>
        <v>284641</v>
      </c>
      <c r="C1745" s="2" t="s">
        <v>572</v>
      </c>
      <c r="D1745" s="2" t="str">
        <f t="shared" si="26"/>
        <v>Error?</v>
      </c>
    </row>
    <row r="1746" spans="1:5" x14ac:dyDescent="0.2">
      <c r="A1746" s="5">
        <v>1685</v>
      </c>
      <c r="B1746" s="138">
        <f>'Tax Sched 23'!B6</f>
        <v>192410</v>
      </c>
      <c r="C1746" s="2" t="s">
        <v>572</v>
      </c>
      <c r="D1746" s="2" t="str">
        <f t="shared" si="26"/>
        <v>Error?</v>
      </c>
    </row>
    <row r="1747" spans="1:5" x14ac:dyDescent="0.2">
      <c r="A1747" s="5">
        <v>1686</v>
      </c>
      <c r="B1747" s="138">
        <f>'Tax Sched 23'!B7</f>
        <v>113856</v>
      </c>
      <c r="C1747" s="2" t="s">
        <v>572</v>
      </c>
      <c r="D1747" s="2" t="str">
        <f t="shared" si="26"/>
        <v>Error?</v>
      </c>
    </row>
    <row r="1748" spans="1:5" x14ac:dyDescent="0.2">
      <c r="A1748" s="5">
        <v>1687</v>
      </c>
      <c r="B1748" s="138">
        <f>'Tax Sched 23'!B8</f>
        <v>77909</v>
      </c>
      <c r="C1748" s="2" t="s">
        <v>572</v>
      </c>
      <c r="D1748" s="2" t="str">
        <f t="shared" si="26"/>
        <v>Error?</v>
      </c>
    </row>
    <row r="1749" spans="1:5" x14ac:dyDescent="0.2">
      <c r="A1749" s="5">
        <v>1688</v>
      </c>
      <c r="B1749" s="138">
        <f>'Tax Sched 23'!B10</f>
        <v>28465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227132</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22771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2553734</v>
      </c>
      <c r="C1759" s="2" t="s">
        <v>572</v>
      </c>
      <c r="D1759" s="2" t="str">
        <f t="shared" si="26"/>
        <v>Error?</v>
      </c>
    </row>
    <row r="1760" spans="1:5" x14ac:dyDescent="0.2">
      <c r="A1760" s="5">
        <v>1699</v>
      </c>
      <c r="B1760" s="138">
        <f>'Tax Sched 23'!D4</f>
        <v>722875</v>
      </c>
      <c r="C1760" s="2" t="s">
        <v>572</v>
      </c>
      <c r="D1760" s="2" t="str">
        <f t="shared" si="26"/>
        <v>Error?</v>
      </c>
    </row>
    <row r="1761" spans="1:5" x14ac:dyDescent="0.2">
      <c r="A1761" s="5">
        <v>1700</v>
      </c>
      <c r="B1761" s="138">
        <f>'Tax Sched 23'!D5</f>
        <v>139014</v>
      </c>
      <c r="C1761" s="2" t="s">
        <v>572</v>
      </c>
      <c r="D1761" s="2" t="str">
        <f t="shared" si="26"/>
        <v>Error?</v>
      </c>
    </row>
    <row r="1762" spans="1:5" s="8" customFormat="1" x14ac:dyDescent="0.2">
      <c r="A1762" s="5">
        <v>1701</v>
      </c>
      <c r="B1762" s="138">
        <f>'Tax Sched 23'!D6</f>
        <v>93558</v>
      </c>
      <c r="C1762" s="2" t="s">
        <v>572</v>
      </c>
      <c r="D1762" s="2" t="str">
        <f t="shared" si="26"/>
        <v>Error?</v>
      </c>
      <c r="E1762" s="9"/>
    </row>
    <row r="1763" spans="1:5" x14ac:dyDescent="0.2">
      <c r="A1763" s="5">
        <v>1702</v>
      </c>
      <c r="B1763" s="138">
        <f>'Tax Sched 23'!D7</f>
        <v>55605</v>
      </c>
      <c r="C1763" s="2" t="s">
        <v>572</v>
      </c>
      <c r="D1763" s="2" t="str">
        <f t="shared" si="26"/>
        <v>Error?</v>
      </c>
    </row>
    <row r="1764" spans="1:5" x14ac:dyDescent="0.2">
      <c r="A1764" s="5">
        <v>1703</v>
      </c>
      <c r="B1764" s="138">
        <f>'Tax Sched 23'!D8</f>
        <v>41619</v>
      </c>
      <c r="C1764" s="2" t="s">
        <v>572</v>
      </c>
      <c r="D1764" s="2" t="str">
        <f t="shared" si="26"/>
        <v>Error?</v>
      </c>
    </row>
    <row r="1765" spans="1:5" x14ac:dyDescent="0.2">
      <c r="A1765" s="5">
        <v>1704</v>
      </c>
      <c r="B1765" s="138">
        <f>'Tax Sched 23'!D10</f>
        <v>13902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108708</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11121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1246847</v>
      </c>
      <c r="C1775" s="2" t="s">
        <v>572</v>
      </c>
      <c r="D1775" s="2" t="str">
        <f t="shared" si="26"/>
        <v>Error?</v>
      </c>
    </row>
    <row r="1776" spans="1:5" x14ac:dyDescent="0.2">
      <c r="A1776" s="5">
        <v>1715</v>
      </c>
      <c r="B1776" s="138">
        <f>'Tax Sched 23'!C4</f>
        <v>757261</v>
      </c>
      <c r="D1776" s="2" t="str">
        <f t="shared" si="26"/>
        <v>Error?</v>
      </c>
    </row>
    <row r="1777" spans="1:4" x14ac:dyDescent="0.2">
      <c r="A1777" s="5">
        <v>1716</v>
      </c>
      <c r="B1777" s="138">
        <f>'Tax Sched 23'!C5</f>
        <v>145627</v>
      </c>
      <c r="D1777" s="2" t="str">
        <f t="shared" si="26"/>
        <v>Error?</v>
      </c>
    </row>
    <row r="1778" spans="1:4" x14ac:dyDescent="0.2">
      <c r="A1778" s="5">
        <v>1717</v>
      </c>
      <c r="B1778" s="138">
        <f>'Tax Sched 23'!C6</f>
        <v>98852</v>
      </c>
      <c r="D1778" s="2" t="str">
        <f t="shared" si="26"/>
        <v>Error?</v>
      </c>
    </row>
    <row r="1779" spans="1:4" x14ac:dyDescent="0.2">
      <c r="A1779" s="5">
        <v>1718</v>
      </c>
      <c r="B1779" s="138">
        <f>'Tax Sched 23'!C7</f>
        <v>58251</v>
      </c>
      <c r="D1779" s="2" t="str">
        <f t="shared" si="26"/>
        <v>Error?</v>
      </c>
    </row>
    <row r="1780" spans="1:4" x14ac:dyDescent="0.2">
      <c r="A1780" s="5">
        <v>1719</v>
      </c>
      <c r="B1780" s="138">
        <f>'Tax Sched 23'!C8</f>
        <v>36290</v>
      </c>
      <c r="D1780" s="2" t="str">
        <f t="shared" si="26"/>
        <v>Error?</v>
      </c>
    </row>
    <row r="1781" spans="1:4" x14ac:dyDescent="0.2">
      <c r="A1781" s="5">
        <v>1720</v>
      </c>
      <c r="B1781" s="138">
        <f>'Tax Sched 23'!C10</f>
        <v>14563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118424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11650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1306887</v>
      </c>
      <c r="C1791" s="2" t="s">
        <v>572</v>
      </c>
      <c r="D1791" s="2" t="str">
        <f t="shared" ref="D1791:D1854" si="27">IF(ISBLANK(B1791),"OK",IF(A1791-B1791=0,"OK","Error?"))</f>
        <v>Error?</v>
      </c>
    </row>
    <row r="1792" spans="1:4" x14ac:dyDescent="0.2">
      <c r="A1792" s="5">
        <v>1731</v>
      </c>
      <c r="B1792" s="138">
        <f>'Tax Sched 23'!F4</f>
        <v>745753</v>
      </c>
      <c r="C1792" s="2" t="s">
        <v>572</v>
      </c>
      <c r="D1792" s="2" t="str">
        <f t="shared" si="27"/>
        <v>Error?</v>
      </c>
    </row>
    <row r="1793" spans="1:4" x14ac:dyDescent="0.2">
      <c r="A1793" s="5">
        <v>1732</v>
      </c>
      <c r="B1793" s="138">
        <f>'Tax Sched 23'!F5</f>
        <v>143414</v>
      </c>
      <c r="C1793" s="2" t="s">
        <v>572</v>
      </c>
      <c r="D1793" s="2" t="str">
        <f t="shared" si="27"/>
        <v>Error?</v>
      </c>
    </row>
    <row r="1794" spans="1:4" x14ac:dyDescent="0.2">
      <c r="A1794" s="5">
        <v>1733</v>
      </c>
      <c r="B1794" s="138">
        <f>'Tax Sched 23'!F6</f>
        <v>97349</v>
      </c>
      <c r="C1794" s="2" t="s">
        <v>572</v>
      </c>
      <c r="D1794" s="2" t="str">
        <f t="shared" si="27"/>
        <v>Error?</v>
      </c>
    </row>
    <row r="1795" spans="1:4" x14ac:dyDescent="0.2">
      <c r="A1795" s="5">
        <v>1734</v>
      </c>
      <c r="B1795" s="138">
        <f>'Tax Sched 23'!F7</f>
        <v>57365</v>
      </c>
      <c r="C1795" s="2" t="s">
        <v>572</v>
      </c>
      <c r="D1795" s="2" t="str">
        <f t="shared" si="27"/>
        <v>Error?</v>
      </c>
    </row>
    <row r="1796" spans="1:4" x14ac:dyDescent="0.2">
      <c r="A1796" s="5">
        <v>1735</v>
      </c>
      <c r="B1796" s="138">
        <f>'Tax Sched 23'!F8</f>
        <v>35739</v>
      </c>
      <c r="C1796" s="2" t="s">
        <v>572</v>
      </c>
      <c r="D1796" s="2" t="str">
        <f t="shared" si="27"/>
        <v>Error?</v>
      </c>
    </row>
    <row r="1797" spans="1:4" x14ac:dyDescent="0.2">
      <c r="A1797" s="5">
        <v>1736</v>
      </c>
      <c r="B1797" s="138">
        <f>'Tax Sched 23'!F10</f>
        <v>14341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116624</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11473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1287024</v>
      </c>
      <c r="C1807" s="2" t="s">
        <v>572</v>
      </c>
      <c r="D1807" s="2" t="str">
        <f t="shared" si="27"/>
        <v>Error?</v>
      </c>
    </row>
    <row r="1808" spans="1:4" x14ac:dyDescent="0.2">
      <c r="A1808" s="5">
        <v>1747</v>
      </c>
      <c r="B1808" s="138">
        <f>'Tax Sched 23'!E4</f>
        <v>1503014</v>
      </c>
      <c r="D1808" s="2" t="str">
        <f t="shared" si="27"/>
        <v>Error?</v>
      </c>
    </row>
    <row r="1809" spans="1:4" x14ac:dyDescent="0.2">
      <c r="A1809" s="5">
        <v>1748</v>
      </c>
      <c r="B1809" s="138">
        <f>'Tax Sched 23'!E5</f>
        <v>289041</v>
      </c>
      <c r="D1809" s="2" t="str">
        <f t="shared" si="27"/>
        <v>Error?</v>
      </c>
    </row>
    <row r="1810" spans="1:4" x14ac:dyDescent="0.2">
      <c r="A1810" s="5">
        <v>1749</v>
      </c>
      <c r="B1810" s="138">
        <f>'Tax Sched 23'!E6</f>
        <v>196201</v>
      </c>
      <c r="D1810" s="2" t="str">
        <f t="shared" si="27"/>
        <v>Error?</v>
      </c>
    </row>
    <row r="1811" spans="1:4" x14ac:dyDescent="0.2">
      <c r="A1811" s="5">
        <v>1750</v>
      </c>
      <c r="B1811" s="138">
        <f>'Tax Sched 23'!E7</f>
        <v>115616</v>
      </c>
      <c r="D1811" s="2" t="str">
        <f t="shared" si="27"/>
        <v>Error?</v>
      </c>
    </row>
    <row r="1812" spans="1:4" x14ac:dyDescent="0.2">
      <c r="A1812" s="5">
        <v>1751</v>
      </c>
      <c r="B1812" s="138">
        <f>'Tax Sched 23'!E8</f>
        <v>72029</v>
      </c>
      <c r="D1812" s="2" t="str">
        <f t="shared" si="27"/>
        <v>Error?</v>
      </c>
    </row>
    <row r="1813" spans="1:4" x14ac:dyDescent="0.2">
      <c r="A1813" s="5">
        <v>1752</v>
      </c>
      <c r="B1813" s="138">
        <f>'Tax Sched 23'!E10</f>
        <v>28904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235048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23123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2593911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2100684</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22771</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22778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22778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39570</v>
      </c>
      <c r="D2008" s="2" t="str">
        <f t="shared" si="30"/>
        <v>Error?</v>
      </c>
    </row>
    <row r="2009" spans="1:4" x14ac:dyDescent="0.2">
      <c r="A2009" s="5">
        <v>1948</v>
      </c>
      <c r="B2009" s="138">
        <f>'Cap Outlay Deprec 26'!C8</f>
        <v>5911331</v>
      </c>
      <c r="D2009" s="2" t="str">
        <f t="shared" si="30"/>
        <v>Error?</v>
      </c>
    </row>
    <row r="2010" spans="1:4" x14ac:dyDescent="0.2">
      <c r="A2010" s="5">
        <v>1949</v>
      </c>
      <c r="B2010" s="138">
        <f>'Cap Outlay Deprec 26'!C10</f>
        <v>1089969</v>
      </c>
      <c r="D2010" s="2" t="str">
        <f t="shared" si="30"/>
        <v>Error?</v>
      </c>
    </row>
    <row r="2011" spans="1:4" x14ac:dyDescent="0.2">
      <c r="A2011" s="5">
        <v>1950</v>
      </c>
      <c r="B2011" s="138">
        <f>'Cap Outlay Deprec 26'!C12</f>
        <v>768811</v>
      </c>
      <c r="D2011" s="2" t="str">
        <f t="shared" si="30"/>
        <v>Error?</v>
      </c>
    </row>
    <row r="2012" spans="1:4" x14ac:dyDescent="0.2">
      <c r="A2012" s="5">
        <v>1951</v>
      </c>
      <c r="B2012" s="138">
        <f>'Cap Outlay Deprec 26'!C13</f>
        <v>672065</v>
      </c>
      <c r="D2012" s="2" t="str">
        <f t="shared" si="30"/>
        <v>Error?</v>
      </c>
    </row>
    <row r="2013" spans="1:4" x14ac:dyDescent="0.2">
      <c r="A2013" s="5">
        <v>1952</v>
      </c>
      <c r="B2013" s="138">
        <f>'Cap Outlay Deprec 26'!C16</f>
        <v>8521125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390389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64889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455278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36966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76345</v>
      </c>
      <c r="C2025" s="2" t="s">
        <v>572</v>
      </c>
      <c r="D2025" s="2" t="str">
        <f t="shared" si="30"/>
        <v>Error?</v>
      </c>
    </row>
    <row r="2026" spans="1:4" x14ac:dyDescent="0.2">
      <c r="A2026" s="5">
        <v>1965</v>
      </c>
      <c r="B2026" s="138">
        <f>'Cap Outlay Deprec 26'!F5</f>
        <v>39570</v>
      </c>
      <c r="C2026" s="2" t="s">
        <v>572</v>
      </c>
      <c r="D2026" s="2" t="str">
        <f t="shared" si="30"/>
        <v>Error?</v>
      </c>
    </row>
    <row r="2027" spans="1:4" x14ac:dyDescent="0.2">
      <c r="A2027" s="5">
        <v>1966</v>
      </c>
      <c r="B2027" s="138">
        <f>'Cap Outlay Deprec 26'!F8</f>
        <v>6301720</v>
      </c>
      <c r="C2027" s="2" t="s">
        <v>572</v>
      </c>
      <c r="D2027" s="2" t="str">
        <f t="shared" si="30"/>
        <v>Error?</v>
      </c>
    </row>
    <row r="2028" spans="1:4" x14ac:dyDescent="0.2">
      <c r="A2028" s="5">
        <v>1967</v>
      </c>
      <c r="B2028" s="138">
        <f>'Cap Outlay Deprec 26'!F10</f>
        <v>1089969</v>
      </c>
      <c r="C2028" s="2" t="s">
        <v>572</v>
      </c>
      <c r="D2028" s="2" t="str">
        <f t="shared" si="30"/>
        <v>Error?</v>
      </c>
    </row>
    <row r="2029" spans="1:4" x14ac:dyDescent="0.2">
      <c r="A2029" s="5">
        <v>1968</v>
      </c>
      <c r="B2029" s="138">
        <f>'Cap Outlay Deprec 26'!F12</f>
        <v>796734</v>
      </c>
      <c r="C2029" s="2" t="s">
        <v>572</v>
      </c>
      <c r="D2029" s="2" t="str">
        <f t="shared" si="30"/>
        <v>Error?</v>
      </c>
    </row>
    <row r="2030" spans="1:4" x14ac:dyDescent="0.2">
      <c r="A2030" s="5">
        <v>1969</v>
      </c>
      <c r="B2030" s="138">
        <f>'Cap Outlay Deprec 26'!F13</f>
        <v>672065</v>
      </c>
      <c r="C2030" s="2" t="s">
        <v>572</v>
      </c>
      <c r="D2030" s="2" t="str">
        <f t="shared" si="30"/>
        <v>Error?</v>
      </c>
    </row>
    <row r="2031" spans="1:4" x14ac:dyDescent="0.2">
      <c r="A2031" s="5">
        <v>1970</v>
      </c>
      <c r="B2031" s="138">
        <f>'Cap Outlay Deprec 26'!F16</f>
        <v>8900058</v>
      </c>
      <c r="C2031" s="2" t="s">
        <v>572</v>
      </c>
      <c r="D2031" s="2" t="str">
        <f t="shared" si="30"/>
        <v>Error?</v>
      </c>
    </row>
    <row r="2032" spans="1:4" x14ac:dyDescent="0.2">
      <c r="A2032" s="10">
        <v>1971</v>
      </c>
      <c r="D2032" s="2" t="str">
        <f t="shared" si="30"/>
        <v>OK</v>
      </c>
    </row>
    <row r="2033" spans="1:4" x14ac:dyDescent="0.2">
      <c r="A2033" s="5">
        <v>1972</v>
      </c>
      <c r="B2033" s="138">
        <f>'Cap Outlay Deprec 26'!H8</f>
        <v>2772339</v>
      </c>
      <c r="D2033" s="2" t="str">
        <f t="shared" si="30"/>
        <v>Error?</v>
      </c>
    </row>
    <row r="2034" spans="1:4" x14ac:dyDescent="0.2">
      <c r="A2034" s="5">
        <v>1973</v>
      </c>
      <c r="B2034" s="138">
        <f>'Cap Outlay Deprec 26'!H10</f>
        <v>543987</v>
      </c>
      <c r="D2034" s="2" t="str">
        <f t="shared" si="30"/>
        <v>Error?</v>
      </c>
    </row>
    <row r="2035" spans="1:4" x14ac:dyDescent="0.2">
      <c r="A2035" s="5">
        <v>1974</v>
      </c>
      <c r="B2035" s="138">
        <f>'Cap Outlay Deprec 26'!H12</f>
        <v>387817</v>
      </c>
      <c r="D2035" s="2" t="str">
        <f t="shared" si="30"/>
        <v>Error?</v>
      </c>
    </row>
    <row r="2036" spans="1:4" x14ac:dyDescent="0.2">
      <c r="A2036" s="5">
        <v>1975</v>
      </c>
      <c r="B2036" s="138">
        <f>'Cap Outlay Deprec 26'!H13</f>
        <v>555389</v>
      </c>
      <c r="D2036" s="2" t="str">
        <f t="shared" si="30"/>
        <v>Error?</v>
      </c>
    </row>
    <row r="2037" spans="1:4" x14ac:dyDescent="0.2">
      <c r="A2037" s="5">
        <v>1976</v>
      </c>
      <c r="B2037" s="138">
        <f>'Cap Outlay Deprec 26'!H16</f>
        <v>4259532</v>
      </c>
      <c r="C2037" s="2" t="s">
        <v>572</v>
      </c>
      <c r="D2037" s="2" t="str">
        <f t="shared" si="30"/>
        <v>Error?</v>
      </c>
    </row>
    <row r="2038" spans="1:4" x14ac:dyDescent="0.2">
      <c r="A2038" s="10">
        <v>1977</v>
      </c>
      <c r="D2038" s="2" t="str">
        <f t="shared" si="30"/>
        <v>OK</v>
      </c>
    </row>
    <row r="2039" spans="1:4" x14ac:dyDescent="0.2">
      <c r="A2039" s="5">
        <v>1978</v>
      </c>
      <c r="B2039" s="138">
        <f>'Cap Outlay Deprec 26'!I8</f>
        <v>102430</v>
      </c>
      <c r="D2039" s="2" t="str">
        <f t="shared" si="30"/>
        <v>Error?</v>
      </c>
    </row>
    <row r="2040" spans="1:4" x14ac:dyDescent="0.2">
      <c r="A2040" s="5">
        <v>1979</v>
      </c>
      <c r="B2040" s="138">
        <f>'Cap Outlay Deprec 26'!I10</f>
        <v>43226</v>
      </c>
      <c r="D2040" s="2" t="str">
        <f t="shared" si="30"/>
        <v>Error?</v>
      </c>
    </row>
    <row r="2041" spans="1:4" x14ac:dyDescent="0.2">
      <c r="A2041" s="5">
        <v>1980</v>
      </c>
      <c r="B2041" s="138">
        <f>'Cap Outlay Deprec 26'!I12</f>
        <v>79675</v>
      </c>
      <c r="D2041" s="2" t="str">
        <f t="shared" si="30"/>
        <v>Error?</v>
      </c>
    </row>
    <row r="2042" spans="1:4" x14ac:dyDescent="0.2">
      <c r="A2042" s="5">
        <v>1981</v>
      </c>
      <c r="B2042" s="138">
        <f>'Cap Outlay Deprec 26'!I13</f>
        <v>43721</v>
      </c>
      <c r="D2042" s="2" t="str">
        <f t="shared" si="30"/>
        <v>Error?</v>
      </c>
    </row>
    <row r="2043" spans="1:4" x14ac:dyDescent="0.2">
      <c r="A2043" s="5">
        <v>1982</v>
      </c>
      <c r="B2043" s="138">
        <f>'Cap Outlay Deprec 26'!I16</f>
        <v>269052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36966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36966</v>
      </c>
      <c r="C2049" s="2" t="s">
        <v>572</v>
      </c>
      <c r="D2049" s="2" t="str">
        <f t="shared" si="31"/>
        <v>Error?</v>
      </c>
    </row>
    <row r="2050" spans="1:4" x14ac:dyDescent="0.2">
      <c r="A2050" s="10">
        <v>1989</v>
      </c>
      <c r="D2050" s="2" t="str">
        <f t="shared" si="31"/>
        <v>OK</v>
      </c>
    </row>
    <row r="2051" spans="1:4" x14ac:dyDescent="0.2">
      <c r="A2051" s="5">
        <v>1990</v>
      </c>
      <c r="B2051" s="138">
        <f>'Cap Outlay Deprec 26'!K8</f>
        <v>2874769</v>
      </c>
      <c r="C2051" s="2" t="s">
        <v>572</v>
      </c>
      <c r="D2051" s="2" t="str">
        <f t="shared" si="31"/>
        <v>Error?</v>
      </c>
    </row>
    <row r="2052" spans="1:4" x14ac:dyDescent="0.2">
      <c r="A2052" s="5">
        <v>1991</v>
      </c>
      <c r="B2052" s="138">
        <f>'Cap Outlay Deprec 26'!K10</f>
        <v>587213</v>
      </c>
      <c r="C2052" s="2" t="s">
        <v>572</v>
      </c>
      <c r="D2052" s="2" t="str">
        <f t="shared" si="31"/>
        <v>Error?</v>
      </c>
    </row>
    <row r="2053" spans="1:4" x14ac:dyDescent="0.2">
      <c r="A2053" s="5">
        <v>1992</v>
      </c>
      <c r="B2053" s="138">
        <f>'Cap Outlay Deprec 26'!K12</f>
        <v>430526</v>
      </c>
      <c r="C2053" s="2" t="s">
        <v>572</v>
      </c>
      <c r="D2053" s="2" t="str">
        <f t="shared" si="31"/>
        <v>Error?</v>
      </c>
    </row>
    <row r="2054" spans="1:4" x14ac:dyDescent="0.2">
      <c r="A2054" s="5">
        <v>1993</v>
      </c>
      <c r="B2054" s="138">
        <f>'Cap Outlay Deprec 26'!K13</f>
        <v>599110</v>
      </c>
      <c r="C2054" s="2" t="s">
        <v>572</v>
      </c>
      <c r="D2054" s="2" t="str">
        <f t="shared" si="31"/>
        <v>Error?</v>
      </c>
    </row>
    <row r="2055" spans="1:4" x14ac:dyDescent="0.2">
      <c r="A2055" s="5">
        <v>1994</v>
      </c>
      <c r="B2055" s="138">
        <f>'Cap Outlay Deprec 26'!K16</f>
        <v>4491618</v>
      </c>
      <c r="C2055" s="2" t="s">
        <v>572</v>
      </c>
      <c r="D2055" s="2" t="str">
        <f t="shared" si="31"/>
        <v>Error?</v>
      </c>
    </row>
    <row r="2056" spans="1:4" x14ac:dyDescent="0.2">
      <c r="A2056" s="5">
        <v>1995</v>
      </c>
      <c r="B2056" s="138">
        <f>'Cap Outlay Deprec 26'!L5</f>
        <v>39570</v>
      </c>
      <c r="C2056" s="2" t="s">
        <v>572</v>
      </c>
      <c r="D2056" s="2" t="str">
        <f t="shared" si="31"/>
        <v>Error?</v>
      </c>
    </row>
    <row r="2057" spans="1:4" x14ac:dyDescent="0.2">
      <c r="A2057" s="5">
        <v>1996</v>
      </c>
      <c r="B2057" s="138">
        <f>'Cap Outlay Deprec 26'!L8</f>
        <v>3426951</v>
      </c>
      <c r="C2057" s="2" t="s">
        <v>572</v>
      </c>
      <c r="D2057" s="2" t="str">
        <f t="shared" si="31"/>
        <v>Error?</v>
      </c>
    </row>
    <row r="2058" spans="1:4" x14ac:dyDescent="0.2">
      <c r="A2058" s="5">
        <v>1997</v>
      </c>
      <c r="B2058" s="138">
        <f>'Cap Outlay Deprec 26'!L10</f>
        <v>502756</v>
      </c>
      <c r="C2058" s="2" t="s">
        <v>572</v>
      </c>
      <c r="D2058" s="2" t="str">
        <f t="shared" si="31"/>
        <v>Error?</v>
      </c>
    </row>
    <row r="2059" spans="1:4" x14ac:dyDescent="0.2">
      <c r="A2059" s="5">
        <v>1998</v>
      </c>
      <c r="B2059" s="138">
        <f>'Cap Outlay Deprec 26'!L12</f>
        <v>366208</v>
      </c>
      <c r="C2059" s="2" t="s">
        <v>572</v>
      </c>
      <c r="D2059" s="2" t="str">
        <f t="shared" si="31"/>
        <v>Error?</v>
      </c>
    </row>
    <row r="2060" spans="1:4" x14ac:dyDescent="0.2">
      <c r="A2060" s="5">
        <v>1999</v>
      </c>
      <c r="B2060" s="138">
        <f>'Cap Outlay Deprec 26'!L13</f>
        <v>72955</v>
      </c>
      <c r="C2060" s="2" t="s">
        <v>572</v>
      </c>
      <c r="D2060" s="2" t="str">
        <f t="shared" si="31"/>
        <v>Error?</v>
      </c>
    </row>
    <row r="2061" spans="1:4" x14ac:dyDescent="0.2">
      <c r="A2061" s="5">
        <v>2000</v>
      </c>
      <c r="B2061" s="138">
        <f>'Cap Outlay Deprec 26'!L16</f>
        <v>4408440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3500</v>
      </c>
      <c r="C2088" s="2" t="s">
        <v>572</v>
      </c>
      <c r="D2088" s="2" t="str">
        <f t="shared" si="31"/>
        <v>Error?</v>
      </c>
    </row>
    <row r="2089" spans="1:4" x14ac:dyDescent="0.2">
      <c r="A2089" s="5">
        <v>2028</v>
      </c>
      <c r="B2089" s="138">
        <f>'Expenditures 15-22'!K92</f>
        <v>289758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6317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79276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122514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1876467</v>
      </c>
      <c r="C2551" s="2" t="s">
        <v>572</v>
      </c>
      <c r="D2551" s="2" t="str">
        <f t="shared" si="38"/>
        <v>Error?</v>
      </c>
    </row>
    <row r="2552" spans="1:4" x14ac:dyDescent="0.2">
      <c r="A2552" s="10">
        <v>2491</v>
      </c>
      <c r="D2552" s="2" t="str">
        <f t="shared" si="38"/>
        <v>OK</v>
      </c>
    </row>
    <row r="2553" spans="1:4" x14ac:dyDescent="0.2">
      <c r="A2553" s="5">
        <v>2492</v>
      </c>
      <c r="B2553" s="138">
        <f>'Acct Summary 7-8'!C6</f>
        <v>2194701</v>
      </c>
      <c r="C2553" s="2" t="s">
        <v>572</v>
      </c>
      <c r="D2553" s="2" t="str">
        <f t="shared" si="38"/>
        <v>Error?</v>
      </c>
    </row>
    <row r="2554" spans="1:4" x14ac:dyDescent="0.2">
      <c r="A2554" s="5">
        <v>2493</v>
      </c>
      <c r="B2554" s="138">
        <f>'Acct Summary 7-8'!C7</f>
        <v>298340</v>
      </c>
      <c r="C2554" s="2" t="s">
        <v>572</v>
      </c>
      <c r="D2554" s="2" t="str">
        <f t="shared" si="38"/>
        <v>Error?</v>
      </c>
    </row>
    <row r="2555" spans="1:4" x14ac:dyDescent="0.2">
      <c r="A2555" s="5">
        <v>2494</v>
      </c>
      <c r="B2555" s="138">
        <f>'Acct Summary 7-8'!C8</f>
        <v>4369508</v>
      </c>
      <c r="C2555" s="2" t="s">
        <v>572</v>
      </c>
      <c r="D2555" s="2" t="str">
        <f t="shared" si="38"/>
        <v>Error?</v>
      </c>
    </row>
    <row r="2556" spans="1:4" x14ac:dyDescent="0.2">
      <c r="A2556" s="5">
        <v>2495</v>
      </c>
      <c r="B2556" s="138">
        <f>'Acct Summary 7-8'!C12</f>
        <v>3052659</v>
      </c>
      <c r="C2556" s="2" t="s">
        <v>572</v>
      </c>
      <c r="D2556" s="2" t="str">
        <f t="shared" si="38"/>
        <v>Error?</v>
      </c>
    </row>
    <row r="2557" spans="1:4" x14ac:dyDescent="0.2">
      <c r="A2557" s="5">
        <v>2496</v>
      </c>
      <c r="B2557" s="138">
        <f>'Acct Summary 7-8'!C13</f>
        <v>1081735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293258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4427652</v>
      </c>
      <c r="C2561" s="2" t="s">
        <v>572</v>
      </c>
      <c r="D2561" s="2" t="str">
        <f t="shared" si="39"/>
        <v>Error?</v>
      </c>
    </row>
    <row r="2562" spans="1:4" x14ac:dyDescent="0.2">
      <c r="A2562" s="5">
        <v>2501</v>
      </c>
      <c r="B2562" s="138">
        <f>'Acct Summary 7-8'!C20</f>
        <v>-58144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285935</v>
      </c>
      <c r="C2564" s="2" t="s">
        <v>572</v>
      </c>
      <c r="D2564" s="2" t="str">
        <f t="shared" si="39"/>
        <v>Error?</v>
      </c>
    </row>
    <row r="2565" spans="1:4" x14ac:dyDescent="0.2">
      <c r="A2565" s="10">
        <v>2504</v>
      </c>
      <c r="D2565" s="2" t="str">
        <f t="shared" si="39"/>
        <v>OK</v>
      </c>
    </row>
    <row r="2566" spans="1:4" x14ac:dyDescent="0.2">
      <c r="A2566" s="5">
        <v>2505</v>
      </c>
      <c r="B2566" s="138">
        <f>'Acct Summary 7-8'!D6</f>
        <v>174762</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460697</v>
      </c>
      <c r="C2568" s="2" t="s">
        <v>572</v>
      </c>
      <c r="D2568" s="2" t="str">
        <f t="shared" si="39"/>
        <v>Error?</v>
      </c>
    </row>
    <row r="2569" spans="1:4" x14ac:dyDescent="0.2">
      <c r="A2569" s="5">
        <v>2508</v>
      </c>
      <c r="B2569" s="138">
        <f>'Acct Summary 7-8'!D13</f>
        <v>416968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416968</v>
      </c>
      <c r="C2573" s="2" t="s">
        <v>572</v>
      </c>
      <c r="D2573" s="2" t="str">
        <f t="shared" si="39"/>
        <v>Error?</v>
      </c>
    </row>
    <row r="2574" spans="1:4" x14ac:dyDescent="0.2">
      <c r="A2574" s="5">
        <v>2513</v>
      </c>
      <c r="B2574" s="138">
        <f>'Acct Summary 7-8'!D20</f>
        <v>43729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126024</v>
      </c>
      <c r="C2591" s="2" t="s">
        <v>572</v>
      </c>
      <c r="D2591" s="2" t="str">
        <f t="shared" si="39"/>
        <v>Error?</v>
      </c>
    </row>
    <row r="2592" spans="1:4" x14ac:dyDescent="0.2">
      <c r="A2592" s="10">
        <v>2531</v>
      </c>
      <c r="D2592" s="2" t="str">
        <f t="shared" si="39"/>
        <v>OK</v>
      </c>
    </row>
    <row r="2593" spans="1:4" x14ac:dyDescent="0.2">
      <c r="A2593" s="5">
        <v>2532</v>
      </c>
      <c r="B2593" s="138">
        <f>'Acct Summary 7-8'!F6</f>
        <v>110951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236975</v>
      </c>
      <c r="C2595" s="2" t="s">
        <v>572</v>
      </c>
      <c r="D2595" s="2" t="str">
        <f t="shared" si="39"/>
        <v>Error?</v>
      </c>
    </row>
    <row r="2596" spans="1:4" x14ac:dyDescent="0.2">
      <c r="A2596" s="5">
        <v>2535</v>
      </c>
      <c r="B2596" s="138">
        <f>'Acct Summary 7-8'!F13</f>
        <v>195898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37479</v>
      </c>
      <c r="C2599" s="2" t="s">
        <v>572</v>
      </c>
      <c r="D2599" s="2" t="str">
        <f t="shared" si="39"/>
        <v>Error?</v>
      </c>
    </row>
    <row r="2600" spans="1:4" x14ac:dyDescent="0.2">
      <c r="A2600" s="5">
        <v>2539</v>
      </c>
      <c r="B2600" s="138">
        <f>'Acct Summary 7-8'!F17</f>
        <v>233377</v>
      </c>
      <c r="C2600" s="2" t="s">
        <v>572</v>
      </c>
      <c r="D2600" s="2" t="str">
        <f t="shared" si="39"/>
        <v>Error?</v>
      </c>
    </row>
    <row r="2601" spans="1:4" x14ac:dyDescent="0.2">
      <c r="A2601" s="5">
        <v>2540</v>
      </c>
      <c r="B2601" s="138">
        <f>'Acct Summary 7-8'!F20</f>
        <v>3598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187307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187307</v>
      </c>
      <c r="C2606" s="2" t="s">
        <v>572</v>
      </c>
      <c r="D2606" s="2" t="str">
        <f t="shared" si="39"/>
        <v>Error?</v>
      </c>
    </row>
    <row r="2607" spans="1:4" x14ac:dyDescent="0.2">
      <c r="A2607" s="5">
        <v>2546</v>
      </c>
      <c r="B2607" s="138">
        <f>'Acct Summary 7-8'!G12</f>
        <v>53244</v>
      </c>
      <c r="C2607" s="2" t="s">
        <v>572</v>
      </c>
      <c r="D2607" s="2" t="str">
        <f t="shared" si="39"/>
        <v>Error?</v>
      </c>
    </row>
    <row r="2608" spans="1:4" x14ac:dyDescent="0.2">
      <c r="A2608" s="5">
        <v>2547</v>
      </c>
      <c r="B2608" s="138">
        <f>'Acct Summary 7-8'!G13</f>
        <v>97659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159247</v>
      </c>
      <c r="C2612" s="2" t="s">
        <v>572</v>
      </c>
      <c r="D2612" s="2" t="str">
        <f t="shared" si="39"/>
        <v>Error?</v>
      </c>
    </row>
    <row r="2613" spans="1:4" x14ac:dyDescent="0.2">
      <c r="A2613" s="5">
        <v>2552</v>
      </c>
      <c r="B2613" s="138">
        <f>'Acct Summary 7-8'!G20</f>
        <v>28060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329749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329749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336202</v>
      </c>
      <c r="C2634" s="2" t="s">
        <v>572</v>
      </c>
      <c r="D2634" s="2" t="str">
        <f t="shared" si="40"/>
        <v>Error?</v>
      </c>
    </row>
    <row r="2635" spans="1:4" x14ac:dyDescent="0.2">
      <c r="A2635" s="5">
        <v>2574</v>
      </c>
      <c r="B2635" s="138">
        <f>'Acct Summary 7-8'!E17</f>
        <v>336202</v>
      </c>
      <c r="C2635" s="2" t="s">
        <v>572</v>
      </c>
      <c r="D2635" s="2" t="str">
        <f t="shared" si="40"/>
        <v>Error?</v>
      </c>
    </row>
    <row r="2636" spans="1:4" x14ac:dyDescent="0.2">
      <c r="A2636" s="5">
        <v>2575</v>
      </c>
      <c r="B2636" s="138">
        <f>'Acct Summary 7-8'!E20</f>
        <v>-6453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190843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190843</v>
      </c>
      <c r="C2658" s="2" t="s">
        <v>572</v>
      </c>
      <c r="D2658" s="2" t="str">
        <f t="shared" si="40"/>
        <v>Error?</v>
      </c>
    </row>
    <row r="2659" spans="1:4" x14ac:dyDescent="0.2">
      <c r="A2659" s="5">
        <v>2598</v>
      </c>
      <c r="B2659" s="138">
        <f>'Acct Summary 7-8'!H13</f>
        <v>412500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412500</v>
      </c>
      <c r="C2661" s="2" t="s">
        <v>572</v>
      </c>
      <c r="D2661" s="2" t="str">
        <f t="shared" si="40"/>
        <v>Error?</v>
      </c>
    </row>
    <row r="2662" spans="1:4" x14ac:dyDescent="0.2">
      <c r="A2662" s="5">
        <v>2601</v>
      </c>
      <c r="B2662" s="138">
        <f>'Acct Summary 7-8'!H20</f>
        <v>-221657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3500</v>
      </c>
      <c r="C2789" s="2" t="s">
        <v>572</v>
      </c>
      <c r="D2789" s="2" t="str">
        <f t="shared" si="42"/>
        <v>Error?</v>
      </c>
    </row>
    <row r="2790" spans="1:4" x14ac:dyDescent="0.2">
      <c r="A2790" s="5">
        <v>2729</v>
      </c>
      <c r="B2790" s="138">
        <f>'Expenditures 15-22'!E102</f>
        <v>3500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203564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425013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818035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203564</v>
      </c>
      <c r="D2912" s="2" t="str">
        <f t="shared" si="44"/>
        <v>Error?</v>
      </c>
    </row>
    <row r="2913" spans="1:4" x14ac:dyDescent="0.2">
      <c r="A2913" s="5">
        <v>2852</v>
      </c>
      <c r="B2913" s="138">
        <f>'Assets-Liab 5-6'!I41</f>
        <v>203564</v>
      </c>
      <c r="C2913" s="2" t="s">
        <v>572</v>
      </c>
      <c r="D2913" s="2" t="str">
        <f t="shared" si="44"/>
        <v>Error?</v>
      </c>
    </row>
    <row r="2914" spans="1:4" x14ac:dyDescent="0.2">
      <c r="A2914" s="5">
        <v>2853</v>
      </c>
      <c r="B2914" s="138">
        <f>'Assets-Liab 5-6'!L33</f>
        <v>200566</v>
      </c>
      <c r="D2914" s="2" t="str">
        <f t="shared" si="44"/>
        <v>Error?</v>
      </c>
    </row>
    <row r="2915" spans="1:4" x14ac:dyDescent="0.2">
      <c r="A2915" s="10">
        <v>2854</v>
      </c>
      <c r="D2915" s="2" t="str">
        <f t="shared" si="44"/>
        <v>OK</v>
      </c>
    </row>
    <row r="2916" spans="1:4" x14ac:dyDescent="0.2">
      <c r="A2916" s="5">
        <v>2855</v>
      </c>
      <c r="B2916" s="138">
        <f>'Assets-Liab 5-6'!L34</f>
        <v>200566</v>
      </c>
      <c r="C2916" s="2" t="s">
        <v>572</v>
      </c>
      <c r="D2916" s="2" t="str">
        <f t="shared" si="44"/>
        <v>Error?</v>
      </c>
    </row>
    <row r="2917" spans="1:4" x14ac:dyDescent="0.2">
      <c r="A2917" s="5">
        <v>2856</v>
      </c>
      <c r="B2917" s="138">
        <f>'Assets-Liab 5-6'!L41</f>
        <v>818035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3500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3500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108110</v>
      </c>
      <c r="D3055" s="2" t="str">
        <f t="shared" si="46"/>
        <v>Error?</v>
      </c>
    </row>
    <row r="3056" spans="1:4" x14ac:dyDescent="0.2">
      <c r="A3056" s="5">
        <v>2995</v>
      </c>
      <c r="B3056" s="138">
        <f>'Expenditures 15-22'!D10</f>
        <v>35727</v>
      </c>
      <c r="D3056" s="2" t="str">
        <f t="shared" si="46"/>
        <v>Error?</v>
      </c>
    </row>
    <row r="3057" spans="1:4" x14ac:dyDescent="0.2">
      <c r="A3057" s="5">
        <v>2996</v>
      </c>
      <c r="B3057" s="138">
        <f>'Expenditures 15-22'!E10</f>
        <v>18043</v>
      </c>
      <c r="D3057" s="2" t="str">
        <f t="shared" si="46"/>
        <v>Error?</v>
      </c>
    </row>
    <row r="3058" spans="1:4" x14ac:dyDescent="0.2">
      <c r="A3058" s="5">
        <v>2997</v>
      </c>
      <c r="B3058" s="138">
        <f>'Expenditures 15-22'!F10</f>
        <v>11410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173290</v>
      </c>
      <c r="C3062" s="2" t="s">
        <v>572</v>
      </c>
      <c r="D3062" s="2" t="str">
        <f t="shared" si="46"/>
        <v>Error?</v>
      </c>
    </row>
    <row r="3063" spans="1:4" x14ac:dyDescent="0.2">
      <c r="A3063" s="10">
        <v>3002</v>
      </c>
      <c r="D3063" s="2" t="str">
        <f t="shared" si="46"/>
        <v>OK</v>
      </c>
    </row>
    <row r="3064" spans="1:4" x14ac:dyDescent="0.2">
      <c r="A3064" s="5">
        <v>3003</v>
      </c>
      <c r="B3064" s="138">
        <f>'Expenditures 15-22'!D219</f>
        <v>11906</v>
      </c>
      <c r="D3064" s="2" t="str">
        <f t="shared" si="46"/>
        <v>Error?</v>
      </c>
    </row>
    <row r="3065" spans="1:4" x14ac:dyDescent="0.2">
      <c r="A3065" s="5">
        <v>3004</v>
      </c>
      <c r="B3065" s="138">
        <f>'Expenditures 15-22'!K219</f>
        <v>11906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617469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28870</v>
      </c>
      <c r="C3225" s="2" t="s">
        <v>572</v>
      </c>
      <c r="D3225" s="2" t="str">
        <f t="shared" si="49"/>
        <v>Error?</v>
      </c>
    </row>
    <row r="3226" spans="1:4" x14ac:dyDescent="0.2">
      <c r="A3226" s="5">
        <v>3165</v>
      </c>
      <c r="B3226" s="138">
        <f>'Acct Summary 7-8'!I8</f>
        <v>28870</v>
      </c>
      <c r="C3226" s="2" t="s">
        <v>572</v>
      </c>
      <c r="D3226" s="2" t="str">
        <f t="shared" si="49"/>
        <v>Error?</v>
      </c>
    </row>
    <row r="3227" spans="1:4" x14ac:dyDescent="0.2">
      <c r="A3227" s="5">
        <v>3166</v>
      </c>
      <c r="B3227" s="138">
        <f>'Acct Summary 7-8'!I20</f>
        <v>28870</v>
      </c>
      <c r="C3227" s="2" t="s">
        <v>572</v>
      </c>
      <c r="D3227" s="2" t="str">
        <f t="shared" si="49"/>
        <v>Error?</v>
      </c>
    </row>
    <row r="3228" spans="1:4" x14ac:dyDescent="0.2">
      <c r="A3228" s="5">
        <v>3167</v>
      </c>
      <c r="B3228" s="138">
        <f>'Acct Summary 7-8'!C43</f>
        <v>29952</v>
      </c>
      <c r="D3228" s="2" t="str">
        <f t="shared" si="49"/>
        <v>Error?</v>
      </c>
    </row>
    <row r="3229" spans="1:4" x14ac:dyDescent="0.2">
      <c r="A3229" s="5">
        <v>3168</v>
      </c>
      <c r="B3229" s="138">
        <f>'Acct Summary 7-8'!C44</f>
        <v>29952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31264</v>
      </c>
      <c r="C3231" s="2" t="s">
        <v>572</v>
      </c>
      <c r="D3231" s="2" t="str">
        <f t="shared" si="49"/>
        <v>Error?</v>
      </c>
    </row>
    <row r="3232" spans="1:4" x14ac:dyDescent="0.2">
      <c r="A3232" s="5">
        <v>3171</v>
      </c>
      <c r="B3232" s="138">
        <f>'Acct Summary 7-8'!C77</f>
        <v>-1312</v>
      </c>
      <c r="C3232" s="2" t="s">
        <v>572</v>
      </c>
      <c r="D3232" s="2" t="str">
        <f t="shared" si="49"/>
        <v>Error?</v>
      </c>
    </row>
    <row r="3233" spans="1:4" x14ac:dyDescent="0.2">
      <c r="A3233" s="5">
        <v>3172</v>
      </c>
      <c r="B3233" s="138">
        <f>'Acct Summary 7-8'!C78</f>
        <v>-59456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43729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3598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28060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31264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31264</v>
      </c>
      <c r="C3277" s="2" t="s">
        <v>572</v>
      </c>
      <c r="D3277" s="2" t="str">
        <f t="shared" si="50"/>
        <v>Error?</v>
      </c>
    </row>
    <row r="3278" spans="1:4" x14ac:dyDescent="0.2">
      <c r="A3278" s="5">
        <v>3217</v>
      </c>
      <c r="B3278" s="138">
        <f>'Acct Summary 7-8'!E78</f>
        <v>24811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-221657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28870</v>
      </c>
      <c r="C3320" s="2" t="s">
        <v>572</v>
      </c>
      <c r="D3320" s="2" t="str">
        <f t="shared" si="50"/>
        <v>Error?</v>
      </c>
    </row>
    <row r="3321" spans="1:4" x14ac:dyDescent="0.2">
      <c r="A3321" s="5">
        <v>3260</v>
      </c>
      <c r="B3321" s="138">
        <f>'Acct Summary 7-8'!I79</f>
        <v>174694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203564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127496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41907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169403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26727</v>
      </c>
      <c r="D3387" s="2" t="str">
        <f t="shared" si="51"/>
        <v>Error?</v>
      </c>
    </row>
    <row r="3388" spans="1:4" x14ac:dyDescent="0.2">
      <c r="A3388" s="5">
        <v>3327</v>
      </c>
      <c r="B3388" s="138">
        <f>'Expenditures 15-22'!D217</f>
        <v>6260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26727</v>
      </c>
      <c r="C3390" s="2" t="s">
        <v>572</v>
      </c>
      <c r="D3390" s="2" t="str">
        <f t="shared" si="51"/>
        <v>Error?</v>
      </c>
    </row>
    <row r="3391" spans="1:4" x14ac:dyDescent="0.2">
      <c r="A3391" s="5">
        <v>3330</v>
      </c>
      <c r="B3391" s="138">
        <f>'Expenditures 15-22'!K217</f>
        <v>6260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1008672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219423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330678</v>
      </c>
      <c r="D3417" s="2" t="str">
        <f t="shared" si="52"/>
        <v>Error?</v>
      </c>
    </row>
    <row r="3418" spans="1:4" x14ac:dyDescent="0.2">
      <c r="A3418" s="10">
        <v>3357</v>
      </c>
      <c r="D3418" s="2" t="str">
        <f t="shared" si="52"/>
        <v>OK</v>
      </c>
    </row>
    <row r="3419" spans="1:4" x14ac:dyDescent="0.2">
      <c r="A3419" s="5">
        <v>3358</v>
      </c>
      <c r="B3419" s="138">
        <f>'Assets-Liab 5-6'!F4</f>
        <v>193236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191022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68575</v>
      </c>
      <c r="D3425" s="2" t="str">
        <f t="shared" si="52"/>
        <v>Error?</v>
      </c>
    </row>
    <row r="3426" spans="1:4" x14ac:dyDescent="0.2">
      <c r="A3426" s="10">
        <v>3365</v>
      </c>
      <c r="D3426" s="2" t="str">
        <f t="shared" si="52"/>
        <v>OK</v>
      </c>
    </row>
    <row r="3427" spans="1:4" x14ac:dyDescent="0.2">
      <c r="A3427" s="5">
        <v>3366</v>
      </c>
      <c r="B3427" s="138">
        <f>'Assets-Liab 5-6'!I4</f>
        <v>203564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393022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97951</v>
      </c>
      <c r="C3446" s="2" t="s">
        <v>572</v>
      </c>
      <c r="D3446" s="2" t="str">
        <f t="shared" si="52"/>
        <v>Error?</v>
      </c>
    </row>
    <row r="3447" spans="1:4" x14ac:dyDescent="0.2">
      <c r="A3447" s="5">
        <v>3386</v>
      </c>
      <c r="B3447" s="138">
        <f>'Tax Sched 23'!D16</f>
        <v>46545</v>
      </c>
      <c r="C3447" s="2" t="s">
        <v>572</v>
      </c>
      <c r="D3447" s="2" t="str">
        <f t="shared" si="52"/>
        <v>Error?</v>
      </c>
    </row>
    <row r="3448" spans="1:4" x14ac:dyDescent="0.2">
      <c r="A3448" s="5">
        <v>3387</v>
      </c>
      <c r="B3448" s="138">
        <f>'Tax Sched 23'!C16</f>
        <v>51406</v>
      </c>
      <c r="D3448" s="2" t="str">
        <f t="shared" si="52"/>
        <v>Error?</v>
      </c>
    </row>
    <row r="3449" spans="1:4" x14ac:dyDescent="0.2">
      <c r="A3449" s="5">
        <v>3388</v>
      </c>
      <c r="B3449" s="138">
        <f>'Tax Sched 23'!F16</f>
        <v>50625</v>
      </c>
      <c r="C3449" s="2" t="s">
        <v>572</v>
      </c>
      <c r="D3449" s="2" t="str">
        <f t="shared" si="52"/>
        <v>Error?</v>
      </c>
    </row>
    <row r="3450" spans="1:4" x14ac:dyDescent="0.2">
      <c r="A3450" s="5">
        <v>3389</v>
      </c>
      <c r="B3450" s="138">
        <f>'Tax Sched 23'!E16</f>
        <v>102031</v>
      </c>
      <c r="D3450" s="2" t="str">
        <f t="shared" si="52"/>
        <v>Error?</v>
      </c>
    </row>
    <row r="3451" spans="1:4" x14ac:dyDescent="0.2">
      <c r="A3451" s="5">
        <v>3390</v>
      </c>
      <c r="B3451" s="138">
        <f>'Cap Outlay Deprec 26'!C15</f>
        <v>39379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39379</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38139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38139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38139</v>
      </c>
      <c r="D3567" s="2" t="str">
        <f t="shared" si="54"/>
        <v>Error?</v>
      </c>
    </row>
    <row r="3568" spans="1:4" x14ac:dyDescent="0.2">
      <c r="A3568" s="5">
        <v>3507</v>
      </c>
      <c r="B3568" s="138">
        <f>'Assets-Liab 5-6'!K41</f>
        <v>38139</v>
      </c>
      <c r="C3568" s="2" t="s">
        <v>572</v>
      </c>
      <c r="D3568" s="2" t="str">
        <f t="shared" si="54"/>
        <v>Error?</v>
      </c>
    </row>
    <row r="3569" spans="1:4" x14ac:dyDescent="0.2">
      <c r="A3569" s="5">
        <v>3508</v>
      </c>
      <c r="B3569" s="138">
        <f>'Acct Summary 7-8'!K4</f>
        <v>78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78</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78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78</v>
      </c>
      <c r="C3588" s="2" t="s">
        <v>572</v>
      </c>
      <c r="D3588" s="2" t="str">
        <f t="shared" si="55"/>
        <v>Error?</v>
      </c>
    </row>
    <row r="3589" spans="1:4" x14ac:dyDescent="0.2">
      <c r="A3589" s="5">
        <v>3528</v>
      </c>
      <c r="B3589" s="138">
        <f>'Acct Summary 7-8'!K79</f>
        <v>38061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38139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8344</v>
      </c>
      <c r="D3721" s="2" t="str">
        <f t="shared" si="57"/>
        <v>Error?</v>
      </c>
    </row>
    <row r="3722" spans="1:4" x14ac:dyDescent="0.2">
      <c r="A3722" s="5">
        <v>3661</v>
      </c>
      <c r="B3722" s="138">
        <f>'Expenditures 15-22'!D285</f>
        <v>8344</v>
      </c>
      <c r="C3722" s="2" t="s">
        <v>572</v>
      </c>
      <c r="D3722" s="2" t="str">
        <f t="shared" si="57"/>
        <v>Error?</v>
      </c>
    </row>
    <row r="3723" spans="1:4" x14ac:dyDescent="0.2">
      <c r="A3723" s="5">
        <v>3662</v>
      </c>
      <c r="B3723" s="138">
        <f>'Expenditures 15-22'!K283</f>
        <v>8344</v>
      </c>
      <c r="C3723" s="2" t="s">
        <v>572</v>
      </c>
      <c r="D3723" s="2" t="str">
        <f t="shared" si="57"/>
        <v>Error?</v>
      </c>
    </row>
    <row r="3724" spans="1:4" x14ac:dyDescent="0.2">
      <c r="A3724" s="5">
        <v>3663</v>
      </c>
      <c r="B3724" s="138">
        <f>'Expenditures 15-22'!K285</f>
        <v>8344</v>
      </c>
      <c r="C3724" s="2" t="s">
        <v>572</v>
      </c>
      <c r="D3724" s="2" t="str">
        <f t="shared" si="57"/>
        <v>Error?</v>
      </c>
    </row>
    <row r="3725" spans="1:4" x14ac:dyDescent="0.2">
      <c r="A3725" s="5">
        <v>3664</v>
      </c>
      <c r="B3725" s="138">
        <f>'Tax Sched 23'!B13</f>
        <v>28463</v>
      </c>
      <c r="C3725" s="2" t="s">
        <v>572</v>
      </c>
      <c r="D3725" s="2" t="str">
        <f t="shared" si="57"/>
        <v>Error?</v>
      </c>
    </row>
    <row r="3726" spans="1:4" x14ac:dyDescent="0.2">
      <c r="A3726" s="5">
        <v>3665</v>
      </c>
      <c r="B3726" s="138">
        <f>'Tax Sched 23'!D13</f>
        <v>13900</v>
      </c>
      <c r="C3726" s="2" t="s">
        <v>572</v>
      </c>
      <c r="D3726" s="2" t="str">
        <f t="shared" si="57"/>
        <v>Error?</v>
      </c>
    </row>
    <row r="3727" spans="1:4" x14ac:dyDescent="0.2">
      <c r="A3727" s="5">
        <v>3666</v>
      </c>
      <c r="B3727" s="138">
        <f>'Tax Sched 23'!C13</f>
        <v>14563</v>
      </c>
      <c r="D3727" s="2" t="str">
        <f t="shared" si="57"/>
        <v>Error?</v>
      </c>
    </row>
    <row r="3728" spans="1:4" x14ac:dyDescent="0.2">
      <c r="A3728" s="5">
        <v>3667</v>
      </c>
      <c r="B3728" s="138">
        <f>'Tax Sched 23'!F13</f>
        <v>14341</v>
      </c>
      <c r="C3728" s="2" t="s">
        <v>572</v>
      </c>
      <c r="D3728" s="2" t="str">
        <f t="shared" si="57"/>
        <v>Error?</v>
      </c>
    </row>
    <row r="3729" spans="1:4" x14ac:dyDescent="0.2">
      <c r="A3729" s="5">
        <v>3668</v>
      </c>
      <c r="B3729" s="138">
        <f>'Tax Sched 23'!E13</f>
        <v>28904</v>
      </c>
      <c r="D3729" s="2" t="str">
        <f t="shared" si="57"/>
        <v>Error?</v>
      </c>
    </row>
    <row r="3730" spans="1:4" x14ac:dyDescent="0.2">
      <c r="A3730" s="5">
        <v>3669</v>
      </c>
      <c r="B3730" s="138">
        <f>'ICR Computation 30'!E10</f>
        <v>81749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1934680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6304188</v>
      </c>
      <c r="C4122" s="2" t="s">
        <v>572</v>
      </c>
      <c r="D4122" s="2" t="str">
        <f t="shared" si="63"/>
        <v>Error?</v>
      </c>
    </row>
    <row r="4123" spans="1:4" x14ac:dyDescent="0.2">
      <c r="A4123" s="5">
        <v>4062</v>
      </c>
      <c r="B4123" s="138">
        <f>'Acct Summary 7-8'!D10</f>
        <v>460697</v>
      </c>
      <c r="C4123" s="2" t="s">
        <v>572</v>
      </c>
      <c r="D4123" s="2" t="str">
        <f t="shared" si="63"/>
        <v>Error?</v>
      </c>
    </row>
    <row r="4124" spans="1:4" x14ac:dyDescent="0.2">
      <c r="A4124" s="5">
        <v>4063</v>
      </c>
      <c r="B4124" s="138">
        <f>'Acct Summary 7-8'!E10</f>
        <v>329749</v>
      </c>
      <c r="C4124" s="2" t="s">
        <v>572</v>
      </c>
      <c r="D4124" s="2" t="str">
        <f t="shared" si="63"/>
        <v>Error?</v>
      </c>
    </row>
    <row r="4125" spans="1:4" x14ac:dyDescent="0.2">
      <c r="A4125" s="5">
        <v>4064</v>
      </c>
      <c r="B4125" s="138">
        <f>'Acct Summary 7-8'!F10</f>
        <v>236975</v>
      </c>
      <c r="C4125" s="2" t="s">
        <v>572</v>
      </c>
      <c r="D4125" s="2" t="str">
        <f t="shared" si="63"/>
        <v>Error?</v>
      </c>
    </row>
    <row r="4126" spans="1:4" x14ac:dyDescent="0.2">
      <c r="A4126" s="5">
        <v>4065</v>
      </c>
      <c r="B4126" s="138">
        <f>'Acct Summary 7-8'!G10</f>
        <v>187307</v>
      </c>
      <c r="C4126" s="2" t="s">
        <v>572</v>
      </c>
      <c r="D4126" s="2" t="str">
        <f t="shared" si="63"/>
        <v>Error?</v>
      </c>
    </row>
    <row r="4127" spans="1:4" x14ac:dyDescent="0.2">
      <c r="A4127" s="5">
        <v>4066</v>
      </c>
      <c r="B4127" s="138">
        <f>'Acct Summary 7-8'!H10</f>
        <v>190843</v>
      </c>
      <c r="C4127" s="2" t="s">
        <v>572</v>
      </c>
      <c r="D4127" s="2" t="str">
        <f t="shared" si="63"/>
        <v>Error?</v>
      </c>
    </row>
    <row r="4128" spans="1:4" x14ac:dyDescent="0.2">
      <c r="A4128" s="5">
        <v>4067</v>
      </c>
      <c r="B4128" s="138">
        <f>'Acct Summary 7-8'!I10</f>
        <v>28870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78</v>
      </c>
      <c r="C4130" s="2" t="s">
        <v>572</v>
      </c>
      <c r="D4130" s="2" t="str">
        <f t="shared" si="63"/>
        <v>Error?</v>
      </c>
    </row>
    <row r="4131" spans="1:4" x14ac:dyDescent="0.2">
      <c r="A4131" s="5">
        <v>4070</v>
      </c>
      <c r="B4131" s="138">
        <f>'Acct Summary 7-8'!C18</f>
        <v>1934680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6362332</v>
      </c>
      <c r="C4136" s="2" t="s">
        <v>572</v>
      </c>
      <c r="D4136" s="2" t="str">
        <f t="shared" si="63"/>
        <v>Error?</v>
      </c>
    </row>
    <row r="4137" spans="1:4" x14ac:dyDescent="0.2">
      <c r="A4137" s="5">
        <v>4076</v>
      </c>
      <c r="B4137" s="138">
        <f>'Acct Summary 7-8'!D19</f>
        <v>416968</v>
      </c>
      <c r="C4137" s="2" t="s">
        <v>572</v>
      </c>
      <c r="D4137" s="2" t="str">
        <f t="shared" si="63"/>
        <v>Error?</v>
      </c>
    </row>
    <row r="4138" spans="1:4" x14ac:dyDescent="0.2">
      <c r="A4138" s="5">
        <v>4077</v>
      </c>
      <c r="B4138" s="138">
        <f>'Acct Summary 7-8'!E19</f>
        <v>336202</v>
      </c>
      <c r="C4138" s="2" t="s">
        <v>572</v>
      </c>
      <c r="D4138" s="2" t="str">
        <f t="shared" si="63"/>
        <v>Error?</v>
      </c>
    </row>
    <row r="4139" spans="1:4" x14ac:dyDescent="0.2">
      <c r="A4139" s="5">
        <v>4078</v>
      </c>
      <c r="B4139" s="138">
        <f>'Acct Summary 7-8'!F19</f>
        <v>233377</v>
      </c>
      <c r="C4139" s="2" t="s">
        <v>572</v>
      </c>
      <c r="D4139" s="2" t="str">
        <f t="shared" si="63"/>
        <v>Error?</v>
      </c>
    </row>
    <row r="4140" spans="1:4" x14ac:dyDescent="0.2">
      <c r="A4140" s="5">
        <v>4079</v>
      </c>
      <c r="B4140" s="138">
        <f>'Acct Summary 7-8'!G19</f>
        <v>159247</v>
      </c>
      <c r="C4140" s="2" t="s">
        <v>572</v>
      </c>
      <c r="D4140" s="2" t="str">
        <f t="shared" si="63"/>
        <v>Error?</v>
      </c>
    </row>
    <row r="4141" spans="1:4" x14ac:dyDescent="0.2">
      <c r="A4141" s="5">
        <v>4080</v>
      </c>
      <c r="B4141" s="138">
        <f>'Acct Summary 7-8'!H19</f>
        <v>412500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1795956</v>
      </c>
      <c r="C4171" s="2" t="s">
        <v>572</v>
      </c>
      <c r="D4171" s="2" t="str">
        <f t="shared" si="64"/>
        <v>Error?</v>
      </c>
    </row>
    <row r="4172" spans="1:4" x14ac:dyDescent="0.2">
      <c r="A4172" s="5">
        <v>4111</v>
      </c>
      <c r="B4172" s="138">
        <f>'Short-Term Long-Term Debt 24'!J49</f>
        <v>1234441</v>
      </c>
      <c r="C4172" s="2" t="s">
        <v>572</v>
      </c>
      <c r="D4172" s="2" t="str">
        <f t="shared" si="64"/>
        <v>Error?</v>
      </c>
    </row>
    <row r="4173" spans="1:4" x14ac:dyDescent="0.2">
      <c r="A4173" s="5">
        <v>4112</v>
      </c>
      <c r="B4173" s="138">
        <f>'Short-Term Long-Term Debt 24'!H49</f>
        <v>299850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-4878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34830</v>
      </c>
      <c r="D4210" s="2" t="str">
        <f t="shared" si="64"/>
        <v>Error?</v>
      </c>
    </row>
    <row r="4211" spans="1:4" x14ac:dyDescent="0.2">
      <c r="A4211" s="5">
        <v>4150</v>
      </c>
      <c r="B4211" s="138">
        <f>'Expenditures 15-22'!K206</f>
        <v>34830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3300</v>
      </c>
      <c r="C4268" s="2" t="s">
        <v>572</v>
      </c>
      <c r="D4268" s="2" t="str">
        <f t="shared" si="65"/>
        <v>Error?</v>
      </c>
    </row>
    <row r="4269" spans="1:5" x14ac:dyDescent="0.2">
      <c r="A4269" s="12">
        <v>4208</v>
      </c>
      <c r="B4269" s="138">
        <f>'FP Info 3'!J16</f>
        <v>2346074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3578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2987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18721</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18721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8541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57808212</v>
      </c>
      <c r="D4995" s="2" t="str">
        <f t="shared" si="77"/>
        <v>Error?</v>
      </c>
    </row>
    <row r="4996" spans="1:4" x14ac:dyDescent="0.2">
      <c r="A4996" s="12">
        <v>4935</v>
      </c>
      <c r="B4996" s="138">
        <f>'FP Info 3'!H31</f>
        <v>7977533.256000001</v>
      </c>
      <c r="D4996" s="2" t="str">
        <f t="shared" si="77"/>
        <v>Error?</v>
      </c>
    </row>
    <row r="4997" spans="1:4" x14ac:dyDescent="0.2">
      <c r="A4997" s="12">
        <v>4936</v>
      </c>
      <c r="B4997" s="138">
        <f>'FP Info 3'!H37</f>
        <v>1795956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28463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1480136</v>
      </c>
      <c r="D5061" s="2" t="str">
        <f t="shared" si="78"/>
        <v>Error?</v>
      </c>
    </row>
    <row r="5062" spans="1:4" x14ac:dyDescent="0.2">
      <c r="A5062" s="10">
        <v>5001</v>
      </c>
      <c r="D5062" s="2" t="str">
        <f t="shared" si="78"/>
        <v>OK</v>
      </c>
    </row>
    <row r="5063" spans="1:4" x14ac:dyDescent="0.2">
      <c r="A5063" s="5">
        <v>5002</v>
      </c>
      <c r="B5063" s="138">
        <f>'Revenues 9-14'!C7</f>
        <v>22771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1531370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534</v>
      </c>
      <c r="D5068" s="2" t="str">
        <f t="shared" si="78"/>
        <v>Error?</v>
      </c>
    </row>
    <row r="5069" spans="1:4" x14ac:dyDescent="0.2">
      <c r="A5069" s="5">
        <v>5008</v>
      </c>
      <c r="B5069" s="138">
        <f>'Revenues 9-14'!C16</f>
        <v>151477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152011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16198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16198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2126</v>
      </c>
      <c r="D5094" s="2" t="str">
        <f t="shared" si="78"/>
        <v>Error?</v>
      </c>
    </row>
    <row r="5095" spans="1:4" x14ac:dyDescent="0.2">
      <c r="A5095" s="5">
        <v>5034</v>
      </c>
      <c r="B5095" s="138">
        <f>'Revenues 9-14'!C74</f>
        <v>437</v>
      </c>
      <c r="D5095" s="2" t="str">
        <f t="shared" si="78"/>
        <v>Error?</v>
      </c>
    </row>
    <row r="5096" spans="1:4" x14ac:dyDescent="0.2">
      <c r="A5096" s="5">
        <v>5035</v>
      </c>
      <c r="B5096" s="138">
        <f>'Revenues 9-14'!C75</f>
        <v>61702</v>
      </c>
      <c r="C5096" s="2" t="s">
        <v>572</v>
      </c>
      <c r="D5096" s="2" t="str">
        <f t="shared" si="78"/>
        <v>Error?</v>
      </c>
    </row>
    <row r="5097" spans="1:4" x14ac:dyDescent="0.2">
      <c r="A5097" s="5">
        <v>5036</v>
      </c>
      <c r="B5097" s="138">
        <f>'Revenues 9-14'!C77</f>
        <v>20425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20939</v>
      </c>
      <c r="C5102" s="2" t="s">
        <v>572</v>
      </c>
      <c r="D5102" s="2" t="str">
        <f t="shared" si="78"/>
        <v>Error?</v>
      </c>
    </row>
    <row r="5103" spans="1:4" x14ac:dyDescent="0.2">
      <c r="A5103" s="5">
        <v>5042</v>
      </c>
      <c r="B5103" s="138">
        <f>'Revenues 9-14'!C84</f>
        <v>24243</v>
      </c>
      <c r="D5103" s="2" t="str">
        <f t="shared" si="78"/>
        <v>Error?</v>
      </c>
    </row>
    <row r="5104" spans="1:4" x14ac:dyDescent="0.2">
      <c r="A5104" s="5">
        <v>5043</v>
      </c>
      <c r="B5104" s="138">
        <f>'Revenues 9-14'!C85</f>
        <v>50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7015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31308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10000</v>
      </c>
      <c r="D5114" s="2" t="str">
        <f t="shared" si="78"/>
        <v>Error?</v>
      </c>
    </row>
    <row r="5115" spans="1:4" x14ac:dyDescent="0.2">
      <c r="A5115" s="5">
        <v>5054</v>
      </c>
      <c r="B5115" s="138">
        <f>'Revenues 9-14'!C98</f>
        <v>24880</v>
      </c>
      <c r="D5115" s="2" t="str">
        <f t="shared" si="78"/>
        <v>Error?</v>
      </c>
    </row>
    <row r="5116" spans="1:4" x14ac:dyDescent="0.2">
      <c r="A5116" s="5">
        <v>5055</v>
      </c>
      <c r="B5116" s="138">
        <f>'Revenues 9-14'!C99</f>
        <v>11009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3000</v>
      </c>
      <c r="D5119" s="2" t="str">
        <f t="shared" ref="D5119:D5182" si="79">IF(ISBLANK(B5119),"OK",IF(A5119-B5119=0,"OK","Error?"))</f>
        <v>Error?</v>
      </c>
    </row>
    <row r="5120" spans="1:4" x14ac:dyDescent="0.2">
      <c r="A5120" s="5">
        <v>5059</v>
      </c>
      <c r="B5120" s="138">
        <f>'Revenues 9-14'!C108</f>
        <v>62939</v>
      </c>
      <c r="C5120" s="2" t="s">
        <v>572</v>
      </c>
      <c r="D5120" s="2" t="str">
        <f t="shared" si="79"/>
        <v>Error?</v>
      </c>
    </row>
    <row r="5121" spans="1:4" x14ac:dyDescent="0.2">
      <c r="A5121" s="5">
        <v>5060</v>
      </c>
      <c r="B5121" s="138">
        <f>'Revenues 9-14'!C109</f>
        <v>1876467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2009762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2009762</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6335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10563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25061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2262</v>
      </c>
      <c r="D5167" s="2" t="str">
        <f t="shared" si="79"/>
        <v>Error?</v>
      </c>
    </row>
    <row r="5168" spans="1:4" x14ac:dyDescent="0.2">
      <c r="A5168" s="5">
        <v>5107</v>
      </c>
      <c r="B5168" s="138">
        <f>'Revenues 9-14'!C148</f>
        <v>7439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143092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184939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2194701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114914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23827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138741</v>
      </c>
      <c r="C5246" s="2" t="s">
        <v>572</v>
      </c>
      <c r="D5246" s="2" t="str">
        <f t="shared" si="80"/>
        <v>Error?</v>
      </c>
    </row>
    <row r="5247" spans="1:4" x14ac:dyDescent="0.2">
      <c r="A5247" s="5">
        <v>5186</v>
      </c>
      <c r="B5247" s="138">
        <f>'Revenues 9-14'!C200</f>
        <v>124492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124492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1280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1280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298340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298340</v>
      </c>
      <c r="C5326" s="2" t="s">
        <v>572</v>
      </c>
      <c r="D5326" s="2" t="str">
        <f t="shared" si="82"/>
        <v>Error?</v>
      </c>
    </row>
    <row r="5327" spans="1:5" x14ac:dyDescent="0.2">
      <c r="A5327" s="5">
        <v>5266</v>
      </c>
      <c r="B5327" s="138">
        <f>'Revenues 9-14'!C268</f>
        <v>4369508</v>
      </c>
      <c r="C5327" s="2" t="s">
        <v>572</v>
      </c>
      <c r="D5327" s="2" t="str">
        <f t="shared" si="82"/>
        <v>Error?</v>
      </c>
    </row>
    <row r="5328" spans="1:5" x14ac:dyDescent="0.2">
      <c r="A5328" s="5">
        <v>5267</v>
      </c>
      <c r="B5328" s="138">
        <f>'Revenues 9-14'!D5</f>
        <v>284641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284641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99</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99</v>
      </c>
      <c r="C5339" s="2" t="s">
        <v>572</v>
      </c>
      <c r="D5339" s="2" t="str">
        <f t="shared" si="82"/>
        <v>Error?</v>
      </c>
    </row>
    <row r="5340" spans="1:4" x14ac:dyDescent="0.2">
      <c r="A5340" s="5">
        <v>5279</v>
      </c>
      <c r="B5340" s="138">
        <f>'Revenues 9-14'!D65</f>
        <v>625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570</v>
      </c>
      <c r="D5354" s="2" t="str">
        <f t="shared" si="82"/>
        <v>Error?</v>
      </c>
    </row>
    <row r="5355" spans="1:4" x14ac:dyDescent="0.2">
      <c r="A5355" s="5">
        <v>5294</v>
      </c>
      <c r="B5355" s="138">
        <f>'Revenues 9-14'!D108</f>
        <v>570</v>
      </c>
      <c r="C5355" s="2" t="s">
        <v>572</v>
      </c>
      <c r="D5355" s="2" t="str">
        <f t="shared" si="82"/>
        <v>Error?</v>
      </c>
    </row>
    <row r="5356" spans="1:4" x14ac:dyDescent="0.2">
      <c r="A5356" s="5">
        <v>5295</v>
      </c>
      <c r="B5356" s="138">
        <f>'Revenues 9-14'!D109</f>
        <v>285935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174762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174762</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174762</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460697</v>
      </c>
      <c r="C5508" s="2" t="s">
        <v>572</v>
      </c>
      <c r="D5508" s="2" t="str">
        <f t="shared" si="85"/>
        <v>Error?</v>
      </c>
    </row>
    <row r="5509" spans="1:4" x14ac:dyDescent="0.2">
      <c r="A5509" s="5">
        <v>5448</v>
      </c>
      <c r="B5509" s="138">
        <f>'Revenues 9-14'!E5</f>
        <v>192410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192410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67</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67</v>
      </c>
      <c r="C5518" s="2" t="s">
        <v>572</v>
      </c>
      <c r="D5518" s="2" t="str">
        <f t="shared" si="85"/>
        <v>Error?</v>
      </c>
    </row>
    <row r="5519" spans="1:4" x14ac:dyDescent="0.2">
      <c r="A5519" s="5">
        <v>5458</v>
      </c>
      <c r="B5519" s="138">
        <f>'Revenues 9-14'!E65</f>
        <v>9160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9160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128112</v>
      </c>
      <c r="C5526" s="2" t="s">
        <v>572</v>
      </c>
      <c r="D5526" s="2" t="str">
        <f t="shared" si="85"/>
        <v>Error?</v>
      </c>
    </row>
    <row r="5527" spans="1:4" x14ac:dyDescent="0.2">
      <c r="A5527" s="5">
        <v>5466</v>
      </c>
      <c r="B5527" s="138">
        <f>'Revenues 9-14'!E109</f>
        <v>329749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329749</v>
      </c>
      <c r="C5552" s="2" t="s">
        <v>572</v>
      </c>
      <c r="D5552" s="2" t="str">
        <f t="shared" si="85"/>
        <v>Error?</v>
      </c>
    </row>
    <row r="5553" spans="1:4" x14ac:dyDescent="0.2">
      <c r="A5553" s="5">
        <v>5492</v>
      </c>
      <c r="B5553" s="138">
        <f>'Revenues 9-14'!F5</f>
        <v>113856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113856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40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11699</v>
      </c>
      <c r="C5587" s="2" t="s">
        <v>572</v>
      </c>
      <c r="D5587" s="2" t="str">
        <f t="shared" si="86"/>
        <v>Error?</v>
      </c>
    </row>
    <row r="5588" spans="1:4" x14ac:dyDescent="0.2">
      <c r="A5588" s="5">
        <v>5527</v>
      </c>
      <c r="B5588" s="138">
        <f>'Revenues 9-14'!F109</f>
        <v>126024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48855</v>
      </c>
      <c r="D5615" s="2" t="str">
        <f t="shared" si="86"/>
        <v>Error?</v>
      </c>
    </row>
    <row r="5616" spans="1:4" x14ac:dyDescent="0.2">
      <c r="A5616" s="10">
        <v>5555</v>
      </c>
      <c r="D5616" s="2" t="str">
        <f t="shared" si="86"/>
        <v>OK</v>
      </c>
    </row>
    <row r="5617" spans="1:5" x14ac:dyDescent="0.2">
      <c r="A5617" s="5">
        <v>5556</v>
      </c>
      <c r="B5617" s="138">
        <f>'Revenues 9-14'!F153</f>
        <v>62096</v>
      </c>
      <c r="D5617" s="2" t="str">
        <f t="shared" si="86"/>
        <v>Error?</v>
      </c>
    </row>
    <row r="5618" spans="1:5" x14ac:dyDescent="0.2">
      <c r="A5618" s="5">
        <v>5557</v>
      </c>
      <c r="B5618" s="138">
        <f>'Revenues 9-14'!F155</f>
        <v>110951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110951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110951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236975</v>
      </c>
      <c r="C5720" s="2" t="s">
        <v>572</v>
      </c>
      <c r="D5720" s="2" t="str">
        <f t="shared" si="88"/>
        <v>Error?</v>
      </c>
    </row>
    <row r="5721" spans="1:4" x14ac:dyDescent="0.2">
      <c r="A5721" s="5">
        <v>5660</v>
      </c>
      <c r="B5721" s="138">
        <f>'Revenues 9-14'!G5</f>
        <v>77909</v>
      </c>
      <c r="D5721" s="2" t="str">
        <f t="shared" si="88"/>
        <v>Error?</v>
      </c>
    </row>
    <row r="5722" spans="1:4" x14ac:dyDescent="0.2">
      <c r="A5722" s="5">
        <v>5661</v>
      </c>
      <c r="B5722" s="138">
        <f>'Revenues 9-14'!G7</f>
        <v>0</v>
      </c>
      <c r="D5722" s="2" t="str">
        <f t="shared" si="88"/>
        <v>Error?</v>
      </c>
    </row>
    <row r="5723" spans="1:4" x14ac:dyDescent="0.2">
      <c r="A5723" s="5">
        <v>5662</v>
      </c>
      <c r="B5723" s="138">
        <f>'Revenues 9-14'!G8</f>
        <v>97951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175860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63</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11063</v>
      </c>
      <c r="C5730" s="2" t="s">
        <v>572</v>
      </c>
      <c r="D5730" s="2" t="str">
        <f t="shared" si="88"/>
        <v>Error?</v>
      </c>
    </row>
    <row r="5731" spans="1:4" x14ac:dyDescent="0.2">
      <c r="A5731" s="5">
        <v>5670</v>
      </c>
      <c r="B5731" s="138">
        <f>'Revenues 9-14'!G65</f>
        <v>384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187307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118864</v>
      </c>
      <c r="D5885" s="2" t="str">
        <f t="shared" si="90"/>
        <v>Error?</v>
      </c>
    </row>
    <row r="5886" spans="1:4" x14ac:dyDescent="0.2">
      <c r="A5886" s="5">
        <v>5825</v>
      </c>
      <c r="B5886" s="138">
        <f>'Revenues 9-14'!H108</f>
        <v>190731</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190843</v>
      </c>
      <c r="C5915" s="2" t="s">
        <v>572</v>
      </c>
      <c r="D5915" s="2" t="str">
        <f t="shared" si="91"/>
        <v>Error?</v>
      </c>
    </row>
    <row r="5916" spans="1:4" x14ac:dyDescent="0.2">
      <c r="A5916" s="5">
        <v>5855</v>
      </c>
      <c r="B5916" s="138">
        <f>'Revenues 9-14'!I5</f>
        <v>28465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28465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10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v>
      </c>
      <c r="C5923" s="2" t="s">
        <v>572</v>
      </c>
      <c r="D5923" s="2" t="str">
        <f t="shared" si="91"/>
        <v>Error?</v>
      </c>
    </row>
    <row r="5924" spans="1:4" x14ac:dyDescent="0.2">
      <c r="A5924" s="5">
        <v>5863</v>
      </c>
      <c r="B5924" s="138">
        <f>'Revenues 9-14'!I65</f>
        <v>395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28870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78</v>
      </c>
      <c r="C6023" s="2" t="s">
        <v>572</v>
      </c>
      <c r="D6023" s="2" t="str">
        <f t="shared" si="93"/>
        <v>Error?</v>
      </c>
    </row>
    <row r="6024" spans="1:5" x14ac:dyDescent="0.2">
      <c r="A6024" s="5">
        <v>5963</v>
      </c>
      <c r="B6024" s="138">
        <f>'Revenues 9-14'!G109</f>
        <v>187307</v>
      </c>
      <c r="C6024" s="2" t="s">
        <v>572</v>
      </c>
      <c r="D6024" s="2" t="str">
        <f t="shared" si="93"/>
        <v>Error?</v>
      </c>
    </row>
    <row r="6025" spans="1:5" x14ac:dyDescent="0.2">
      <c r="A6025" s="5">
        <v>5964</v>
      </c>
      <c r="B6025" s="138">
        <f>'Revenues 9-14'!H109</f>
        <v>190843</v>
      </c>
      <c r="C6025" s="2" t="s">
        <v>572</v>
      </c>
      <c r="D6025" s="2" t="str">
        <f t="shared" si="93"/>
        <v>Error?</v>
      </c>
    </row>
    <row r="6026" spans="1:5" x14ac:dyDescent="0.2">
      <c r="A6026" s="5">
        <v>5965</v>
      </c>
      <c r="B6026" s="138">
        <f>'Revenues 9-14'!I109</f>
        <v>28870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59139</v>
      </c>
      <c r="D6031" s="2" t="str">
        <f t="shared" si="93"/>
        <v>Error?</v>
      </c>
    </row>
    <row r="6032" spans="1:5" x14ac:dyDescent="0.2">
      <c r="A6032" s="5">
        <v>5971</v>
      </c>
      <c r="B6032" s="138">
        <f>'Acct Summary 7-8'!G15</f>
        <v>8344</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19212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503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15706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15706</v>
      </c>
      <c r="D6215" s="2" t="str">
        <f t="shared" si="96"/>
        <v>Error?</v>
      </c>
      <c r="E6215" s="2" t="s">
        <v>190</v>
      </c>
    </row>
    <row r="6216" spans="1:5" x14ac:dyDescent="0.2">
      <c r="A6216">
        <v>6155</v>
      </c>
      <c r="B6216" s="138">
        <f>'Assets-Liab 5-6'!J41</f>
        <v>15706</v>
      </c>
      <c r="D6216" s="2" t="str">
        <f t="shared" si="96"/>
        <v>Error?</v>
      </c>
      <c r="E6216" s="2" t="s">
        <v>190</v>
      </c>
    </row>
    <row r="6217" spans="1:5" x14ac:dyDescent="0.2">
      <c r="A6217">
        <v>6156</v>
      </c>
      <c r="B6217" s="138">
        <f>'Assets-Liab 5-6'!J4</f>
        <v>15706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227344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227344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227344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228634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228634</v>
      </c>
      <c r="D6229" s="2" t="str">
        <f t="shared" si="96"/>
        <v>Error?</v>
      </c>
      <c r="E6229" s="2" t="s">
        <v>190</v>
      </c>
    </row>
    <row r="6230" spans="1:5" x14ac:dyDescent="0.2">
      <c r="A6230">
        <v>6169</v>
      </c>
      <c r="B6230" s="138">
        <f>'Acct Summary 7-8'!J20</f>
        <v>-1290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29850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1414</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-1290</v>
      </c>
      <c r="D6263" s="2" t="str">
        <f t="shared" si="96"/>
        <v>Error?</v>
      </c>
      <c r="E6263" s="2" t="s">
        <v>190</v>
      </c>
    </row>
    <row r="6264" spans="1:5" x14ac:dyDescent="0.2">
      <c r="A6264">
        <v>6203</v>
      </c>
      <c r="B6264" s="138">
        <f>'Acct Summary 7-8'!J79</f>
        <v>16996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15706</v>
      </c>
      <c r="D6266" s="2" t="str">
        <f t="shared" si="96"/>
        <v>Error?</v>
      </c>
      <c r="E6266" s="2" t="s">
        <v>190</v>
      </c>
    </row>
    <row r="6267" spans="1:5" x14ac:dyDescent="0.2">
      <c r="A6267">
        <v>6206</v>
      </c>
      <c r="B6267" s="138">
        <f>'Acct Summary 7-8'!C82</f>
        <v>-59456</v>
      </c>
      <c r="D6267" s="2" t="str">
        <f t="shared" si="96"/>
        <v>Error?</v>
      </c>
      <c r="E6267" s="2" t="s">
        <v>190</v>
      </c>
    </row>
    <row r="6268" spans="1:5" x14ac:dyDescent="0.2">
      <c r="A6268">
        <v>6207</v>
      </c>
      <c r="B6268" s="138">
        <f>'Acct Summary 7-8'!D82</f>
        <v>43729</v>
      </c>
      <c r="D6268" s="2" t="str">
        <f t="shared" si="96"/>
        <v>Error?</v>
      </c>
      <c r="E6268" s="2" t="s">
        <v>190</v>
      </c>
    </row>
    <row r="6269" spans="1:5" x14ac:dyDescent="0.2">
      <c r="A6269">
        <v>6208</v>
      </c>
      <c r="B6269" s="138">
        <f>'Acct Summary 7-8'!E82</f>
        <v>24811</v>
      </c>
      <c r="D6269" s="2" t="str">
        <f t="shared" si="96"/>
        <v>Error?</v>
      </c>
      <c r="E6269" s="2" t="s">
        <v>190</v>
      </c>
    </row>
    <row r="6270" spans="1:5" x14ac:dyDescent="0.2">
      <c r="A6270">
        <v>6209</v>
      </c>
      <c r="B6270" s="138">
        <f>'Acct Summary 7-8'!F82</f>
        <v>3598</v>
      </c>
      <c r="D6270" s="2" t="str">
        <f t="shared" si="96"/>
        <v>Error?</v>
      </c>
      <c r="E6270" s="2" t="s">
        <v>190</v>
      </c>
    </row>
    <row r="6271" spans="1:5" x14ac:dyDescent="0.2">
      <c r="A6271">
        <v>6210</v>
      </c>
      <c r="B6271" s="138">
        <f>'Acct Summary 7-8'!G82</f>
        <v>28060</v>
      </c>
      <c r="D6271" s="2" t="str">
        <f t="shared" ref="D6271:D6334" si="97">IF(ISBLANK(B6271),"OK",IF(A6271-B6271=0,"OK","Error?"))</f>
        <v>Error?</v>
      </c>
      <c r="E6271" s="2" t="s">
        <v>190</v>
      </c>
    </row>
    <row r="6272" spans="1:5" x14ac:dyDescent="0.2">
      <c r="A6272">
        <v>6211</v>
      </c>
      <c r="B6272" s="138">
        <f>'Acct Summary 7-8'!H82</f>
        <v>-221657</v>
      </c>
      <c r="D6272" s="2" t="str">
        <f t="shared" si="97"/>
        <v>Error?</v>
      </c>
      <c r="E6272" s="2" t="s">
        <v>190</v>
      </c>
    </row>
    <row r="6273" spans="1:5" x14ac:dyDescent="0.2">
      <c r="A6273">
        <v>6212</v>
      </c>
      <c r="B6273" s="138">
        <f>'Acct Summary 7-8'!I82</f>
        <v>28870</v>
      </c>
      <c r="D6273" s="2" t="str">
        <f t="shared" si="97"/>
        <v>Error?</v>
      </c>
      <c r="E6273" s="2" t="s">
        <v>190</v>
      </c>
    </row>
    <row r="6274" spans="1:5" x14ac:dyDescent="0.2">
      <c r="A6274">
        <v>6213</v>
      </c>
      <c r="B6274" s="138">
        <f>'Acct Summary 7-8'!J82</f>
        <v>-1290</v>
      </c>
      <c r="D6274" s="2" t="str">
        <f t="shared" si="97"/>
        <v>Error?</v>
      </c>
      <c r="E6274" s="2" t="s">
        <v>190</v>
      </c>
    </row>
    <row r="6275" spans="1:5" x14ac:dyDescent="0.2">
      <c r="A6275">
        <v>6214</v>
      </c>
      <c r="B6275" s="138">
        <f>'Acct Summary 7-8'!K82</f>
        <v>78</v>
      </c>
      <c r="D6275" s="2" t="str">
        <f t="shared" si="97"/>
        <v>Error?</v>
      </c>
      <c r="E6275" s="2" t="s">
        <v>190</v>
      </c>
    </row>
    <row r="6276" spans="1:5" x14ac:dyDescent="0.2">
      <c r="A6276">
        <v>6215</v>
      </c>
      <c r="B6276" s="138">
        <f>'Acct Summary 7-8'!C83</f>
        <v>-3.474628421754531E-2</v>
      </c>
      <c r="D6276" s="2" t="str">
        <f t="shared" si="97"/>
        <v>Error?</v>
      </c>
      <c r="E6276" s="2" t="s">
        <v>190</v>
      </c>
    </row>
    <row r="6277" spans="1:5" x14ac:dyDescent="0.2">
      <c r="A6277">
        <v>6216</v>
      </c>
      <c r="B6277" s="138">
        <f>'Acct Summary 7-8'!D83</f>
        <v>0.18832877538276019</v>
      </c>
      <c r="D6277" s="2" t="str">
        <f t="shared" si="97"/>
        <v>Error?</v>
      </c>
      <c r="E6277" s="2" t="s">
        <v>190</v>
      </c>
    </row>
    <row r="6278" spans="1:5" x14ac:dyDescent="0.2">
      <c r="A6278">
        <v>6217</v>
      </c>
      <c r="B6278" s="138">
        <f>'Acct Summary 7-8'!E83</f>
        <v>4.4185818722563067E-2</v>
      </c>
      <c r="D6278" s="2" t="str">
        <f t="shared" si="97"/>
        <v>Error?</v>
      </c>
      <c r="E6278" s="2" t="s">
        <v>190</v>
      </c>
    </row>
    <row r="6279" spans="1:5" x14ac:dyDescent="0.2">
      <c r="A6279">
        <v>6218</v>
      </c>
      <c r="B6279" s="138">
        <f>'Acct Summary 7-8'!F83</f>
        <v>1.8065151028277635E-2</v>
      </c>
      <c r="D6279" s="2" t="str">
        <f t="shared" si="97"/>
        <v>Error?</v>
      </c>
      <c r="E6279" s="2" t="s">
        <v>190</v>
      </c>
    </row>
    <row r="6280" spans="1:5" x14ac:dyDescent="0.2">
      <c r="A6280">
        <v>6219</v>
      </c>
      <c r="B6280" s="138">
        <f>'Acct Summary 7-8'!G83</f>
        <v>0.14689407502800725</v>
      </c>
      <c r="D6280" s="2" t="str">
        <f t="shared" si="97"/>
        <v>Error?</v>
      </c>
      <c r="E6280" s="2" t="s">
        <v>190</v>
      </c>
    </row>
    <row r="6281" spans="1:5" x14ac:dyDescent="0.2">
      <c r="A6281">
        <v>6220</v>
      </c>
      <c r="B6281" s="138">
        <f>'Acct Summary 7-8'!H83</f>
        <v>-3.2323295661684286</v>
      </c>
      <c r="D6281" s="2" t="str">
        <f t="shared" si="97"/>
        <v>Error?</v>
      </c>
      <c r="E6281" s="2" t="s">
        <v>190</v>
      </c>
    </row>
    <row r="6282" spans="1:5" x14ac:dyDescent="0.2">
      <c r="A6282">
        <v>6221</v>
      </c>
      <c r="B6282" s="138">
        <f>'Acct Summary 7-8'!I83</f>
        <v>0.14182271914483896</v>
      </c>
      <c r="D6282" s="2" t="str">
        <f t="shared" si="97"/>
        <v>Error?</v>
      </c>
      <c r="E6282" s="2" t="s">
        <v>190</v>
      </c>
    </row>
    <row r="6283" spans="1:5" x14ac:dyDescent="0.2">
      <c r="A6283">
        <v>6222</v>
      </c>
      <c r="B6283" s="138">
        <f>'Acct Summary 7-8'!J83</f>
        <v>-8.2134216223099452E-2</v>
      </c>
      <c r="D6283" s="2" t="str">
        <f t="shared" si="97"/>
        <v>Error?</v>
      </c>
      <c r="E6283" s="2" t="s">
        <v>190</v>
      </c>
    </row>
    <row r="6284" spans="1:5" x14ac:dyDescent="0.2">
      <c r="A6284">
        <v>6223</v>
      </c>
      <c r="B6284" s="138">
        <f>'Acct Summary 7-8'!K83</f>
        <v>2.0451506332100997E-3</v>
      </c>
      <c r="D6284" s="2" t="str">
        <f t="shared" si="97"/>
        <v>Error?</v>
      </c>
      <c r="E6284" s="2" t="s">
        <v>190</v>
      </c>
    </row>
    <row r="6285" spans="1:5" x14ac:dyDescent="0.2">
      <c r="A6285">
        <v>6224</v>
      </c>
      <c r="B6285" s="138">
        <f>'Acct Summary 7-8'!E37</f>
        <v>29850</v>
      </c>
      <c r="D6285" s="2" t="str">
        <f t="shared" si="97"/>
        <v>Error?</v>
      </c>
      <c r="E6285" s="2" t="s">
        <v>190</v>
      </c>
    </row>
    <row r="6286" spans="1:5" x14ac:dyDescent="0.2">
      <c r="A6286">
        <v>6225</v>
      </c>
      <c r="B6286" s="138">
        <f>'Acct Summary 7-8'!E38</f>
        <v>1414</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227132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227132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78</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78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12000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227344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14498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75554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105333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34354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32524</v>
      </c>
      <c r="D6981" s="2" t="str">
        <f t="shared" si="108"/>
        <v>Error?</v>
      </c>
    </row>
    <row r="6982" spans="1:4" x14ac:dyDescent="0.2">
      <c r="A6982">
        <v>6921</v>
      </c>
      <c r="B6982" s="138">
        <f>'Expenditures 15-22'!K85</f>
        <v>32524</v>
      </c>
      <c r="D6982" s="2" t="str">
        <f t="shared" si="108"/>
        <v>Error?</v>
      </c>
    </row>
    <row r="6983" spans="1:4" x14ac:dyDescent="0.2">
      <c r="A6983">
        <v>6922</v>
      </c>
      <c r="B6983" s="138">
        <f>'Expenditures 15-22'!H86</f>
        <v>257234</v>
      </c>
      <c r="D6983" s="2" t="str">
        <f t="shared" si="108"/>
        <v>Error?</v>
      </c>
    </row>
    <row r="6984" spans="1:4" x14ac:dyDescent="0.2">
      <c r="A6984">
        <v>6923</v>
      </c>
      <c r="B6984" s="138">
        <f>'Expenditures 15-22'!K86</f>
        <v>257234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289758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228634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11699</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227344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2649</v>
      </c>
      <c r="D7067" s="2" t="str">
        <f t="shared" si="109"/>
        <v>Error?</v>
      </c>
    </row>
    <row r="7068" spans="1:4" x14ac:dyDescent="0.2">
      <c r="A7068">
        <v>7007</v>
      </c>
      <c r="B7068" s="138">
        <f>'Expenditures 15-22'!K205</f>
        <v>2649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5593</v>
      </c>
      <c r="D7073" s="2" t="str">
        <f t="shared" si="109"/>
        <v>Error?</v>
      </c>
    </row>
    <row r="7074" spans="1:4" x14ac:dyDescent="0.2">
      <c r="A7074">
        <v>7013</v>
      </c>
      <c r="B7074" s="138">
        <f>'Expenditures 15-22'!K216</f>
        <v>5593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437</v>
      </c>
      <c r="D7079" s="2" t="str">
        <f t="shared" si="109"/>
        <v>Error?</v>
      </c>
    </row>
    <row r="7080" spans="1:4" x14ac:dyDescent="0.2">
      <c r="A7080">
        <v>7019</v>
      </c>
      <c r="B7080" s="138">
        <f>'Expenditures 15-22'!K226</f>
        <v>437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5836</v>
      </c>
      <c r="D7093" s="2" t="str">
        <f t="shared" si="109"/>
        <v>Error?</v>
      </c>
    </row>
    <row r="7094" spans="1:4" x14ac:dyDescent="0.2">
      <c r="A7094">
        <v>7033</v>
      </c>
      <c r="B7094" s="138">
        <f>'Expenditures 15-22'!K254</f>
        <v>5836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44974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44974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31486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31486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118533</v>
      </c>
      <c r="D7172" s="2" t="str">
        <f t="shared" si="111"/>
        <v>Error?</v>
      </c>
    </row>
    <row r="7173" spans="1:4" x14ac:dyDescent="0.2">
      <c r="A7173">
        <v>7112</v>
      </c>
      <c r="B7173" s="138">
        <f>'Expenditures 15-22'!D325</f>
        <v>9965</v>
      </c>
      <c r="D7173" s="2" t="str">
        <f t="shared" si="111"/>
        <v>Error?</v>
      </c>
    </row>
    <row r="7174" spans="1:4" x14ac:dyDescent="0.2">
      <c r="A7174">
        <v>7113</v>
      </c>
      <c r="B7174" s="138">
        <f>'Expenditures 15-22'!E325</f>
        <v>19663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148161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4013</v>
      </c>
      <c r="D7198" s="2" t="str">
        <f t="shared" si="111"/>
        <v>Error?</v>
      </c>
    </row>
    <row r="7199" spans="1:4" x14ac:dyDescent="0.2">
      <c r="A7199">
        <v>7138</v>
      </c>
      <c r="B7199" s="138">
        <f>'Expenditures 15-22'!C330</f>
        <v>118533</v>
      </c>
      <c r="D7199" s="2" t="str">
        <f t="shared" si="111"/>
        <v>Error?</v>
      </c>
    </row>
    <row r="7200" spans="1:4" x14ac:dyDescent="0.2">
      <c r="A7200">
        <v>7139</v>
      </c>
      <c r="B7200" s="138">
        <f>'Expenditures 15-22'!D330</f>
        <v>9965</v>
      </c>
      <c r="D7200" s="2" t="str">
        <f t="shared" si="111"/>
        <v>Error?</v>
      </c>
    </row>
    <row r="7201" spans="1:4" x14ac:dyDescent="0.2">
      <c r="A7201">
        <v>7140</v>
      </c>
      <c r="B7201" s="138">
        <f>'Expenditures 15-22'!E330</f>
        <v>100136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228634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118533</v>
      </c>
      <c r="D7216" s="2" t="str">
        <f t="shared" si="111"/>
        <v>Error?</v>
      </c>
    </row>
    <row r="7217" spans="1:4" x14ac:dyDescent="0.2">
      <c r="A7217">
        <v>7156</v>
      </c>
      <c r="B7217" s="138">
        <f>'Expenditures 15-22'!D342</f>
        <v>9965</v>
      </c>
      <c r="D7217" s="2" t="str">
        <f t="shared" si="111"/>
        <v>Error?</v>
      </c>
    </row>
    <row r="7218" spans="1:4" x14ac:dyDescent="0.2">
      <c r="A7218">
        <v>7157</v>
      </c>
      <c r="B7218" s="138">
        <f>'Expenditures 15-22'!E342</f>
        <v>100136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228634</v>
      </c>
      <c r="D7224" s="2" t="str">
        <f t="shared" si="111"/>
        <v>Error?</v>
      </c>
    </row>
    <row r="7225" spans="1:4" x14ac:dyDescent="0.2">
      <c r="A7225">
        <v>7164</v>
      </c>
      <c r="B7225" s="138">
        <f>'Expenditures 15-22'!K343</f>
        <v>-1290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15884</v>
      </c>
      <c r="D7246" s="2" t="str">
        <f t="shared" si="112"/>
        <v>Error?</v>
      </c>
    </row>
    <row r="7247" spans="1:4" x14ac:dyDescent="0.2">
      <c r="A7247">
        <f t="shared" si="113"/>
        <v>7186</v>
      </c>
      <c r="B7247" s="138">
        <f>'Expenditures 15-22'!E7</f>
        <v>4019</v>
      </c>
      <c r="D7247" s="2" t="str">
        <f t="shared" si="112"/>
        <v>Error?</v>
      </c>
    </row>
    <row r="7248" spans="1:4" x14ac:dyDescent="0.2">
      <c r="A7248">
        <f t="shared" si="113"/>
        <v>7187</v>
      </c>
      <c r="B7248" s="138">
        <f>'Expenditures 15-22'!F7</f>
        <v>8677</v>
      </c>
      <c r="D7248" s="2" t="str">
        <f t="shared" si="112"/>
        <v>Error?</v>
      </c>
    </row>
    <row r="7249" spans="1:4" x14ac:dyDescent="0.2">
      <c r="A7249">
        <f t="shared" si="113"/>
        <v>7188</v>
      </c>
      <c r="B7249" s="138">
        <f>'Expenditures 15-22'!G7</f>
        <v>1199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30179</v>
      </c>
      <c r="D7263" s="2" t="str">
        <f t="shared" si="112"/>
        <v>Error?</v>
      </c>
    </row>
    <row r="7264" spans="1:4" x14ac:dyDescent="0.2">
      <c r="A7264">
        <f t="shared" si="113"/>
        <v>7203</v>
      </c>
      <c r="B7264" s="138">
        <f>'Expenditures 15-22'!D17</f>
        <v>4175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269052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138627</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2178</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2050</v>
      </c>
      <c r="D7712" s="2" t="str">
        <f t="shared" si="126"/>
        <v>Error?</v>
      </c>
      <c r="E7712" s="2" t="s">
        <v>826</v>
      </c>
    </row>
    <row r="7713" spans="1:6" x14ac:dyDescent="0.2">
      <c r="A7713">
        <v>7652</v>
      </c>
      <c r="B7713" s="138">
        <f>'Rest Tax Levies-Tort Im 25'!J8</f>
        <v>199979</v>
      </c>
      <c r="D7713" s="2" t="str">
        <f t="shared" si="126"/>
        <v>Error?</v>
      </c>
      <c r="E7713" s="2" t="s">
        <v>826</v>
      </c>
    </row>
    <row r="7714" spans="1:6" x14ac:dyDescent="0.2">
      <c r="A7714">
        <v>7653</v>
      </c>
      <c r="B7714" s="138">
        <f>'Rest Tax Levies-Tort Im 25'!K9</f>
        <v>7439</v>
      </c>
      <c r="D7714" s="2" t="str">
        <f t="shared" si="126"/>
        <v>Error?</v>
      </c>
      <c r="E7714" s="2" t="s">
        <v>826</v>
      </c>
    </row>
    <row r="7715" spans="1:6" x14ac:dyDescent="0.2">
      <c r="A7715">
        <v>7654</v>
      </c>
      <c r="B7715" s="138">
        <f>'Rest Tax Levies-Tort Im 25'!J10</f>
        <v>118864</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321021</v>
      </c>
      <c r="D7718" s="2" t="str">
        <f t="shared" si="126"/>
        <v>Error?</v>
      </c>
      <c r="E7718" s="2" t="s">
        <v>826</v>
      </c>
    </row>
    <row r="7719" spans="1:6" x14ac:dyDescent="0.2">
      <c r="A7719">
        <v>7658</v>
      </c>
      <c r="B7719" s="138">
        <f>'Rest Tax Levies-Tort Im 25'!K12</f>
        <v>9489</v>
      </c>
      <c r="D7719" s="2" t="str">
        <f t="shared" si="126"/>
        <v>Error?</v>
      </c>
      <c r="E7719" s="2" t="s">
        <v>826</v>
      </c>
    </row>
    <row r="7720" spans="1:6" x14ac:dyDescent="0.2">
      <c r="A7720">
        <v>7659</v>
      </c>
      <c r="B7720" s="138">
        <f>'Rest Tax Levies-Tort Im 25'!H14</f>
        <v>22778</v>
      </c>
      <c r="D7720" s="2" t="str">
        <f t="shared" si="126"/>
        <v>Error?</v>
      </c>
      <c r="E7720" s="2" t="s">
        <v>826</v>
      </c>
    </row>
    <row r="7721" spans="1:6" x14ac:dyDescent="0.2">
      <c r="A7721">
        <v>7660</v>
      </c>
      <c r="B7721" s="138">
        <f>'Rest Tax Levies-Tort Im 25'!K14</f>
        <v>9489</v>
      </c>
      <c r="D7721" s="2" t="str">
        <f t="shared" si="126"/>
        <v>Error?</v>
      </c>
      <c r="E7721" s="2" t="s">
        <v>826</v>
      </c>
    </row>
    <row r="7722" spans="1:6" x14ac:dyDescent="0.2">
      <c r="A7722">
        <v>7661</v>
      </c>
      <c r="B7722" s="138">
        <f>'Rest Tax Levies-Tort Im 25'!J15</f>
        <v>190731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21403</v>
      </c>
      <c r="D7724" s="2" t="str">
        <f t="shared" si="126"/>
        <v>Error?</v>
      </c>
      <c r="E7724" s="2" t="s">
        <v>826</v>
      </c>
      <c r="F7724" s="2"/>
    </row>
    <row r="7725" spans="1:6" x14ac:dyDescent="0.2">
      <c r="A7725">
        <v>7664</v>
      </c>
      <c r="B7725" s="138">
        <f>'Rest Tax Levies-Tort Im 25'!J19</f>
        <v>125000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146403</v>
      </c>
      <c r="D7727" s="2" t="str">
        <f t="shared" si="126"/>
        <v>Error?</v>
      </c>
      <c r="E7727" s="2" t="s">
        <v>826</v>
      </c>
    </row>
    <row r="7728" spans="1:6" x14ac:dyDescent="0.2">
      <c r="A7728">
        <v>7667</v>
      </c>
      <c r="B7728" s="138">
        <f>'Revenues 9-14'!E103</f>
        <v>128112</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337134</v>
      </c>
      <c r="D7730" s="2" t="str">
        <f t="shared" si="126"/>
        <v>Error?</v>
      </c>
      <c r="E7730" s="2" t="s">
        <v>826</v>
      </c>
    </row>
    <row r="7731" spans="1:6" x14ac:dyDescent="0.2">
      <c r="A7731">
        <v>7670</v>
      </c>
      <c r="B7731" s="138">
        <f>'Revenues 9-14'!H103</f>
        <v>71867</v>
      </c>
      <c r="D7731" s="2" t="str">
        <f t="shared" si="126"/>
        <v>Error?</v>
      </c>
      <c r="E7731" s="2" t="s">
        <v>826</v>
      </c>
    </row>
    <row r="7732" spans="1:6" x14ac:dyDescent="0.2">
      <c r="A7732">
        <v>7671</v>
      </c>
      <c r="B7732" s="138">
        <f>'Rest Tax Levies-Tort Im 25'!J24</f>
        <v>122514</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122514</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0" t="s">
        <v>1190</v>
      </c>
      <c r="B2" s="2420"/>
      <c r="C2" s="2420"/>
      <c r="D2" s="2420"/>
      <c r="E2" s="2420"/>
      <c r="F2" s="2420"/>
      <c r="G2" s="2420"/>
      <c r="H2" s="2420"/>
      <c r="I2" s="2420"/>
      <c r="J2" s="2420"/>
      <c r="K2" s="2420"/>
      <c r="L2" s="2420"/>
    </row>
    <row r="3" spans="1:29" ht="13.5" customHeight="1" x14ac:dyDescent="0.2">
      <c r="A3" s="2406" t="s">
        <v>1189</v>
      </c>
      <c r="B3" s="2406"/>
      <c r="C3" s="2406"/>
      <c r="D3" s="2406"/>
      <c r="E3" s="2406"/>
      <c r="F3" s="2406"/>
      <c r="G3" s="2406"/>
      <c r="H3" s="2406"/>
      <c r="I3" s="2406"/>
      <c r="J3" s="2406"/>
      <c r="K3" s="2406"/>
      <c r="L3" s="2406"/>
    </row>
    <row r="4" spans="1:29" ht="13.5" customHeight="1" x14ac:dyDescent="0.2">
      <c r="A4" s="2420" t="s">
        <v>1988</v>
      </c>
      <c r="B4" s="2437"/>
      <c r="C4" s="2437"/>
      <c r="D4" s="2437"/>
      <c r="E4" s="2437"/>
      <c r="F4" s="2437"/>
      <c r="G4" s="2437"/>
      <c r="H4" s="2437"/>
      <c r="I4" s="2437"/>
      <c r="J4" s="2437"/>
      <c r="K4" s="2437"/>
      <c r="L4" s="243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0" t="str">
        <f>COVER!A17</f>
        <v>Wethersfield Community Unit School District No. 230</v>
      </c>
      <c r="B7" s="2401"/>
      <c r="C7" s="2401"/>
      <c r="D7" s="2438"/>
      <c r="E7" s="2439">
        <f>COVER!A13</f>
        <v>28037230026</v>
      </c>
      <c r="F7" s="2440"/>
      <c r="G7" s="2407" t="str">
        <f>COVER!T23</f>
        <v>066-005027</v>
      </c>
      <c r="H7" s="2408"/>
      <c r="I7" s="2408"/>
      <c r="J7" s="2408"/>
      <c r="K7" s="2408"/>
      <c r="L7" s="2409"/>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Shane Kazubowski</v>
      </c>
      <c r="B10" s="2398"/>
      <c r="C10" s="2398"/>
      <c r="D10" s="2398"/>
      <c r="E10" s="2398"/>
      <c r="F10" s="2399"/>
      <c r="G10" s="2413" t="str">
        <f>COVER!T17</f>
        <v>4200 N Knoxville Ave</v>
      </c>
      <c r="H10" s="2426"/>
      <c r="I10" s="2426"/>
      <c r="J10" s="2426"/>
      <c r="K10" s="2426"/>
      <c r="L10" s="2427"/>
    </row>
    <row r="11" spans="1:29" ht="13.5" customHeight="1" x14ac:dyDescent="0.2">
      <c r="A11" s="1181" t="s">
        <v>1518</v>
      </c>
      <c r="B11" s="1182"/>
      <c r="C11" s="1183"/>
      <c r="D11" s="1188"/>
      <c r="E11" s="1183"/>
      <c r="F11" s="1187"/>
      <c r="G11" s="2413" t="str">
        <f>COVER!T19</f>
        <v>Peoria</v>
      </c>
      <c r="H11" s="2426"/>
      <c r="I11" s="2426"/>
      <c r="J11" s="2426"/>
      <c r="K11" s="2426"/>
      <c r="L11" s="2427"/>
    </row>
    <row r="12" spans="1:29" ht="13.5" customHeight="1" x14ac:dyDescent="0.2">
      <c r="A12" s="2431" t="s">
        <v>1517</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1519</v>
      </c>
      <c r="H13" s="2422"/>
      <c r="I13" s="2434" t="str">
        <f>COVER!T25</f>
        <v>tcustis@gorenzcpa.com</v>
      </c>
      <c r="J13" s="2435"/>
      <c r="K13" s="2435"/>
      <c r="L13" s="2436"/>
    </row>
    <row r="14" spans="1:29" ht="13.5" customHeight="1" x14ac:dyDescent="0.2">
      <c r="A14" s="2413" t="str">
        <f>COVER!A19</f>
        <v>439 Willard</v>
      </c>
      <c r="B14" s="2426"/>
      <c r="C14" s="2426"/>
      <c r="D14" s="2426"/>
      <c r="E14" s="2426"/>
      <c r="F14" s="2427"/>
      <c r="G14" s="1192" t="s">
        <v>1184</v>
      </c>
      <c r="H14" s="1190"/>
      <c r="I14" s="1190"/>
      <c r="J14" s="1190"/>
      <c r="K14" s="1190"/>
      <c r="L14" s="1191"/>
    </row>
    <row r="15" spans="1:29" ht="13.5" customHeight="1" x14ac:dyDescent="0.2">
      <c r="A15" s="2413" t="str">
        <f>COVER!A21</f>
        <v>Kewanee</v>
      </c>
      <c r="B15" s="2426"/>
      <c r="C15" s="2426"/>
      <c r="D15" s="2426"/>
      <c r="E15" s="2426"/>
      <c r="F15" s="2427"/>
      <c r="G15" s="2423" t="str">
        <f>COVER!T15</f>
        <v>Tim C. Custis, CPA</v>
      </c>
      <c r="H15" s="2424"/>
      <c r="I15" s="2424"/>
      <c r="J15" s="2424"/>
      <c r="K15" s="2424"/>
      <c r="L15" s="2425"/>
    </row>
    <row r="16" spans="1:29" ht="12.2" customHeight="1" x14ac:dyDescent="0.2">
      <c r="A16" s="2403">
        <f>COVER!A25</f>
        <v>0</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2" t="s">
        <v>1183</v>
      </c>
      <c r="H17" s="1190"/>
      <c r="I17" s="1190"/>
      <c r="J17" s="1190"/>
      <c r="K17" s="1194" t="s">
        <v>1182</v>
      </c>
      <c r="L17" s="1187"/>
      <c r="M17" s="1180"/>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Wethersfield Community Unit School District No. 230</v>
      </c>
      <c r="B1" s="2437"/>
      <c r="C1" s="2437"/>
      <c r="D1" s="2437"/>
    </row>
    <row r="2" spans="1:11" s="1209" customFormat="1" ht="12.75" x14ac:dyDescent="0.2">
      <c r="A2" s="2442">
        <f>'Single Audit Cover'!E7</f>
        <v>28037230026</v>
      </c>
      <c r="B2" s="2443"/>
      <c r="C2" s="2443"/>
      <c r="D2" s="2443"/>
    </row>
    <row r="3" spans="1:11" s="1209" customFormat="1" ht="12.75" x14ac:dyDescent="0.2">
      <c r="A3" s="2441" t="s">
        <v>1512</v>
      </c>
      <c r="B3" s="2437"/>
      <c r="C3" s="2437"/>
      <c r="D3" s="2437"/>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Wethersfield Community Unit School District No. 230</v>
      </c>
      <c r="B1" s="2445"/>
      <c r="C1" s="2445"/>
      <c r="D1" s="2445"/>
      <c r="E1" s="2445"/>
    </row>
    <row r="2" spans="1:5" x14ac:dyDescent="0.2">
      <c r="A2" s="2446">
        <f>'Single Audit Cover'!E7</f>
        <v>28037230026</v>
      </c>
      <c r="B2" s="2446"/>
      <c r="C2" s="2446"/>
      <c r="D2" s="2446"/>
      <c r="E2" s="2446"/>
    </row>
    <row r="3" spans="1:5" ht="4.5" customHeight="1" x14ac:dyDescent="0.2"/>
    <row r="4" spans="1:5" x14ac:dyDescent="0.2">
      <c r="A4" s="2445" t="s">
        <v>1244</v>
      </c>
      <c r="B4" s="2445"/>
      <c r="C4" s="2445"/>
      <c r="D4" s="2445"/>
      <c r="E4" s="2445"/>
    </row>
    <row r="5" spans="1:5" x14ac:dyDescent="0.2">
      <c r="A5" s="2448" t="str">
        <f>'Single Audit Cover'!A4</f>
        <v>Year Ending June 30, 2019</v>
      </c>
      <c r="B5" s="2448"/>
      <c r="C5" s="2448"/>
      <c r="D5" s="2448"/>
      <c r="E5" s="2448"/>
    </row>
    <row r="6" spans="1:5" x14ac:dyDescent="0.2">
      <c r="A6" s="2445" t="s">
        <v>1243</v>
      </c>
      <c r="B6" s="2445"/>
      <c r="C6" s="2445"/>
      <c r="D6" s="2445"/>
      <c r="E6" s="2445"/>
    </row>
    <row r="8" spans="1:5" x14ac:dyDescent="0.2">
      <c r="A8" s="1254" t="s">
        <v>1242</v>
      </c>
    </row>
    <row r="10" spans="1:5" x14ac:dyDescent="0.2">
      <c r="A10" s="1255" t="s">
        <v>1241</v>
      </c>
      <c r="B10" s="1256" t="s">
        <v>1240</v>
      </c>
      <c r="C10" s="1256"/>
      <c r="D10" s="1257">
        <f>SUM('Acct Summary 7-8'!C7:K7)</f>
        <v>298340</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19212</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-2987</v>
      </c>
    </row>
    <row r="19" spans="1:4" ht="13.5" thickBot="1" x14ac:dyDescent="0.25">
      <c r="A19" s="1259" t="s">
        <v>1234</v>
      </c>
      <c r="D19" s="1260">
        <f>SUM(D10:D17)</f>
        <v>314565</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1232</v>
      </c>
      <c r="D32" s="1257">
        <f>SUM(D19:D30)</f>
        <v>314565</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1226</v>
      </c>
      <c r="C47" s="1266"/>
      <c r="D47" s="1267">
        <f>SUM(D35:D45)</f>
        <v>0</v>
      </c>
    </row>
    <row r="49" spans="2:4" x14ac:dyDescent="0.2">
      <c r="B49" s="1266" t="s">
        <v>1225</v>
      </c>
      <c r="C49" s="1266"/>
      <c r="D49" s="1267">
        <f>D32-D47</f>
        <v>314565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Wethersfield Community Unit School District No. 230</v>
      </c>
      <c r="C1" s="2449"/>
      <c r="D1" s="2449"/>
      <c r="E1" s="2449"/>
      <c r="F1" s="2449"/>
      <c r="G1" s="2449"/>
      <c r="H1" s="2449"/>
      <c r="I1" s="2449"/>
      <c r="J1" s="2449"/>
      <c r="K1" s="2449"/>
      <c r="L1" s="2449"/>
      <c r="M1" s="2449"/>
    </row>
    <row r="2" spans="2:14" ht="15" x14ac:dyDescent="0.2">
      <c r="B2" s="2450">
        <f>'Single Audit Cover'!E7</f>
        <v>28037230026</v>
      </c>
      <c r="C2" s="2450"/>
      <c r="D2" s="2450"/>
      <c r="E2" s="2450"/>
      <c r="F2" s="2450"/>
      <c r="G2" s="2450"/>
      <c r="H2" s="2450"/>
      <c r="I2" s="2450"/>
      <c r="J2" s="2450"/>
      <c r="K2" s="2450"/>
      <c r="L2" s="2450"/>
      <c r="M2" s="2450"/>
      <c r="N2" s="1296"/>
    </row>
    <row r="3" spans="2:14" ht="15" x14ac:dyDescent="0.2">
      <c r="B3" s="2451" t="s">
        <v>1218</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2070</v>
      </c>
      <c r="C12" s="1335"/>
      <c r="D12" s="1336"/>
      <c r="E12" s="1337"/>
      <c r="F12" s="1337"/>
      <c r="G12" s="1337"/>
      <c r="H12" s="1337"/>
      <c r="I12" s="1337"/>
      <c r="J12" s="1337"/>
      <c r="K12" s="1337"/>
      <c r="L12" s="1334">
        <f t="shared" ref="L12:L27" si="0">+G12+I12+K12</f>
        <v>0</v>
      </c>
      <c r="M12" s="1337"/>
    </row>
    <row r="13" spans="2:14" ht="20.100000000000001" customHeight="1" x14ac:dyDescent="0.2">
      <c r="B13" s="1331" t="s">
        <v>1168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Wethersfield Community Unit School District No. 230</v>
      </c>
      <c r="B1" s="2454"/>
      <c r="C1" s="2454"/>
      <c r="D1" s="2454"/>
      <c r="E1" s="2454"/>
      <c r="F1" s="2454"/>
    </row>
    <row r="2" spans="1:7" ht="13.5" customHeight="1" x14ac:dyDescent="0.2">
      <c r="A2" s="2450">
        <f>'Single Audit Cover'!E7</f>
        <v>28037230026</v>
      </c>
      <c r="B2" s="2450"/>
      <c r="C2" s="2450"/>
      <c r="D2" s="2450"/>
      <c r="E2" s="2450"/>
      <c r="F2" s="2450"/>
      <c r="G2" s="1269"/>
    </row>
    <row r="3" spans="1:7" ht="15.75" customHeight="1" x14ac:dyDescent="0.2">
      <c r="A3" s="2455" t="s">
        <v>1270</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1727</v>
      </c>
      <c r="C6" s="317"/>
      <c r="D6" s="317"/>
    </row>
    <row r="7" spans="1:7" ht="60.95" customHeight="1" x14ac:dyDescent="0.2">
      <c r="A7" s="2453" t="s">
        <v>1728</v>
      </c>
      <c r="B7" s="2453"/>
      <c r="C7" s="2453"/>
      <c r="D7" s="2453"/>
      <c r="E7" s="2453"/>
      <c r="F7" s="2453"/>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53" t="s">
        <v>1730</v>
      </c>
      <c r="B13" s="2453"/>
      <c r="C13" s="2453"/>
      <c r="D13" s="2453"/>
      <c r="E13" s="2453"/>
      <c r="F13" s="2453"/>
    </row>
    <row r="14" spans="1:7" ht="9.75" customHeight="1" x14ac:dyDescent="0.2">
      <c r="C14" s="1254"/>
      <c r="D14" s="1254"/>
    </row>
    <row r="15" spans="1:7" ht="13.5" customHeight="1" x14ac:dyDescent="0.2">
      <c r="C15" s="1843" t="s">
        <v>1269</v>
      </c>
      <c r="D15" s="2458" t="s">
        <v>1268</v>
      </c>
      <c r="E15" s="2458"/>
      <c r="F15" s="2458"/>
    </row>
    <row r="16" spans="1:7" ht="13.5" customHeight="1" x14ac:dyDescent="0.2">
      <c r="A16" s="1276"/>
      <c r="B16" s="1270" t="s">
        <v>1267</v>
      </c>
      <c r="C16" s="1843" t="s">
        <v>1266</v>
      </c>
      <c r="D16" s="2459" t="s">
        <v>1587</v>
      </c>
      <c r="E16" s="2459"/>
      <c r="F16" s="2459"/>
    </row>
    <row r="17" spans="1:6" ht="20.45" customHeight="1" x14ac:dyDescent="0.2">
      <c r="A17" s="1277"/>
      <c r="B17" s="1278"/>
      <c r="C17" s="1279"/>
      <c r="D17" s="2457"/>
      <c r="E17" s="2457"/>
      <c r="F17" s="2457"/>
    </row>
    <row r="18" spans="1:6" ht="20.65" customHeight="1" x14ac:dyDescent="0.2">
      <c r="A18" s="1277"/>
      <c r="B18" s="1278"/>
      <c r="C18" s="1279"/>
      <c r="D18" s="2457"/>
      <c r="E18" s="2457"/>
      <c r="F18" s="2457"/>
    </row>
    <row r="19" spans="1:6" ht="20.65" customHeight="1" x14ac:dyDescent="0.2">
      <c r="A19" s="1277"/>
      <c r="B19" s="1278"/>
      <c r="C19" s="1279"/>
      <c r="D19" s="2457"/>
      <c r="E19" s="2457"/>
      <c r="F19" s="2457"/>
    </row>
    <row r="20" spans="1:6" ht="20.65" customHeight="1" x14ac:dyDescent="0.2">
      <c r="A20" s="1277"/>
      <c r="B20" s="1278"/>
      <c r="C20" s="1279"/>
      <c r="D20" s="2457"/>
      <c r="E20" s="2457"/>
      <c r="F20" s="2457"/>
    </row>
    <row r="21" spans="1:6" ht="20.65" customHeight="1" x14ac:dyDescent="0.2">
      <c r="A21" s="1277"/>
      <c r="B21" s="1278"/>
      <c r="C21" s="1279"/>
      <c r="D21" s="2457"/>
      <c r="E21" s="2457"/>
      <c r="F21" s="2457"/>
    </row>
    <row r="22" spans="1:6" ht="20.65" customHeight="1" x14ac:dyDescent="0.2">
      <c r="A22" s="1277"/>
      <c r="B22" s="1278"/>
      <c r="C22" s="1279"/>
      <c r="D22" s="2457"/>
      <c r="E22" s="2457"/>
      <c r="F22" s="2457"/>
    </row>
    <row r="23" spans="1:6" ht="20.65" customHeight="1" x14ac:dyDescent="0.2">
      <c r="A23" s="1277"/>
      <c r="B23" s="1278"/>
      <c r="C23" s="1279"/>
      <c r="D23" s="2457"/>
      <c r="E23" s="2457"/>
      <c r="F23" s="2457"/>
    </row>
    <row r="24" spans="1:6" ht="20.65" customHeight="1" x14ac:dyDescent="0.2">
      <c r="A24" s="1277"/>
      <c r="B24" s="1278"/>
      <c r="C24" s="1279"/>
      <c r="D24" s="2457"/>
      <c r="E24" s="2457"/>
      <c r="F24" s="2457"/>
    </row>
    <row r="25" spans="1:6" ht="20.65" customHeight="1" x14ac:dyDescent="0.2">
      <c r="A25" s="1277"/>
      <c r="B25" s="1278"/>
      <c r="C25" s="1279"/>
      <c r="D25" s="2457"/>
      <c r="E25" s="2457"/>
      <c r="F25" s="2457"/>
    </row>
    <row r="26" spans="1:6" ht="20.65" customHeight="1" x14ac:dyDescent="0.2">
      <c r="A26" s="1277"/>
      <c r="B26" s="1278"/>
      <c r="C26" s="1279"/>
      <c r="D26" s="2457"/>
      <c r="E26" s="2457"/>
      <c r="F26" s="2457"/>
    </row>
    <row r="27" spans="1:6" ht="20.65" customHeight="1" x14ac:dyDescent="0.2">
      <c r="A27" s="1277"/>
      <c r="B27" s="1278"/>
      <c r="C27" s="1279"/>
      <c r="D27" s="2457"/>
      <c r="E27" s="2457"/>
      <c r="F27" s="2457"/>
    </row>
    <row r="28" spans="1:6" ht="20.65" customHeight="1" x14ac:dyDescent="0.2">
      <c r="A28" s="1277"/>
      <c r="B28" s="1278"/>
      <c r="C28" s="1279"/>
      <c r="D28" s="2457"/>
      <c r="E28" s="2457"/>
      <c r="F28" s="2457"/>
    </row>
    <row r="29" spans="1:6" ht="20.65" customHeight="1" x14ac:dyDescent="0.2">
      <c r="A29" s="1277"/>
      <c r="B29" s="1278"/>
      <c r="C29" s="1279"/>
      <c r="D29" s="2457"/>
      <c r="E29" s="2457"/>
      <c r="F29" s="2457"/>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61" t="s">
        <v>1731</v>
      </c>
      <c r="B32" s="2461"/>
      <c r="C32" s="2461"/>
      <c r="D32" s="2461"/>
      <c r="E32" s="2461"/>
      <c r="F32" s="2461"/>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62">
        <f>+C33+C34</f>
        <v>0</v>
      </c>
      <c r="F34" s="2463"/>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4" t="s">
        <v>1589</v>
      </c>
      <c r="C49" s="2464"/>
      <c r="D49" s="2464"/>
      <c r="E49" s="1393"/>
    </row>
    <row r="50" spans="1:5" s="1294" customFormat="1" ht="3.75" customHeight="1" x14ac:dyDescent="0.2">
      <c r="A50" s="1293"/>
      <c r="B50" s="1842"/>
      <c r="C50" s="1842"/>
      <c r="D50" s="1842"/>
      <c r="E50" s="1393"/>
    </row>
    <row r="51" spans="1:5" s="1294" customFormat="1" ht="20.25" customHeight="1" x14ac:dyDescent="0.2">
      <c r="A51" s="1295">
        <v>6</v>
      </c>
      <c r="B51" s="2460" t="s">
        <v>1550</v>
      </c>
      <c r="C51" s="2460"/>
      <c r="D51" s="2460"/>
    </row>
    <row r="52" spans="1:5" ht="14.25" customHeight="1" x14ac:dyDescent="0.2">
      <c r="A52" s="1295"/>
      <c r="B52" s="2460"/>
      <c r="C52" s="2460"/>
      <c r="D52" s="246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1632</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1322</v>
      </c>
      <c r="B70" s="2087"/>
      <c r="C70" s="2087"/>
      <c r="D70" s="2087"/>
      <c r="E70" s="2088"/>
      <c r="F70" s="2088"/>
      <c r="G70" s="2088"/>
      <c r="H70" s="2088"/>
      <c r="I70" s="208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1319</v>
      </c>
      <c r="B83" s="2089"/>
      <c r="C83" s="2089"/>
      <c r="D83" s="209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t="s">
        <v>2128</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2071</v>
      </c>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1329</v>
      </c>
      <c r="D117" s="2082"/>
      <c r="E117" s="2083"/>
      <c r="F117" s="2083"/>
      <c r="G117" s="2083"/>
      <c r="H117" s="2083"/>
      <c r="I117" s="304"/>
    </row>
    <row r="118" spans="1:9" s="181" customFormat="1" ht="24" customHeight="1" x14ac:dyDescent="0.2">
      <c r="A118" s="316"/>
      <c r="B118" s="316"/>
      <c r="C118" s="316"/>
      <c r="D118" s="323" t="s">
        <v>2146</v>
      </c>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Wethersfield Community Unit School District No. 230</v>
      </c>
      <c r="C1" s="2470"/>
      <c r="D1" s="2470"/>
      <c r="E1" s="2470"/>
      <c r="F1" s="2470"/>
      <c r="G1" s="2470"/>
      <c r="H1" s="2470"/>
      <c r="I1" s="2470"/>
      <c r="J1" s="1403"/>
    </row>
    <row r="2" spans="2:10" s="317" customFormat="1" ht="12.75" customHeight="1" x14ac:dyDescent="0.2">
      <c r="B2" s="2471">
        <f>'Single Audit Cover'!E7</f>
        <v>28037230026</v>
      </c>
      <c r="C2" s="2472"/>
      <c r="D2" s="2472"/>
      <c r="E2" s="2472"/>
      <c r="F2" s="2472"/>
      <c r="G2" s="2472"/>
      <c r="H2" s="2472"/>
      <c r="I2" s="2472"/>
      <c r="J2" s="1403"/>
    </row>
    <row r="3" spans="2:10" s="317" customFormat="1" ht="12.75" customHeight="1" x14ac:dyDescent="0.2">
      <c r="B3" s="2473" t="s">
        <v>1284</v>
      </c>
      <c r="C3" s="2474"/>
      <c r="D3" s="2474"/>
      <c r="E3" s="2474"/>
      <c r="F3" s="2474"/>
      <c r="G3" s="2474"/>
      <c r="H3" s="2474"/>
      <c r="I3" s="2474"/>
      <c r="J3" s="1404"/>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3" t="s">
        <v>1283</v>
      </c>
      <c r="C7" s="2474"/>
      <c r="D7" s="2474"/>
      <c r="E7" s="2474"/>
      <c r="F7" s="2474"/>
      <c r="G7" s="2474"/>
      <c r="H7" s="2474"/>
      <c r="I7" s="2474"/>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5"/>
      <c r="D11" s="2475"/>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6"/>
      <c r="E29" s="2476"/>
      <c r="F29" s="2476"/>
      <c r="G29" s="2476"/>
      <c r="H29" s="2476"/>
      <c r="I29" s="2476"/>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77" t="s">
        <v>1750</v>
      </c>
      <c r="D37" s="2478"/>
      <c r="E37" s="2478"/>
      <c r="F37" s="2479"/>
      <c r="G37" s="2477" t="s">
        <v>1591</v>
      </c>
      <c r="H37" s="2478"/>
      <c r="I37" s="2479"/>
    </row>
    <row r="38" spans="2:9" ht="16.5" customHeight="1" x14ac:dyDescent="0.2">
      <c r="B38" s="1425"/>
      <c r="C38" s="2465"/>
      <c r="D38" s="2466"/>
      <c r="E38" s="2466"/>
      <c r="F38" s="2467"/>
      <c r="G38" s="2480"/>
      <c r="H38" s="2481"/>
      <c r="I38" s="2482"/>
    </row>
    <row r="39" spans="2:9" ht="16.5" customHeight="1" x14ac:dyDescent="0.2">
      <c r="B39" s="1425"/>
      <c r="C39" s="2465"/>
      <c r="D39" s="2466"/>
      <c r="E39" s="2466"/>
      <c r="F39" s="2467"/>
      <c r="G39" s="2468"/>
      <c r="H39" s="2468"/>
      <c r="I39" s="2468"/>
    </row>
    <row r="40" spans="2:9" ht="16.5" customHeight="1" x14ac:dyDescent="0.2">
      <c r="B40" s="1425"/>
      <c r="C40" s="2465"/>
      <c r="D40" s="2466"/>
      <c r="E40" s="2466"/>
      <c r="F40" s="2467"/>
      <c r="G40" s="2468"/>
      <c r="H40" s="2468"/>
      <c r="I40" s="2468"/>
    </row>
    <row r="41" spans="2:9" ht="16.5" customHeight="1" x14ac:dyDescent="0.2">
      <c r="B41" s="1425"/>
      <c r="C41" s="2465"/>
      <c r="D41" s="2466"/>
      <c r="E41" s="2466"/>
      <c r="F41" s="2467"/>
      <c r="G41" s="2468"/>
      <c r="H41" s="2468"/>
      <c r="I41" s="2468"/>
    </row>
    <row r="42" spans="2:9" ht="16.5" customHeight="1" x14ac:dyDescent="0.2">
      <c r="B42" s="1425"/>
      <c r="C42" s="2465"/>
      <c r="D42" s="2466"/>
      <c r="E42" s="2466"/>
      <c r="F42" s="2467"/>
      <c r="G42" s="2468"/>
      <c r="H42" s="2468"/>
      <c r="I42" s="2468"/>
    </row>
    <row r="43" spans="2:9" ht="16.5" customHeight="1" x14ac:dyDescent="0.2">
      <c r="B43" s="1425"/>
      <c r="C43" s="2483" t="s">
        <v>1592</v>
      </c>
      <c r="D43" s="2484"/>
      <c r="E43" s="2484"/>
      <c r="F43" s="2485"/>
      <c r="G43" s="2486">
        <f>SUM(G38:I42)</f>
        <v>0</v>
      </c>
      <c r="H43" s="2486"/>
      <c r="I43" s="2486"/>
    </row>
    <row r="44" spans="2:9" ht="12.75" customHeight="1" x14ac:dyDescent="0.2"/>
    <row r="45" spans="2:9" ht="12.75" customHeight="1" x14ac:dyDescent="0.2">
      <c r="B45" s="1416" t="s">
        <v>1840</v>
      </c>
      <c r="D45" s="2487">
        <v>0</v>
      </c>
      <c r="E45" s="2488"/>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89"/>
      <c r="F49" s="2489"/>
      <c r="G49" s="2489"/>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Wethersfield Community Unit School District No. 230</v>
      </c>
      <c r="C1" s="2469"/>
      <c r="D1" s="2469"/>
      <c r="E1" s="2469"/>
      <c r="F1" s="2469"/>
      <c r="G1" s="2469"/>
      <c r="H1" s="2469"/>
      <c r="I1" s="2469"/>
      <c r="J1" s="2469"/>
      <c r="K1" s="2469"/>
      <c r="L1" s="1368"/>
      <c r="M1" s="1368"/>
    </row>
    <row r="2" spans="1:13" ht="12" customHeight="1" x14ac:dyDescent="0.2">
      <c r="B2" s="2471">
        <f>'Single Audit Cover'!E7</f>
        <v>28037230026</v>
      </c>
      <c r="C2" s="2471"/>
      <c r="D2" s="2471"/>
      <c r="E2" s="2471"/>
      <c r="F2" s="2471"/>
      <c r="G2" s="2471"/>
      <c r="H2" s="2471"/>
      <c r="I2" s="2471"/>
      <c r="J2" s="2471"/>
      <c r="K2" s="2471"/>
      <c r="L2" s="1369"/>
      <c r="M2" s="1370"/>
    </row>
    <row r="3" spans="1:13" ht="10.35" customHeight="1" x14ac:dyDescent="0.2">
      <c r="B3" s="2492" t="s">
        <v>1284</v>
      </c>
      <c r="C3" s="2492"/>
      <c r="D3" s="2492"/>
      <c r="E3" s="2492"/>
      <c r="F3" s="2492"/>
      <c r="G3" s="2492"/>
      <c r="H3" s="2492"/>
      <c r="I3" s="2492"/>
      <c r="J3" s="2492"/>
      <c r="K3" s="2492"/>
      <c r="L3" s="1371"/>
      <c r="M3" s="1371"/>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1295</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v>1</v>
      </c>
      <c r="E10" s="322"/>
      <c r="F10" s="1381" t="s">
        <v>1294</v>
      </c>
      <c r="G10" s="1382"/>
      <c r="H10" s="1383" t="s">
        <v>1293</v>
      </c>
      <c r="I10" s="1382" t="s">
        <v>2102</v>
      </c>
      <c r="J10" s="1384" t="s">
        <v>1292</v>
      </c>
      <c r="K10" s="322"/>
      <c r="L10" s="1375"/>
    </row>
    <row r="11" spans="1:13" ht="13.5" customHeight="1" x14ac:dyDescent="0.2">
      <c r="B11" s="322"/>
      <c r="C11" s="322"/>
      <c r="D11" s="322"/>
      <c r="E11" s="322"/>
      <c r="F11" s="322"/>
      <c r="G11" s="1377"/>
      <c r="H11" s="322"/>
      <c r="I11" s="1385" t="s">
        <v>1291</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1" t="s">
        <v>2103</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1" t="s">
        <v>2104</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95" t="s">
        <v>2105</v>
      </c>
      <c r="C20" s="2495"/>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1" t="s">
        <v>2106</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1" t="s">
        <v>2107</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0" t="s">
        <v>2108</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90" t="s">
        <v>2122</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Wethersfield Community Unit School District No. 230</v>
      </c>
      <c r="C1" s="2496"/>
      <c r="D1" s="2496"/>
      <c r="E1" s="2496"/>
      <c r="F1" s="2496"/>
      <c r="G1" s="2496"/>
      <c r="H1" s="2496"/>
      <c r="I1" s="2496"/>
      <c r="J1" s="2496"/>
      <c r="K1" s="2496"/>
      <c r="L1" s="1446"/>
    </row>
    <row r="2" spans="1:12" ht="12.75" customHeight="1" x14ac:dyDescent="0.2">
      <c r="B2" s="2497">
        <f>'Single Audit Cover'!E7</f>
        <v>28037230026</v>
      </c>
      <c r="C2" s="2497"/>
      <c r="D2" s="2497"/>
      <c r="E2" s="2497"/>
      <c r="F2" s="2497"/>
      <c r="G2" s="2497"/>
      <c r="H2" s="2497"/>
      <c r="I2" s="2497"/>
      <c r="J2" s="2497"/>
      <c r="K2" s="2497"/>
      <c r="L2" s="1447"/>
    </row>
    <row r="3" spans="1:12" ht="12.75" customHeight="1" x14ac:dyDescent="0.2">
      <c r="B3" s="2492" t="s">
        <v>1284</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1168</v>
      </c>
      <c r="C5" s="1254"/>
      <c r="L5" s="322"/>
    </row>
    <row r="6" spans="1:12" ht="30.75" customHeight="1" x14ac:dyDescent="0.2">
      <c r="A6" s="322"/>
      <c r="B6" s="2498" t="s">
        <v>1307</v>
      </c>
      <c r="C6" s="2498"/>
      <c r="D6" s="2498"/>
      <c r="E6" s="2498"/>
      <c r="F6" s="2498"/>
      <c r="G6" s="2498"/>
      <c r="H6" s="2498"/>
      <c r="I6" s="2498"/>
      <c r="J6" s="2498"/>
      <c r="K6" s="2498"/>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6"/>
      <c r="G12" s="2476"/>
      <c r="H12" s="2476"/>
      <c r="I12" s="2476"/>
      <c r="J12" s="2476"/>
      <c r="K12" s="247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99"/>
      <c r="E14" s="2499"/>
      <c r="F14" s="2499"/>
      <c r="H14" s="1456" t="s">
        <v>1302</v>
      </c>
      <c r="I14" s="2500"/>
      <c r="J14" s="2500"/>
      <c r="K14" s="250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00"/>
      <c r="E16" s="2500"/>
      <c r="F16" s="2500"/>
      <c r="G16" s="2500"/>
      <c r="H16" s="2500"/>
      <c r="I16" s="2500"/>
      <c r="J16" s="2500"/>
      <c r="K16" s="2500"/>
      <c r="L16" s="322"/>
    </row>
    <row r="17" spans="2:12" ht="13.5" customHeight="1" x14ac:dyDescent="0.2">
      <c r="B17" s="1381" t="s">
        <v>1300</v>
      </c>
      <c r="C17" s="1381"/>
      <c r="D17" s="2501"/>
      <c r="E17" s="2501"/>
      <c r="F17" s="2501"/>
      <c r="G17" s="2501"/>
      <c r="H17" s="2501"/>
      <c r="I17" s="2501"/>
      <c r="J17" s="2501"/>
      <c r="K17" s="250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Wethersfield Community Unit School District No. 230</v>
      </c>
      <c r="C1" s="2469"/>
      <c r="D1" s="2469"/>
      <c r="E1" s="1466"/>
    </row>
    <row r="2" spans="2:5" s="1276" customFormat="1" ht="12.75" customHeight="1" x14ac:dyDescent="0.2">
      <c r="B2" s="2471">
        <f>'Single Audit Cover'!E7</f>
        <v>28037230026</v>
      </c>
      <c r="C2" s="2471"/>
      <c r="D2" s="2471"/>
      <c r="E2" s="1467"/>
    </row>
    <row r="3" spans="2:5" ht="12.75" customHeight="1" x14ac:dyDescent="0.2">
      <c r="B3" s="2492" t="s">
        <v>1765</v>
      </c>
      <c r="C3" s="2492"/>
      <c r="D3" s="2492"/>
      <c r="E3" s="1268"/>
    </row>
    <row r="4" spans="2:5" s="1276" customFormat="1" ht="12.75" customHeight="1" x14ac:dyDescent="0.2">
      <c r="B4" s="2502" t="str">
        <f>'Single Audit Cover'!A4</f>
        <v>Year Ending June 30, 2019</v>
      </c>
      <c r="C4" s="2502"/>
      <c r="D4" s="2502"/>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t="s">
        <v>2109</v>
      </c>
      <c r="C7" s="324" t="s">
        <v>2110</v>
      </c>
      <c r="D7" s="324" t="s">
        <v>2111</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AA97-F34B-478D-869D-9D11BB5F2295}">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4" t="str">
        <f>'Single Audit Cover'!A7</f>
        <v>Wethersfield Community Unit School District No. 230</v>
      </c>
      <c r="C1" s="2504"/>
      <c r="D1" s="2504"/>
      <c r="E1" s="2504"/>
      <c r="F1" s="1934"/>
      <c r="G1" s="1934"/>
      <c r="H1" s="1934"/>
      <c r="I1" s="1934"/>
      <c r="J1" s="1934"/>
      <c r="K1" s="1934"/>
      <c r="L1" s="1934"/>
    </row>
    <row r="2" spans="2:12" ht="13.5" customHeight="1" x14ac:dyDescent="0.2">
      <c r="B2" s="2505">
        <f>'Single Audit Cover'!E7</f>
        <v>28037230026</v>
      </c>
      <c r="C2" s="2505"/>
      <c r="D2" s="2505"/>
      <c r="E2" s="2505"/>
      <c r="F2" s="1936"/>
      <c r="G2" s="1936"/>
      <c r="H2" s="1936"/>
      <c r="I2" s="1936"/>
      <c r="J2" s="1936"/>
      <c r="K2" s="1936"/>
      <c r="L2" s="1936"/>
    </row>
    <row r="3" spans="2:12" ht="13.5" customHeight="1" x14ac:dyDescent="0.2">
      <c r="B3" s="2506" t="s">
        <v>2113</v>
      </c>
      <c r="C3" s="2506"/>
      <c r="D3" s="2506"/>
      <c r="E3" s="2506"/>
      <c r="F3" s="1937"/>
      <c r="G3" s="1937"/>
      <c r="H3" s="1937"/>
      <c r="I3" s="1937"/>
      <c r="J3" s="1937"/>
      <c r="K3" s="1937"/>
      <c r="L3" s="1937"/>
    </row>
    <row r="4" spans="2:12" ht="13.5" customHeight="1" x14ac:dyDescent="0.2">
      <c r="B4" s="2507" t="str">
        <f>'Single Audit Cover'!A4</f>
        <v>Year Ending June 30, 2019</v>
      </c>
      <c r="C4" s="2507"/>
      <c r="D4" s="2507"/>
      <c r="E4" s="2507"/>
      <c r="F4" s="1938"/>
      <c r="G4" s="1938"/>
      <c r="H4" s="1938"/>
      <c r="I4" s="1938"/>
      <c r="J4" s="1938"/>
      <c r="K4" s="1938"/>
      <c r="L4" s="1938"/>
    </row>
    <row r="5" spans="2:12" ht="29.85" customHeight="1" x14ac:dyDescent="0.2"/>
    <row r="6" spans="2:12" ht="13.5" customHeight="1" x14ac:dyDescent="0.2">
      <c r="B6" s="1939" t="s">
        <v>2114</v>
      </c>
      <c r="C6" s="1939"/>
      <c r="D6" s="1940"/>
      <c r="E6" s="1941"/>
      <c r="F6" s="1941"/>
      <c r="G6" s="1942"/>
      <c r="H6" s="1942"/>
      <c r="I6" s="1942"/>
    </row>
    <row r="7" spans="2:12" ht="13.5" customHeight="1" x14ac:dyDescent="0.2">
      <c r="B7" s="1935" t="s">
        <v>1168</v>
      </c>
    </row>
    <row r="8" spans="2:12" ht="13.5" customHeight="1" x14ac:dyDescent="0.2">
      <c r="B8" s="1943" t="s">
        <v>2115</v>
      </c>
      <c r="C8" s="1944" t="s">
        <v>1990</v>
      </c>
      <c r="D8" s="1945">
        <v>1</v>
      </c>
    </row>
    <row r="9" spans="2:12" ht="13.5" customHeight="1" x14ac:dyDescent="0.2">
      <c r="B9" s="1946"/>
      <c r="C9" s="1946"/>
      <c r="D9" s="1946"/>
    </row>
    <row r="10" spans="2:12" ht="13.5" customHeight="1" x14ac:dyDescent="0.2">
      <c r="B10" s="1943" t="s">
        <v>2116</v>
      </c>
      <c r="C10" s="1943"/>
    </row>
    <row r="11" spans="2:12" ht="66.75" customHeight="1" x14ac:dyDescent="0.2">
      <c r="B11" s="2503" t="s">
        <v>2104</v>
      </c>
      <c r="C11" s="2503"/>
      <c r="D11" s="2503"/>
      <c r="E11" s="2503"/>
    </row>
    <row r="12" spans="2:12" ht="13.5" customHeight="1" x14ac:dyDescent="0.2"/>
    <row r="13" spans="2:12" ht="13.5" customHeight="1" x14ac:dyDescent="0.2">
      <c r="B13" s="1943" t="s">
        <v>2117</v>
      </c>
      <c r="C13" s="1943"/>
    </row>
    <row r="14" spans="2:12" ht="76.5" customHeight="1" x14ac:dyDescent="0.2">
      <c r="B14" s="2503" t="s">
        <v>2123</v>
      </c>
      <c r="C14" s="2503"/>
      <c r="D14" s="2503"/>
      <c r="E14" s="2503"/>
    </row>
    <row r="15" spans="2:12" ht="13.5" customHeight="1" x14ac:dyDescent="0.2"/>
    <row r="16" spans="2:12" ht="13.5" customHeight="1" x14ac:dyDescent="0.2">
      <c r="B16" s="1943" t="s">
        <v>2118</v>
      </c>
      <c r="C16" s="1943"/>
      <c r="E16" s="1947" t="s">
        <v>2124</v>
      </c>
    </row>
    <row r="17" spans="2:5" ht="13.5" customHeight="1" x14ac:dyDescent="0.2"/>
    <row r="18" spans="2:5" ht="13.5" customHeight="1" x14ac:dyDescent="0.2">
      <c r="B18" s="1943" t="s">
        <v>2119</v>
      </c>
      <c r="C18" s="1943"/>
      <c r="E18" s="1948" t="s">
        <v>2125</v>
      </c>
    </row>
    <row r="19" spans="2:5" ht="13.5" customHeight="1" x14ac:dyDescent="0.2"/>
    <row r="20" spans="2:5" ht="13.5" customHeight="1" x14ac:dyDescent="0.2">
      <c r="B20" s="1943" t="s">
        <v>2120</v>
      </c>
      <c r="C20" s="1943"/>
      <c r="E20" s="1948" t="s">
        <v>2126</v>
      </c>
    </row>
    <row r="21" spans="2:5" ht="13.5" customHeight="1" x14ac:dyDescent="0.2">
      <c r="E21" s="1948" t="s">
        <v>2127</v>
      </c>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2121</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57808212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2.5999999999999999E-2</v>
      </c>
      <c r="E10" s="356" t="s">
        <v>1004</v>
      </c>
      <c r="F10" s="355">
        <v>5.0000000000000001E-3</v>
      </c>
      <c r="G10" s="356" t="s">
        <v>1004</v>
      </c>
      <c r="H10" s="355">
        <v>2E-3</v>
      </c>
      <c r="I10" s="356" t="s">
        <v>1005</v>
      </c>
      <c r="J10" s="1729">
        <f>ROUND(D10+F10+H10,5)</f>
        <v>3.3000000000000002E-2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5096050</v>
      </c>
      <c r="E16" s="356"/>
      <c r="F16" s="1730">
        <f>SUM('Acct Summary 7-8'!C17,'Acct Summary 7-8'!D17,'Acct Summary 7-8'!F17)</f>
        <v>5077997</v>
      </c>
      <c r="G16" s="356"/>
      <c r="H16" s="1730">
        <f>SUM(D16-F16)</f>
        <v>18053</v>
      </c>
      <c r="I16" s="222"/>
      <c r="J16" s="1730">
        <f>SUM('Acct Summary 7-8'!C81,'Acct Summary 7-8'!D81,'Acct Summary 7-8'!F81,'Acct Summary 7-8'!I81)</f>
        <v>2346074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7977533.256000001</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1795956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1412</v>
      </c>
      <c r="B3" s="2120"/>
      <c r="C3" s="2120"/>
      <c r="D3" s="2120"/>
      <c r="E3" s="2120"/>
      <c r="F3" s="2120"/>
      <c r="G3" s="2120"/>
      <c r="H3" s="2120"/>
      <c r="I3" s="2120"/>
      <c r="J3" s="2120"/>
      <c r="K3" s="2120"/>
      <c r="L3" s="2120"/>
      <c r="M3" s="2120"/>
      <c r="N3" s="2120"/>
      <c r="O3" s="2120"/>
      <c r="P3" s="2120"/>
      <c r="Q3" s="2120"/>
      <c r="R3" s="2120"/>
    </row>
    <row r="4" spans="1:18" x14ac:dyDescent="0.2">
      <c r="A4" s="2121" t="s">
        <v>1553</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Wethersfield Community Unit School District No. 230</v>
      </c>
      <c r="E7" s="391"/>
      <c r="G7" s="252"/>
      <c r="H7" s="387"/>
      <c r="I7" s="387"/>
      <c r="J7" s="387"/>
      <c r="K7" s="387"/>
      <c r="L7" s="329"/>
      <c r="M7" s="329"/>
      <c r="N7" s="329"/>
      <c r="O7" s="329"/>
      <c r="P7" s="329"/>
    </row>
    <row r="8" spans="1:18" ht="12.75" x14ac:dyDescent="0.2">
      <c r="A8" s="329"/>
      <c r="B8" s="329"/>
      <c r="C8" s="389" t="s">
        <v>1124</v>
      </c>
      <c r="D8" s="392">
        <f>COVER!A13</f>
        <v>28037230026</v>
      </c>
      <c r="E8" s="393"/>
      <c r="G8" s="329"/>
      <c r="H8" s="329"/>
      <c r="I8" s="329"/>
      <c r="J8" s="329"/>
      <c r="K8" s="329"/>
      <c r="L8" s="329"/>
      <c r="M8" s="329"/>
      <c r="N8" s="329"/>
      <c r="O8" s="329"/>
      <c r="P8" s="329"/>
    </row>
    <row r="9" spans="1:18" ht="12.75" x14ac:dyDescent="0.2">
      <c r="A9" s="329"/>
      <c r="B9" s="329"/>
      <c r="C9" s="389" t="s">
        <v>712</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2346074</v>
      </c>
      <c r="I12" s="404"/>
      <c r="J12" s="404"/>
      <c r="K12" s="405">
        <f>TRUNC((H12/H13*100000),5)/100000</f>
        <v>0.46321285830000003</v>
      </c>
      <c r="L12" s="406"/>
      <c r="M12" s="360" t="s">
        <v>1143</v>
      </c>
      <c r="N12" s="360"/>
      <c r="O12" s="407">
        <v>0.35</v>
      </c>
      <c r="P12" s="218"/>
      <c r="Q12" s="218"/>
    </row>
    <row r="13" spans="1:18" s="408" customFormat="1" ht="12.75" x14ac:dyDescent="0.2">
      <c r="A13" s="218"/>
      <c r="B13" s="401"/>
      <c r="C13" s="2117" t="s">
        <v>1323</v>
      </c>
      <c r="D13" s="2118"/>
      <c r="E13" s="218"/>
      <c r="F13" s="409" t="s">
        <v>792</v>
      </c>
      <c r="G13" s="402"/>
      <c r="H13" s="403">
        <f>SUM('Acct Summary 7-8'!C8+'Acct Summary 7-8'!D8+'Acct Summary 7-8'!F8+'Acct Summary 7-8'!I8)+H14</f>
        <v>5064786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-31264</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5077997</v>
      </c>
      <c r="I17" s="404"/>
      <c r="J17" s="416"/>
      <c r="K17" s="405">
        <f>TRUNC((H17/H18*100000),5)/100000</f>
        <v>1.0026084024000002</v>
      </c>
      <c r="L17" s="406"/>
      <c r="M17" s="417" t="s">
        <v>1170</v>
      </c>
      <c r="O17" s="418" t="str">
        <f>IF(AND(O16="2", J20 &gt; 2),"1",IF(AND(O16 = "1", J20 &gt; 2),"2",IF(AND(O16="1", J20 &gt;1),"1","0")))</f>
        <v>0</v>
      </c>
      <c r="P17" s="218"/>
    </row>
    <row r="18" spans="1:18" s="408" customFormat="1" ht="11.25" x14ac:dyDescent="0.2">
      <c r="A18" s="218"/>
      <c r="B18" s="401"/>
      <c r="C18" s="2117" t="s">
        <v>1316</v>
      </c>
      <c r="D18" s="2118"/>
      <c r="E18" s="218"/>
      <c r="F18" s="419" t="s">
        <v>793</v>
      </c>
      <c r="G18" s="402"/>
      <c r="H18" s="403">
        <f>SUM('Acct Summary 7-8'!C8+'Acct Summary 7-8'!D8+'Acct Summary 7-8'!F8+'Acct Summary 7-8'!I8)+H19</f>
        <v>5064786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-31264</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139.24724889999999</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4" t="s">
        <v>1411</v>
      </c>
      <c r="D24" s="2114"/>
      <c r="E24" s="218"/>
      <c r="F24" s="218" t="s">
        <v>444</v>
      </c>
      <c r="G24" s="402"/>
      <c r="H24" s="403">
        <f>SUM('Assets-Liab 5-6'!C4+'Assets-Liab 5-6'!D4+'Assets-Liab 5-6'!F4+'Assets-Liab 5-6'!I4+'Assets-Liab 5-6'!C5+'Assets-Liab 5-6'!D5+'Assets-Liab 5-6'!F5+'Assets-Liab 5-6'!I5)</f>
        <v>2346074</v>
      </c>
      <c r="I24" s="422"/>
      <c r="J24" s="422"/>
      <c r="K24" s="423">
        <f>TRUNC(((H24/H25*100000)/100000),2)</f>
        <v>166.32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14105.54722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1621520.3466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1795956</v>
      </c>
      <c r="I32" s="420"/>
      <c r="J32" s="420"/>
      <c r="K32" s="423">
        <f>TRUNC(100-((((H32/H33*100))*100)/100),2)</f>
        <v>77.48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7977533.256000001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556"/>
      <c r="D3" s="1557"/>
      <c r="E3" s="1557"/>
      <c r="F3" s="1557"/>
      <c r="G3" s="1557"/>
      <c r="H3" s="1557"/>
      <c r="I3" s="1557"/>
      <c r="J3" s="1557"/>
      <c r="K3" s="1557"/>
      <c r="L3" s="1557"/>
      <c r="M3" s="1558"/>
      <c r="N3" s="1559"/>
    </row>
    <row r="4" spans="1:14" ht="13.5" customHeight="1" x14ac:dyDescent="0.2">
      <c r="A4" s="463" t="s">
        <v>1650</v>
      </c>
      <c r="B4" s="464"/>
      <c r="C4" s="465">
        <v>1008672</v>
      </c>
      <c r="D4" s="465">
        <v>219423</v>
      </c>
      <c r="E4" s="465">
        <v>330678</v>
      </c>
      <c r="F4" s="465">
        <v>193236</v>
      </c>
      <c r="G4" s="465">
        <v>191022</v>
      </c>
      <c r="H4" s="465">
        <v>68575</v>
      </c>
      <c r="I4" s="465">
        <v>203564</v>
      </c>
      <c r="J4" s="465">
        <v>15706</v>
      </c>
      <c r="K4" s="465">
        <v>38139</v>
      </c>
      <c r="L4" s="465">
        <v>393022</v>
      </c>
      <c r="M4" s="468"/>
      <c r="N4" s="469"/>
    </row>
    <row r="5" spans="1:14" x14ac:dyDescent="0.2">
      <c r="A5" s="463" t="s">
        <v>991</v>
      </c>
      <c r="B5" s="470">
        <v>120</v>
      </c>
      <c r="C5" s="465">
        <v>702475</v>
      </c>
      <c r="D5" s="465">
        <v>12772</v>
      </c>
      <c r="E5" s="465">
        <v>230837</v>
      </c>
      <c r="F5" s="465">
        <v>5932</v>
      </c>
      <c r="G5" s="465">
        <v>0</v>
      </c>
      <c r="H5" s="465">
        <v>0</v>
      </c>
      <c r="I5" s="465">
        <v>0</v>
      </c>
      <c r="J5" s="465">
        <v>0</v>
      </c>
      <c r="K5" s="465">
        <v>0</v>
      </c>
      <c r="L5" s="465">
        <v>425013</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643</v>
      </c>
      <c r="B13" s="1706"/>
      <c r="C13" s="1734">
        <f>SUM(C4:C12)</f>
        <v>1711147</v>
      </c>
      <c r="D13" s="1734">
        <f t="shared" ref="D13:L13" si="0">SUM(D4:D12)</f>
        <v>232195</v>
      </c>
      <c r="E13" s="1734">
        <f t="shared" si="0"/>
        <v>561515</v>
      </c>
      <c r="F13" s="1734">
        <f t="shared" si="0"/>
        <v>199168</v>
      </c>
      <c r="G13" s="1734">
        <f t="shared" si="0"/>
        <v>191022</v>
      </c>
      <c r="H13" s="1734">
        <f t="shared" si="0"/>
        <v>68575</v>
      </c>
      <c r="I13" s="1734">
        <f t="shared" si="0"/>
        <v>203564</v>
      </c>
      <c r="J13" s="1734">
        <f t="shared" si="0"/>
        <v>15706</v>
      </c>
      <c r="K13" s="1734">
        <f t="shared" si="0"/>
        <v>38139</v>
      </c>
      <c r="L13" s="1734">
        <f t="shared" si="0"/>
        <v>818035</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39570</v>
      </c>
      <c r="N16" s="482"/>
    </row>
    <row r="17" spans="1:14" s="483" customFormat="1" ht="12.75" customHeight="1" x14ac:dyDescent="0.2">
      <c r="A17" s="480" t="s">
        <v>1402</v>
      </c>
      <c r="B17" s="481">
        <v>230</v>
      </c>
      <c r="C17" s="475"/>
      <c r="D17" s="475"/>
      <c r="E17" s="475"/>
      <c r="F17" s="475"/>
      <c r="G17" s="475"/>
      <c r="H17" s="475"/>
      <c r="I17" s="475"/>
      <c r="J17" s="475"/>
      <c r="K17" s="475"/>
      <c r="L17" s="475"/>
      <c r="M17" s="465">
        <v>6301720</v>
      </c>
      <c r="N17" s="482"/>
    </row>
    <row r="18" spans="1:14" s="483" customFormat="1" ht="12.75" customHeight="1" x14ac:dyDescent="0.2">
      <c r="A18" s="480" t="s">
        <v>1403</v>
      </c>
      <c r="B18" s="481">
        <v>240</v>
      </c>
      <c r="C18" s="475"/>
      <c r="D18" s="475"/>
      <c r="E18" s="475"/>
      <c r="F18" s="475"/>
      <c r="G18" s="475"/>
      <c r="H18" s="475"/>
      <c r="I18" s="475"/>
      <c r="J18" s="475"/>
      <c r="K18" s="475"/>
      <c r="L18" s="475"/>
      <c r="M18" s="465">
        <v>1089969</v>
      </c>
      <c r="N18" s="482"/>
    </row>
    <row r="19" spans="1:14" s="483" customFormat="1" ht="12.75" customHeight="1" x14ac:dyDescent="0.2">
      <c r="A19" s="480" t="s">
        <v>1404</v>
      </c>
      <c r="B19" s="481">
        <v>250</v>
      </c>
      <c r="C19" s="475"/>
      <c r="D19" s="475"/>
      <c r="E19" s="475"/>
      <c r="F19" s="475"/>
      <c r="G19" s="475"/>
      <c r="H19" s="475"/>
      <c r="I19" s="475"/>
      <c r="J19" s="475"/>
      <c r="K19" s="475"/>
      <c r="L19" s="475"/>
      <c r="M19" s="465">
        <v>1468799</v>
      </c>
      <c r="N19" s="482"/>
    </row>
    <row r="20" spans="1:14" s="483" customFormat="1" ht="12.75" customHeight="1" x14ac:dyDescent="0.2">
      <c r="A20" s="480" t="s">
        <v>1405</v>
      </c>
      <c r="B20" s="481">
        <v>260</v>
      </c>
      <c r="C20" s="475"/>
      <c r="D20" s="475"/>
      <c r="E20" s="475"/>
      <c r="F20" s="475"/>
      <c r="G20" s="475"/>
      <c r="H20" s="475"/>
      <c r="I20" s="475"/>
      <c r="J20" s="475"/>
      <c r="K20" s="475"/>
      <c r="L20" s="475"/>
      <c r="M20" s="465">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561515</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1234441</v>
      </c>
    </row>
    <row r="23" spans="1:14" ht="13.5" customHeight="1" thickBot="1" x14ac:dyDescent="0.25">
      <c r="A23" s="1733" t="s">
        <v>642</v>
      </c>
      <c r="B23" s="1738"/>
      <c r="C23" s="468"/>
      <c r="D23" s="468"/>
      <c r="E23" s="468"/>
      <c r="F23" s="468"/>
      <c r="G23" s="468"/>
      <c r="H23" s="468"/>
      <c r="I23" s="468"/>
      <c r="J23" s="468"/>
      <c r="K23" s="468"/>
      <c r="L23" s="468"/>
      <c r="M23" s="1685">
        <f>SUM(M15:M22)</f>
        <v>8900058</v>
      </c>
      <c r="N23" s="1685">
        <f>SUM(N21:N22)</f>
        <v>1795956</v>
      </c>
    </row>
    <row r="24" spans="1:14" ht="18" customHeight="1" thickTop="1" x14ac:dyDescent="0.2">
      <c r="A24" s="2128" t="s">
        <v>597</v>
      </c>
      <c r="B24" s="2129"/>
      <c r="C24" s="1565"/>
      <c r="D24" s="1562"/>
      <c r="E24" s="1562"/>
      <c r="F24" s="1562"/>
      <c r="G24" s="1562"/>
      <c r="H24" s="1562"/>
      <c r="I24" s="1562"/>
      <c r="J24" s="1562"/>
      <c r="K24" s="1562"/>
      <c r="L24" s="1562"/>
      <c r="M24" s="1561"/>
      <c r="N24" s="1566"/>
    </row>
    <row r="25" spans="1:14" x14ac:dyDescent="0.2">
      <c r="A25" s="472" t="s">
        <v>644</v>
      </c>
      <c r="B25" s="470">
        <v>410</v>
      </c>
      <c r="C25" s="465">
        <v>0</v>
      </c>
      <c r="D25" s="465">
        <v>0</v>
      </c>
      <c r="E25" s="465">
        <v>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200566</v>
      </c>
      <c r="M33" s="468"/>
      <c r="N33" s="469"/>
    </row>
    <row r="34" spans="1:14" ht="13.5" customHeight="1" thickBot="1" x14ac:dyDescent="0.25">
      <c r="A34" s="1735" t="s">
        <v>653</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200566</v>
      </c>
      <c r="M34" s="468"/>
      <c r="N34" s="478"/>
    </row>
    <row r="35" spans="1:14" ht="18" customHeight="1" thickTop="1" x14ac:dyDescent="0.2">
      <c r="A35" s="2130" t="s">
        <v>528</v>
      </c>
      <c r="B35" s="213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1795956</v>
      </c>
    </row>
    <row r="37" spans="1:14" ht="13.5" thickBot="1" x14ac:dyDescent="0.25">
      <c r="A37" s="1733" t="s">
        <v>652</v>
      </c>
      <c r="B37" s="1738"/>
      <c r="C37" s="475"/>
      <c r="D37" s="475"/>
      <c r="E37" s="475"/>
      <c r="F37" s="475"/>
      <c r="G37" s="475"/>
      <c r="H37" s="475"/>
      <c r="I37" s="475"/>
      <c r="J37" s="475"/>
      <c r="K37" s="475"/>
      <c r="L37" s="478"/>
      <c r="M37" s="468"/>
      <c r="N37" s="1685">
        <f>SUM(N36:N36)</f>
        <v>1795956</v>
      </c>
    </row>
    <row r="38" spans="1:14" s="329" customFormat="1" ht="13.5" customHeight="1" thickTop="1" x14ac:dyDescent="0.2">
      <c r="A38" s="493" t="s">
        <v>419</v>
      </c>
      <c r="B38" s="481">
        <v>714</v>
      </c>
      <c r="C38" s="465">
        <v>6317</v>
      </c>
      <c r="D38" s="465">
        <v>0</v>
      </c>
      <c r="E38" s="465">
        <v>122514</v>
      </c>
      <c r="F38" s="465">
        <v>0</v>
      </c>
      <c r="G38" s="465">
        <v>79276</v>
      </c>
      <c r="H38" s="465">
        <v>0</v>
      </c>
      <c r="I38" s="465">
        <v>0</v>
      </c>
      <c r="J38" s="465">
        <v>0</v>
      </c>
      <c r="K38" s="465">
        <v>0</v>
      </c>
      <c r="L38" s="465">
        <v>617469</v>
      </c>
      <c r="M38" s="494"/>
      <c r="N38" s="494"/>
    </row>
    <row r="39" spans="1:14" s="329" customFormat="1" ht="13.5" customHeight="1" x14ac:dyDescent="0.2">
      <c r="A39" s="493" t="s">
        <v>341</v>
      </c>
      <c r="B39" s="481">
        <v>730</v>
      </c>
      <c r="C39" s="465">
        <v>1704830</v>
      </c>
      <c r="D39" s="465">
        <v>232195</v>
      </c>
      <c r="E39" s="465">
        <v>439001</v>
      </c>
      <c r="F39" s="465">
        <v>199168</v>
      </c>
      <c r="G39" s="465">
        <v>111746</v>
      </c>
      <c r="H39" s="465">
        <v>68575</v>
      </c>
      <c r="I39" s="465">
        <v>203564</v>
      </c>
      <c r="J39" s="465">
        <v>15706</v>
      </c>
      <c r="K39" s="465">
        <v>38139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8900058</v>
      </c>
      <c r="N40" s="494"/>
    </row>
    <row r="41" spans="1:14" ht="13.5" customHeight="1" thickBot="1" x14ac:dyDescent="0.25">
      <c r="A41" s="1733" t="s">
        <v>654</v>
      </c>
      <c r="B41" s="1703"/>
      <c r="C41" s="1685">
        <f>(SUM(C34,C37,C38,C39))</f>
        <v>1711147</v>
      </c>
      <c r="D41" s="1685">
        <f t="shared" ref="D41:L41" si="2">SUM(D34,D37,D38:D39)</f>
        <v>232195</v>
      </c>
      <c r="E41" s="1685">
        <f t="shared" si="2"/>
        <v>561515</v>
      </c>
      <c r="F41" s="1685">
        <f t="shared" si="2"/>
        <v>199168</v>
      </c>
      <c r="G41" s="1685">
        <f t="shared" si="2"/>
        <v>191022</v>
      </c>
      <c r="H41" s="1685">
        <f t="shared" si="2"/>
        <v>68575</v>
      </c>
      <c r="I41" s="1685">
        <f t="shared" si="2"/>
        <v>203564</v>
      </c>
      <c r="J41" s="1685">
        <f t="shared" si="2"/>
        <v>15706</v>
      </c>
      <c r="K41" s="1685">
        <f t="shared" si="2"/>
        <v>38139</v>
      </c>
      <c r="L41" s="1685">
        <f t="shared" si="2"/>
        <v>818035</v>
      </c>
      <c r="M41" s="1685">
        <f>SUM(M40)</f>
        <v>8900058</v>
      </c>
      <c r="N41" s="1685">
        <f>SUM(N37)</f>
        <v>1795956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3" sqref="F3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0" t="s">
        <v>1651</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41"/>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152" t="s">
        <v>1174</v>
      </c>
      <c r="B3" s="2153"/>
      <c r="C3" s="1570"/>
      <c r="D3" s="1571"/>
      <c r="E3" s="1571"/>
      <c r="F3" s="1571"/>
      <c r="G3" s="1571"/>
      <c r="H3" s="1571"/>
      <c r="I3" s="1571"/>
      <c r="J3" s="1571"/>
      <c r="K3" s="1572"/>
      <c r="L3" s="503"/>
    </row>
    <row r="4" spans="1:13" ht="15.75" customHeight="1" x14ac:dyDescent="0.2">
      <c r="A4" s="1925" t="s">
        <v>1498</v>
      </c>
      <c r="B4" s="1926">
        <v>1000</v>
      </c>
      <c r="C4" s="1739">
        <f>'Revenues 9-14'!C109</f>
        <v>1876467</v>
      </c>
      <c r="D4" s="1739">
        <f>'Revenues 9-14'!D109</f>
        <v>285935</v>
      </c>
      <c r="E4" s="1739">
        <f>'Revenues 9-14'!E109</f>
        <v>329749</v>
      </c>
      <c r="F4" s="1739">
        <f>'Revenues 9-14'!F109</f>
        <v>126024</v>
      </c>
      <c r="G4" s="1739">
        <f>'Revenues 9-14'!G109</f>
        <v>187307</v>
      </c>
      <c r="H4" s="1739">
        <f>'Revenues 9-14'!H109</f>
        <v>190843</v>
      </c>
      <c r="I4" s="1739">
        <f>'Revenues 9-14'!I109</f>
        <v>28870</v>
      </c>
      <c r="J4" s="1739">
        <f>'Revenues 9-14'!J109</f>
        <v>227344</v>
      </c>
      <c r="K4" s="1739">
        <f>'Revenues 9-14'!K109</f>
        <v>78</v>
      </c>
      <c r="L4" s="347"/>
    </row>
    <row r="5" spans="1:13" ht="15.75" customHeight="1" x14ac:dyDescent="0.2">
      <c r="A5" s="1573" t="s">
        <v>1499</v>
      </c>
      <c r="B5" s="1574">
        <v>2000</v>
      </c>
      <c r="C5" s="1740">
        <f>'Revenues 9-14'!C114</f>
        <v>0</v>
      </c>
      <c r="D5" s="1740">
        <f>'Revenues 9-14'!D114</f>
        <v>0</v>
      </c>
      <c r="E5" s="505"/>
      <c r="F5" s="1740">
        <f>'Revenues 9-14'!F114</f>
        <v>0</v>
      </c>
      <c r="G5" s="1740">
        <f>'Revenues 9-14'!G114</f>
        <v>0</v>
      </c>
      <c r="H5" s="506" t="s">
        <v>1168</v>
      </c>
      <c r="I5" s="507" t="s">
        <v>1168</v>
      </c>
      <c r="J5" s="508" t="s">
        <v>1168</v>
      </c>
      <c r="K5" s="509" t="s">
        <v>1168</v>
      </c>
      <c r="L5" s="347"/>
    </row>
    <row r="6" spans="1:13" ht="15.75" customHeight="1" x14ac:dyDescent="0.2">
      <c r="A6" s="1573" t="s">
        <v>1500</v>
      </c>
      <c r="B6" s="1575">
        <v>3000</v>
      </c>
      <c r="C6" s="1740">
        <f>'Revenues 9-14'!C170</f>
        <v>2194701</v>
      </c>
      <c r="D6" s="1740">
        <f>'Revenues 9-14'!D170</f>
        <v>174762</v>
      </c>
      <c r="E6" s="1740">
        <f>'Revenues 9-14'!E170</f>
        <v>0</v>
      </c>
      <c r="F6" s="1740">
        <f>'Revenues 9-14'!F170</f>
        <v>110951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1501</v>
      </c>
      <c r="B7" s="1575">
        <v>4000</v>
      </c>
      <c r="C7" s="1740">
        <f>'Revenues 9-14'!C267</f>
        <v>298340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1171</v>
      </c>
      <c r="B8" s="1706"/>
      <c r="C8" s="1685">
        <f>SUM(C4:C7)</f>
        <v>4369508</v>
      </c>
      <c r="D8" s="1685">
        <f t="shared" ref="D8:K8" si="0">SUM(D4:D7)</f>
        <v>460697</v>
      </c>
      <c r="E8" s="1685">
        <f t="shared" si="0"/>
        <v>329749</v>
      </c>
      <c r="F8" s="1685">
        <f t="shared" si="0"/>
        <v>236975</v>
      </c>
      <c r="G8" s="1685">
        <f t="shared" si="0"/>
        <v>187307</v>
      </c>
      <c r="H8" s="1685">
        <f t="shared" si="0"/>
        <v>190843</v>
      </c>
      <c r="I8" s="1685">
        <f t="shared" si="0"/>
        <v>28870</v>
      </c>
      <c r="J8" s="1685">
        <f t="shared" si="0"/>
        <v>227344</v>
      </c>
      <c r="K8" s="1685">
        <f t="shared" si="0"/>
        <v>78</v>
      </c>
      <c r="L8" s="347"/>
    </row>
    <row r="9" spans="1:13" ht="15.75" thickTop="1" x14ac:dyDescent="0.2">
      <c r="A9" s="511" t="s">
        <v>1652</v>
      </c>
      <c r="B9" s="512">
        <v>3998</v>
      </c>
      <c r="C9" s="465">
        <v>1934680</v>
      </c>
      <c r="D9" s="513"/>
      <c r="E9" s="479"/>
      <c r="F9" s="479"/>
      <c r="G9" s="514"/>
      <c r="H9" s="479"/>
      <c r="I9" s="506" t="s">
        <v>1168</v>
      </c>
      <c r="J9" s="476"/>
      <c r="K9" s="479"/>
      <c r="L9" s="347"/>
    </row>
    <row r="10" spans="1:13" s="516" customFormat="1" ht="13.5" thickBot="1" x14ac:dyDescent="0.25">
      <c r="A10" s="1733" t="s">
        <v>1172</v>
      </c>
      <c r="B10" s="1706"/>
      <c r="C10" s="1685">
        <f>SUM(C8:C9)</f>
        <v>6304188</v>
      </c>
      <c r="D10" s="1685">
        <f t="shared" ref="D10:K10" si="1">SUM(D8:D9)</f>
        <v>460697</v>
      </c>
      <c r="E10" s="1685">
        <f t="shared" si="1"/>
        <v>329749</v>
      </c>
      <c r="F10" s="1685">
        <f t="shared" si="1"/>
        <v>236975</v>
      </c>
      <c r="G10" s="1685">
        <f t="shared" si="1"/>
        <v>187307</v>
      </c>
      <c r="H10" s="1685">
        <f t="shared" si="1"/>
        <v>190843</v>
      </c>
      <c r="I10" s="1685">
        <f t="shared" si="1"/>
        <v>28870</v>
      </c>
      <c r="J10" s="1685">
        <f t="shared" si="1"/>
        <v>227344</v>
      </c>
      <c r="K10" s="1685">
        <f t="shared" si="1"/>
        <v>78</v>
      </c>
      <c r="L10" s="515"/>
    </row>
    <row r="11" spans="1:13" s="516" customFormat="1" ht="16.7" customHeight="1" thickTop="1" x14ac:dyDescent="0.2">
      <c r="A11" s="2126" t="s">
        <v>1175</v>
      </c>
      <c r="B11" s="2127"/>
      <c r="C11" s="1567"/>
      <c r="D11" s="1568"/>
      <c r="E11" s="1568"/>
      <c r="F11" s="1568"/>
      <c r="G11" s="1568"/>
      <c r="H11" s="1568"/>
      <c r="I11" s="1568"/>
      <c r="J11" s="1568"/>
      <c r="K11" s="1569"/>
      <c r="L11" s="515"/>
    </row>
    <row r="12" spans="1:13" ht="15.75" customHeight="1" x14ac:dyDescent="0.2">
      <c r="A12" s="1573" t="s">
        <v>455</v>
      </c>
      <c r="B12" s="1575">
        <v>1000</v>
      </c>
      <c r="C12" s="1739">
        <f>'Expenditures 15-22'!K33</f>
        <v>3052659</v>
      </c>
      <c r="D12" s="517" t="s">
        <v>1168</v>
      </c>
      <c r="E12" s="468" t="s">
        <v>1168</v>
      </c>
      <c r="F12" s="468" t="s">
        <v>1168</v>
      </c>
      <c r="G12" s="1739">
        <f>'Expenditures 15-22'!K229</f>
        <v>53244</v>
      </c>
      <c r="H12" s="518"/>
      <c r="I12" s="468" t="s">
        <v>1168</v>
      </c>
      <c r="J12" s="468" t="s">
        <v>1168</v>
      </c>
      <c r="K12" s="518" t="s">
        <v>1168</v>
      </c>
      <c r="L12" s="347"/>
    </row>
    <row r="13" spans="1:13" ht="15.75" customHeight="1" x14ac:dyDescent="0.2">
      <c r="A13" s="1573" t="s">
        <v>456</v>
      </c>
      <c r="B13" s="1575">
        <v>2000</v>
      </c>
      <c r="C13" s="1740">
        <f>'Expenditures 15-22'!K74</f>
        <v>1081735</v>
      </c>
      <c r="D13" s="1740">
        <f>'Expenditures 15-22'!K129</f>
        <v>416968</v>
      </c>
      <c r="E13" s="469" t="s">
        <v>1168</v>
      </c>
      <c r="F13" s="1740">
        <f>'Expenditures 15-22'!K184</f>
        <v>195898</v>
      </c>
      <c r="G13" s="1740">
        <f>'Expenditures 15-22'!K279</f>
        <v>97659</v>
      </c>
      <c r="H13" s="1740">
        <f>'Expenditures 15-22'!K303</f>
        <v>412500</v>
      </c>
      <c r="I13" s="468" t="s">
        <v>1168</v>
      </c>
      <c r="J13" s="1740">
        <f>'Expenditures 15-22'!K330</f>
        <v>228634</v>
      </c>
      <c r="K13" s="1744">
        <f>'Expenditures 15-22'!K352</f>
        <v>0</v>
      </c>
      <c r="L13" s="347"/>
    </row>
    <row r="14" spans="1:13" ht="15.75" customHeight="1" x14ac:dyDescent="0.2">
      <c r="A14" s="1573" t="s">
        <v>448</v>
      </c>
      <c r="B14" s="1575">
        <v>3000</v>
      </c>
      <c r="C14" s="1740">
        <f>'Expenditures 15-22'!K75</f>
        <v>0</v>
      </c>
      <c r="D14" s="1740">
        <f>'Expenditures 15-22'!K130</f>
        <v>0</v>
      </c>
      <c r="E14" s="517" t="s">
        <v>1168</v>
      </c>
      <c r="F14" s="1740">
        <f>'Expenditures 15-22'!K185</f>
        <v>0</v>
      </c>
      <c r="G14" s="1740">
        <f>'Expenditures 15-22'!K280</f>
        <v>0</v>
      </c>
      <c r="H14" s="509"/>
      <c r="I14" s="468" t="s">
        <v>1168</v>
      </c>
      <c r="J14" s="468" t="s">
        <v>1168</v>
      </c>
      <c r="K14" s="509" t="s">
        <v>1168</v>
      </c>
      <c r="L14" s="347"/>
    </row>
    <row r="15" spans="1:13" ht="15.75" customHeight="1" x14ac:dyDescent="0.2">
      <c r="A15" s="1573" t="s">
        <v>107</v>
      </c>
      <c r="B15" s="1575">
        <v>4000</v>
      </c>
      <c r="C15" s="1740">
        <f>'Expenditures 15-22'!K102</f>
        <v>293258</v>
      </c>
      <c r="D15" s="1740">
        <f>'Expenditures 15-22'!K139</f>
        <v>0</v>
      </c>
      <c r="E15" s="1740">
        <f>'Expenditures 15-22'!K160</f>
        <v>0</v>
      </c>
      <c r="F15" s="1740">
        <f>'Expenditures 15-22'!K196</f>
        <v>0</v>
      </c>
      <c r="G15" s="1740">
        <f>'Expenditures 15-22'!K285</f>
        <v>8344</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336202</v>
      </c>
      <c r="F16" s="1740">
        <f>'Expenditures 15-22'!K208</f>
        <v>37479</v>
      </c>
      <c r="G16" s="1740">
        <f>'Expenditures 15-22'!K293</f>
        <v>0</v>
      </c>
      <c r="H16" s="520"/>
      <c r="I16" s="468" t="s">
        <v>1168</v>
      </c>
      <c r="J16" s="1745">
        <f>'Expenditures 15-22'!K340</f>
        <v>0</v>
      </c>
      <c r="K16" s="1740">
        <f>'Expenditures 15-22'!K365</f>
        <v>0</v>
      </c>
      <c r="L16" s="347"/>
    </row>
    <row r="17" spans="1:12" ht="13.5" thickBot="1" x14ac:dyDescent="0.25">
      <c r="A17" s="1705" t="s">
        <v>48</v>
      </c>
      <c r="B17" s="1706"/>
      <c r="C17" s="1685">
        <f t="shared" ref="C17:H17" si="2">SUM(C12:C16)</f>
        <v>4427652</v>
      </c>
      <c r="D17" s="1685">
        <f t="shared" si="2"/>
        <v>416968</v>
      </c>
      <c r="E17" s="1685">
        <f t="shared" si="2"/>
        <v>336202</v>
      </c>
      <c r="F17" s="1685">
        <f t="shared" si="2"/>
        <v>233377</v>
      </c>
      <c r="G17" s="1685">
        <f t="shared" si="2"/>
        <v>159247</v>
      </c>
      <c r="H17" s="1685">
        <f t="shared" si="2"/>
        <v>412500</v>
      </c>
      <c r="I17" s="468"/>
      <c r="J17" s="1685">
        <f>SUM(J12:J16)</f>
        <v>228634</v>
      </c>
      <c r="K17" s="1685">
        <f>SUM(K12:K16)</f>
        <v>0</v>
      </c>
      <c r="L17" s="347"/>
    </row>
    <row r="18" spans="1:12" ht="15" customHeight="1" thickTop="1" x14ac:dyDescent="0.2">
      <c r="A18" s="1741" t="s">
        <v>1653</v>
      </c>
      <c r="B18" s="1742">
        <v>4180</v>
      </c>
      <c r="C18" s="1739">
        <f t="shared" ref="C18:H18" si="3">C9</f>
        <v>1934680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6362332</v>
      </c>
      <c r="D19" s="1685">
        <f t="shared" si="4"/>
        <v>416968</v>
      </c>
      <c r="E19" s="1685">
        <f t="shared" si="4"/>
        <v>336202</v>
      </c>
      <c r="F19" s="1685">
        <f t="shared" si="4"/>
        <v>233377</v>
      </c>
      <c r="G19" s="1685">
        <f t="shared" si="4"/>
        <v>159247</v>
      </c>
      <c r="H19" s="1685">
        <f t="shared" si="4"/>
        <v>412500</v>
      </c>
      <c r="I19" s="468"/>
      <c r="J19" s="1685">
        <f>SUM(J17:J18)</f>
        <v>228634</v>
      </c>
      <c r="K19" s="1685">
        <f>SUM(K17:K18)</f>
        <v>0</v>
      </c>
      <c r="L19" s="347"/>
    </row>
    <row r="20" spans="1:12" ht="16.5" thickTop="1" thickBot="1" x14ac:dyDescent="0.25">
      <c r="A20" s="2142" t="s">
        <v>1654</v>
      </c>
      <c r="B20" s="2143"/>
      <c r="C20" s="1743">
        <f>C8-C17</f>
        <v>-58144</v>
      </c>
      <c r="D20" s="1743">
        <f t="shared" ref="D20:K20" si="5">D8-D17</f>
        <v>43729</v>
      </c>
      <c r="E20" s="1743">
        <f t="shared" si="5"/>
        <v>-6453</v>
      </c>
      <c r="F20" s="1743">
        <f t="shared" si="5"/>
        <v>3598</v>
      </c>
      <c r="G20" s="1743">
        <f t="shared" si="5"/>
        <v>28060</v>
      </c>
      <c r="H20" s="1743">
        <f t="shared" si="5"/>
        <v>-221657</v>
      </c>
      <c r="I20" s="1743">
        <f t="shared" si="5"/>
        <v>28870</v>
      </c>
      <c r="J20" s="1743">
        <f t="shared" si="5"/>
        <v>-1290</v>
      </c>
      <c r="K20" s="1743">
        <f t="shared" si="5"/>
        <v>78</v>
      </c>
      <c r="L20" s="347"/>
    </row>
    <row r="21" spans="1:12" ht="16.7" customHeight="1" thickTop="1" x14ac:dyDescent="0.2">
      <c r="A21" s="2154" t="s">
        <v>594</v>
      </c>
      <c r="B21" s="2155"/>
      <c r="C21" s="1567"/>
      <c r="D21" s="1568"/>
      <c r="E21" s="1568"/>
      <c r="F21" s="1568"/>
      <c r="G21" s="1568"/>
      <c r="H21" s="1568"/>
      <c r="I21" s="1568"/>
      <c r="J21" s="1568"/>
      <c r="K21" s="1569"/>
      <c r="L21" s="521"/>
    </row>
    <row r="22" spans="1:12" ht="15.75" customHeight="1" collapsed="1" x14ac:dyDescent="0.2">
      <c r="A22" s="2150" t="s">
        <v>595</v>
      </c>
      <c r="B22" s="2151"/>
      <c r="C22" s="475"/>
      <c r="D22" s="475"/>
      <c r="E22" s="475"/>
      <c r="F22" s="475"/>
      <c r="G22" s="475"/>
      <c r="H22" s="475"/>
      <c r="I22" s="475"/>
      <c r="J22" s="475"/>
      <c r="K22" s="475"/>
      <c r="L22" s="347"/>
    </row>
    <row r="23" spans="1:12" s="483" customFormat="1" ht="15.75" customHeight="1" x14ac:dyDescent="0.2">
      <c r="A23" s="2146" t="s">
        <v>292</v>
      </c>
      <c r="B23" s="2147"/>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293</v>
      </c>
      <c r="B29" s="481">
        <v>7150</v>
      </c>
      <c r="C29" s="474"/>
      <c r="D29" s="467">
        <v>0</v>
      </c>
      <c r="E29" s="474"/>
      <c r="F29" s="474"/>
      <c r="G29" s="474"/>
      <c r="H29" s="474"/>
      <c r="I29" s="474"/>
      <c r="J29" s="474"/>
      <c r="K29" s="474"/>
      <c r="L29" s="521"/>
    </row>
    <row r="30" spans="1:12" s="483" customFormat="1" ht="26.25" x14ac:dyDescent="0.2">
      <c r="A30" s="1486" t="s">
        <v>1793</v>
      </c>
      <c r="B30" s="524">
        <v>7160</v>
      </c>
      <c r="C30" s="475"/>
      <c r="D30" s="467">
        <v>0</v>
      </c>
      <c r="E30" s="475"/>
      <c r="F30" s="475"/>
      <c r="G30" s="475"/>
      <c r="H30" s="475"/>
      <c r="I30" s="475"/>
      <c r="J30" s="475"/>
      <c r="K30" s="475"/>
      <c r="L30" s="521"/>
    </row>
    <row r="31" spans="1:12" s="483" customFormat="1" ht="26.25" x14ac:dyDescent="0.2">
      <c r="A31" s="1486" t="s">
        <v>1797</v>
      </c>
      <c r="B31" s="524">
        <v>7170</v>
      </c>
      <c r="C31" s="475"/>
      <c r="D31" s="475"/>
      <c r="E31" s="473">
        <v>0</v>
      </c>
      <c r="F31" s="475"/>
      <c r="G31" s="475"/>
      <c r="H31" s="475"/>
      <c r="I31" s="475"/>
      <c r="J31" s="475"/>
      <c r="K31" s="475"/>
      <c r="L31" s="521"/>
    </row>
    <row r="32" spans="1:12" s="483" customFormat="1" ht="15.75" customHeight="1" x14ac:dyDescent="0.2">
      <c r="A32" s="2148" t="s">
        <v>980</v>
      </c>
      <c r="B32" s="2149"/>
      <c r="C32" s="475"/>
      <c r="D32" s="475"/>
      <c r="E32" s="474"/>
      <c r="F32" s="475"/>
      <c r="G32" s="475"/>
      <c r="H32" s="475"/>
      <c r="I32" s="475"/>
      <c r="J32" s="475"/>
      <c r="K32" s="475"/>
      <c r="L32" s="521"/>
    </row>
    <row r="33" spans="1:12" s="483" customFormat="1" x14ac:dyDescent="0.2">
      <c r="A33" s="1486" t="s">
        <v>411</v>
      </c>
      <c r="B33" s="522">
        <v>7210</v>
      </c>
      <c r="C33" s="465">
        <v>0</v>
      </c>
      <c r="D33" s="467">
        <v>0</v>
      </c>
      <c r="E33" s="467">
        <v>0</v>
      </c>
      <c r="F33" s="467">
        <v>0</v>
      </c>
      <c r="G33" s="475"/>
      <c r="H33" s="467">
        <v>0</v>
      </c>
      <c r="I33" s="467">
        <v>0</v>
      </c>
      <c r="J33" s="467">
        <v>0</v>
      </c>
      <c r="K33" s="467">
        <v>0</v>
      </c>
      <c r="L33" s="521"/>
    </row>
    <row r="34" spans="1:12" s="483" customFormat="1" x14ac:dyDescent="0.2">
      <c r="A34" s="1486" t="s">
        <v>1000</v>
      </c>
      <c r="B34" s="522">
        <v>7220</v>
      </c>
      <c r="C34" s="465">
        <v>0</v>
      </c>
      <c r="D34" s="467">
        <v>0</v>
      </c>
      <c r="E34" s="467">
        <v>0</v>
      </c>
      <c r="F34" s="467">
        <v>0</v>
      </c>
      <c r="G34" s="475"/>
      <c r="H34" s="476">
        <v>0</v>
      </c>
      <c r="I34" s="476">
        <v>0</v>
      </c>
      <c r="J34" s="476">
        <v>0</v>
      </c>
      <c r="K34" s="476">
        <v>0</v>
      </c>
      <c r="L34" s="521"/>
    </row>
    <row r="35" spans="1:12" s="483" customFormat="1" x14ac:dyDescent="0.2">
      <c r="A35" s="1486" t="s">
        <v>989</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0</v>
      </c>
      <c r="D36" s="467">
        <v>0</v>
      </c>
      <c r="E36" s="467">
        <v>0</v>
      </c>
      <c r="F36" s="467">
        <v>0</v>
      </c>
      <c r="G36" s="467">
        <v>0</v>
      </c>
      <c r="H36" s="467">
        <v>0</v>
      </c>
      <c r="I36" s="474"/>
      <c r="J36" s="467">
        <v>0</v>
      </c>
      <c r="K36" s="467">
        <v>0</v>
      </c>
      <c r="L36" s="521"/>
    </row>
    <row r="37" spans="1:12" s="483" customFormat="1" x14ac:dyDescent="0.2">
      <c r="A37" s="1486" t="s">
        <v>440</v>
      </c>
      <c r="B37" s="522">
        <v>7400</v>
      </c>
      <c r="C37" s="474"/>
      <c r="D37" s="474"/>
      <c r="E37" s="1740">
        <f>SUM(C54:D57,H54:H57)</f>
        <v>29850</v>
      </c>
      <c r="F37" s="474"/>
      <c r="G37" s="474"/>
      <c r="H37" s="474"/>
      <c r="I37" s="475"/>
      <c r="J37" s="474"/>
      <c r="K37" s="474"/>
      <c r="L37" s="521"/>
    </row>
    <row r="38" spans="1:12" s="483" customFormat="1" x14ac:dyDescent="0.2">
      <c r="A38" s="1486" t="s">
        <v>441</v>
      </c>
      <c r="B38" s="522">
        <v>7500</v>
      </c>
      <c r="C38" s="475"/>
      <c r="D38" s="475"/>
      <c r="E38" s="1740">
        <f>SUM(C58:D61,H58:H61)</f>
        <v>1414</v>
      </c>
      <c r="F38" s="475"/>
      <c r="G38" s="475"/>
      <c r="H38" s="475"/>
      <c r="I38" s="475"/>
      <c r="J38" s="475"/>
      <c r="K38" s="475"/>
      <c r="L38" s="521"/>
    </row>
    <row r="39" spans="1:12" s="483" customFormat="1" x14ac:dyDescent="0.2">
      <c r="A39" s="1486" t="s">
        <v>442</v>
      </c>
      <c r="B39" s="522">
        <v>7600</v>
      </c>
      <c r="C39" s="475"/>
      <c r="D39" s="475"/>
      <c r="E39" s="1740">
        <f>SUM(C62:D65)</f>
        <v>0</v>
      </c>
      <c r="F39" s="475"/>
      <c r="G39" s="475"/>
      <c r="H39" s="475"/>
      <c r="I39" s="475"/>
      <c r="J39" s="475"/>
      <c r="K39" s="475"/>
      <c r="L39" s="521"/>
    </row>
    <row r="40" spans="1:12" s="483" customFormat="1" ht="13.5" customHeight="1" x14ac:dyDescent="0.2">
      <c r="A40" s="1486" t="s">
        <v>641</v>
      </c>
      <c r="B40" s="481">
        <v>7700</v>
      </c>
      <c r="C40" s="475"/>
      <c r="D40" s="475"/>
      <c r="E40" s="1740">
        <f>SUM(C66:D69)</f>
        <v>0</v>
      </c>
      <c r="F40" s="475"/>
      <c r="G40" s="475"/>
      <c r="H40" s="478"/>
      <c r="I40" s="475"/>
      <c r="J40" s="475"/>
      <c r="K40" s="475"/>
      <c r="L40" s="521"/>
    </row>
    <row r="41" spans="1:12" s="483" customFormat="1" ht="13.5" customHeight="1" x14ac:dyDescent="0.2">
      <c r="A41" s="1486" t="s">
        <v>639</v>
      </c>
      <c r="B41" s="481">
        <v>7800</v>
      </c>
      <c r="C41" s="478"/>
      <c r="D41" s="478"/>
      <c r="E41" s="523"/>
      <c r="F41" s="478"/>
      <c r="G41" s="478"/>
      <c r="H41" s="1740">
        <f>SUM(C70:D73)</f>
        <v>0</v>
      </c>
      <c r="I41" s="475"/>
      <c r="J41" s="475"/>
      <c r="K41" s="478"/>
      <c r="L41" s="521"/>
    </row>
    <row r="42" spans="1:12" s="483" customFormat="1" ht="13.5" customHeight="1" x14ac:dyDescent="0.2">
      <c r="A42" s="1486"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372</v>
      </c>
      <c r="B43" s="481">
        <v>7990</v>
      </c>
      <c r="C43" s="465">
        <v>29952</v>
      </c>
      <c r="D43" s="467">
        <v>0</v>
      </c>
      <c r="E43" s="467">
        <v>0</v>
      </c>
      <c r="F43" s="467">
        <v>0</v>
      </c>
      <c r="G43" s="467">
        <v>0</v>
      </c>
      <c r="H43" s="467">
        <v>0</v>
      </c>
      <c r="I43" s="467">
        <v>0</v>
      </c>
      <c r="J43" s="467">
        <v>0</v>
      </c>
      <c r="K43" s="467">
        <v>0</v>
      </c>
      <c r="L43" s="521"/>
    </row>
    <row r="44" spans="1:12" s="483" customFormat="1" ht="13.5" customHeight="1" thickBot="1" x14ac:dyDescent="0.25">
      <c r="A44" s="2156" t="s">
        <v>373</v>
      </c>
      <c r="B44" s="2157"/>
      <c r="C44" s="1700">
        <f>SUM(C24:C43)</f>
        <v>29952</v>
      </c>
      <c r="D44" s="1700">
        <f t="shared" ref="D44:K44" si="6">SUM(D24:D43)</f>
        <v>0</v>
      </c>
      <c r="E44" s="1700">
        <f t="shared" si="6"/>
        <v>31264</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0" t="s">
        <v>108</v>
      </c>
      <c r="B45" s="2151"/>
      <c r="C45" s="525"/>
      <c r="D45" s="525"/>
      <c r="E45" s="525"/>
      <c r="F45" s="525"/>
      <c r="G45" s="525"/>
      <c r="H45" s="525"/>
      <c r="I45" s="525"/>
      <c r="J45" s="525"/>
      <c r="K45" s="525"/>
      <c r="L45" s="347"/>
    </row>
    <row r="46" spans="1:12" s="483" customFormat="1" ht="15.75" customHeight="1" x14ac:dyDescent="0.2">
      <c r="A46" s="2158" t="s">
        <v>109</v>
      </c>
      <c r="B46" s="2159"/>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0</v>
      </c>
      <c r="J47" s="475"/>
      <c r="K47" s="475"/>
      <c r="L47" s="526"/>
    </row>
    <row r="48" spans="1:12" s="483" customFormat="1" ht="15" x14ac:dyDescent="0.2">
      <c r="A48" s="1487" t="s">
        <v>1659</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1397</v>
      </c>
      <c r="B50" s="481">
        <v>8140</v>
      </c>
      <c r="C50" s="467">
        <v>0</v>
      </c>
      <c r="D50" s="467">
        <v>0</v>
      </c>
      <c r="E50" s="467">
        <v>0</v>
      </c>
      <c r="F50" s="467">
        <v>0</v>
      </c>
      <c r="G50" s="467">
        <v>0</v>
      </c>
      <c r="H50" s="467">
        <v>0</v>
      </c>
      <c r="I50" s="475"/>
      <c r="J50" s="467">
        <v>0</v>
      </c>
      <c r="K50" s="475"/>
      <c r="L50" s="521"/>
    </row>
    <row r="51" spans="1:12" s="483" customFormat="1" x14ac:dyDescent="0.2">
      <c r="A51" s="1487" t="s">
        <v>293</v>
      </c>
      <c r="B51" s="481">
        <v>8150</v>
      </c>
      <c r="C51" s="474"/>
      <c r="D51" s="474"/>
      <c r="E51" s="474"/>
      <c r="F51" s="474"/>
      <c r="G51" s="474"/>
      <c r="H51" s="1740">
        <f>SUM(D29)</f>
        <v>0</v>
      </c>
      <c r="I51" s="475"/>
      <c r="J51" s="474"/>
      <c r="K51" s="478"/>
      <c r="L51" s="521"/>
    </row>
    <row r="52" spans="1:12" s="483" customFormat="1" ht="26.25" x14ac:dyDescent="0.2">
      <c r="A52" s="1487" t="s">
        <v>1796</v>
      </c>
      <c r="B52" s="481">
        <v>8160</v>
      </c>
      <c r="C52" s="475"/>
      <c r="D52" s="475"/>
      <c r="E52" s="475"/>
      <c r="F52" s="475"/>
      <c r="G52" s="475"/>
      <c r="H52" s="475"/>
      <c r="I52" s="475"/>
      <c r="J52" s="475"/>
      <c r="K52" s="1740">
        <f>D30</f>
        <v>0</v>
      </c>
      <c r="L52" s="521"/>
    </row>
    <row r="53" spans="1:12" s="483" customFormat="1" ht="26.25" x14ac:dyDescent="0.2">
      <c r="A53" s="1487" t="s">
        <v>1795</v>
      </c>
      <c r="B53" s="481">
        <v>8170</v>
      </c>
      <c r="C53" s="478"/>
      <c r="D53" s="478"/>
      <c r="E53" s="475"/>
      <c r="F53" s="475"/>
      <c r="G53" s="475"/>
      <c r="H53" s="478"/>
      <c r="I53" s="475"/>
      <c r="J53" s="475"/>
      <c r="K53" s="1740">
        <f>E31</f>
        <v>0</v>
      </c>
      <c r="L53" s="521"/>
    </row>
    <row r="54" spans="1:12" s="483" customFormat="1" ht="13.5" thickBot="1" x14ac:dyDescent="0.25">
      <c r="A54" s="1487" t="s">
        <v>691</v>
      </c>
      <c r="B54" s="481">
        <v>8410</v>
      </c>
      <c r="C54" s="527">
        <v>29850</v>
      </c>
      <c r="D54" s="527">
        <v>0</v>
      </c>
      <c r="E54" s="475"/>
      <c r="F54" s="475"/>
      <c r="G54" s="475"/>
      <c r="H54" s="527">
        <v>0</v>
      </c>
      <c r="I54" s="475"/>
      <c r="J54" s="475"/>
      <c r="K54" s="474"/>
      <c r="L54" s="521"/>
    </row>
    <row r="55" spans="1:12" s="483" customFormat="1" ht="14.25" thickTop="1" thickBot="1" x14ac:dyDescent="0.25">
      <c r="A55" s="1488" t="s">
        <v>692</v>
      </c>
      <c r="B55" s="481">
        <v>8420</v>
      </c>
      <c r="C55" s="528">
        <v>0</v>
      </c>
      <c r="D55" s="528">
        <v>0</v>
      </c>
      <c r="E55" s="475"/>
      <c r="F55" s="475"/>
      <c r="G55" s="475"/>
      <c r="H55" s="527">
        <v>0</v>
      </c>
      <c r="I55" s="475"/>
      <c r="J55" s="475"/>
      <c r="K55" s="475"/>
      <c r="L55" s="521"/>
    </row>
    <row r="56" spans="1:12" s="483" customFormat="1" ht="14.25" thickTop="1" thickBot="1" x14ac:dyDescent="0.25">
      <c r="A56" s="1487" t="s">
        <v>580</v>
      </c>
      <c r="B56" s="481">
        <v>8430</v>
      </c>
      <c r="C56" s="528">
        <v>0</v>
      </c>
      <c r="D56" s="528">
        <v>0</v>
      </c>
      <c r="E56" s="475"/>
      <c r="F56" s="475"/>
      <c r="G56" s="475"/>
      <c r="H56" s="527">
        <v>0</v>
      </c>
      <c r="I56" s="475"/>
      <c r="J56" s="475"/>
      <c r="K56" s="475"/>
      <c r="L56" s="521"/>
    </row>
    <row r="57" spans="1:12" s="483" customFormat="1" ht="14.25" thickTop="1" thickBot="1" x14ac:dyDescent="0.25">
      <c r="A57" s="1488" t="s">
        <v>577</v>
      </c>
      <c r="B57" s="481">
        <v>8440</v>
      </c>
      <c r="C57" s="528">
        <v>0</v>
      </c>
      <c r="D57" s="528">
        <v>0</v>
      </c>
      <c r="E57" s="475"/>
      <c r="F57" s="475"/>
      <c r="G57" s="475"/>
      <c r="H57" s="527">
        <v>0</v>
      </c>
      <c r="I57" s="475"/>
      <c r="J57" s="475"/>
      <c r="K57" s="475"/>
      <c r="L57" s="521"/>
    </row>
    <row r="58" spans="1:12" s="483" customFormat="1" ht="14.25" thickTop="1" thickBot="1" x14ac:dyDescent="0.25">
      <c r="A58" s="1487" t="s">
        <v>578</v>
      </c>
      <c r="B58" s="481">
        <v>8510</v>
      </c>
      <c r="C58" s="528">
        <v>1414</v>
      </c>
      <c r="D58" s="528">
        <v>0</v>
      </c>
      <c r="E58" s="475"/>
      <c r="F58" s="475"/>
      <c r="G58" s="475"/>
      <c r="H58" s="527">
        <v>0</v>
      </c>
      <c r="I58" s="475"/>
      <c r="J58" s="475"/>
      <c r="K58" s="475"/>
      <c r="L58" s="521"/>
    </row>
    <row r="59" spans="1:12" s="483" customFormat="1" ht="14.25" thickTop="1" thickBot="1" x14ac:dyDescent="0.25">
      <c r="A59" s="1489" t="s">
        <v>693</v>
      </c>
      <c r="B59" s="481">
        <v>8520</v>
      </c>
      <c r="C59" s="528">
        <v>0</v>
      </c>
      <c r="D59" s="528">
        <v>0</v>
      </c>
      <c r="E59" s="475"/>
      <c r="F59" s="475"/>
      <c r="G59" s="475"/>
      <c r="H59" s="527">
        <v>0</v>
      </c>
      <c r="I59" s="475"/>
      <c r="J59" s="475"/>
      <c r="K59" s="475"/>
      <c r="L59" s="521"/>
    </row>
    <row r="60" spans="1:12" s="483" customFormat="1" ht="14.25" thickTop="1" thickBot="1" x14ac:dyDescent="0.25">
      <c r="A60" s="1487" t="s">
        <v>579</v>
      </c>
      <c r="B60" s="481">
        <v>8530</v>
      </c>
      <c r="C60" s="528">
        <v>0</v>
      </c>
      <c r="D60" s="528">
        <v>0</v>
      </c>
      <c r="E60" s="475"/>
      <c r="F60" s="475"/>
      <c r="G60" s="475"/>
      <c r="H60" s="527">
        <v>0</v>
      </c>
      <c r="I60" s="475"/>
      <c r="J60" s="475"/>
      <c r="K60" s="475"/>
      <c r="L60" s="521"/>
    </row>
    <row r="61" spans="1:12" s="483" customFormat="1" ht="14.25" thickTop="1" thickBot="1" x14ac:dyDescent="0.25">
      <c r="A61" s="1488"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743</v>
      </c>
      <c r="B62" s="481">
        <v>8610</v>
      </c>
      <c r="C62" s="528">
        <v>0</v>
      </c>
      <c r="D62" s="528">
        <v>0</v>
      </c>
      <c r="E62" s="475"/>
      <c r="F62" s="475"/>
      <c r="G62" s="475"/>
      <c r="H62" s="475"/>
      <c r="I62" s="475"/>
      <c r="J62" s="475"/>
      <c r="K62" s="475"/>
      <c r="L62" s="521"/>
    </row>
    <row r="63" spans="1:12" s="483" customFormat="1" ht="14.25" thickTop="1" thickBot="1" x14ac:dyDescent="0.25">
      <c r="A63" s="1488" t="s">
        <v>694</v>
      </c>
      <c r="B63" s="481">
        <v>8620</v>
      </c>
      <c r="C63" s="528">
        <v>0</v>
      </c>
      <c r="D63" s="528">
        <v>0</v>
      </c>
      <c r="E63" s="475"/>
      <c r="F63" s="475"/>
      <c r="G63" s="475"/>
      <c r="H63" s="475"/>
      <c r="I63" s="475"/>
      <c r="J63" s="475"/>
      <c r="K63" s="475"/>
      <c r="L63" s="521"/>
    </row>
    <row r="64" spans="1:12" s="483" customFormat="1" ht="13.5" customHeight="1" thickTop="1" thickBot="1" x14ac:dyDescent="0.25">
      <c r="A64" s="1487" t="s">
        <v>744</v>
      </c>
      <c r="B64" s="481">
        <v>8630</v>
      </c>
      <c r="C64" s="528">
        <v>0</v>
      </c>
      <c r="D64" s="528">
        <v>0</v>
      </c>
      <c r="E64" s="475"/>
      <c r="F64" s="475"/>
      <c r="G64" s="475"/>
      <c r="H64" s="475"/>
      <c r="I64" s="475"/>
      <c r="J64" s="475"/>
      <c r="K64" s="475"/>
      <c r="L64" s="521"/>
    </row>
    <row r="65" spans="1:12" s="483" customFormat="1" ht="14.25" thickTop="1" thickBot="1" x14ac:dyDescent="0.25">
      <c r="A65" s="1488" t="s">
        <v>745</v>
      </c>
      <c r="B65" s="481">
        <v>8640</v>
      </c>
      <c r="C65" s="528">
        <v>0</v>
      </c>
      <c r="D65" s="528">
        <v>0</v>
      </c>
      <c r="E65" s="475"/>
      <c r="F65" s="475"/>
      <c r="G65" s="475"/>
      <c r="H65" s="475"/>
      <c r="I65" s="475"/>
      <c r="J65" s="475"/>
      <c r="K65" s="475"/>
      <c r="L65" s="521"/>
    </row>
    <row r="66" spans="1:12" s="483" customFormat="1" ht="14.25" thickTop="1" thickBot="1" x14ac:dyDescent="0.25">
      <c r="A66" s="1487" t="s">
        <v>746</v>
      </c>
      <c r="B66" s="481">
        <v>8710</v>
      </c>
      <c r="C66" s="528">
        <v>0</v>
      </c>
      <c r="D66" s="528">
        <v>0</v>
      </c>
      <c r="E66" s="475"/>
      <c r="F66" s="475"/>
      <c r="G66" s="475"/>
      <c r="H66" s="475"/>
      <c r="I66" s="475"/>
      <c r="J66" s="475"/>
      <c r="K66" s="475"/>
      <c r="L66" s="521"/>
    </row>
    <row r="67" spans="1:12" s="483" customFormat="1" ht="14.25" thickTop="1" thickBot="1" x14ac:dyDescent="0.25">
      <c r="A67" s="1488" t="s">
        <v>695</v>
      </c>
      <c r="B67" s="481">
        <v>8720</v>
      </c>
      <c r="C67" s="528">
        <v>0</v>
      </c>
      <c r="D67" s="528">
        <v>0</v>
      </c>
      <c r="E67" s="475"/>
      <c r="F67" s="475"/>
      <c r="G67" s="475"/>
      <c r="H67" s="475"/>
      <c r="I67" s="475"/>
      <c r="J67" s="475"/>
      <c r="K67" s="475"/>
      <c r="L67" s="521"/>
    </row>
    <row r="68" spans="1:12" s="483" customFormat="1" ht="14.25" thickTop="1" thickBot="1" x14ac:dyDescent="0.25">
      <c r="A68" s="1489" t="s">
        <v>747</v>
      </c>
      <c r="B68" s="481">
        <v>8730</v>
      </c>
      <c r="C68" s="528">
        <v>0</v>
      </c>
      <c r="D68" s="528">
        <v>0</v>
      </c>
      <c r="E68" s="475"/>
      <c r="F68" s="475"/>
      <c r="G68" s="475"/>
      <c r="H68" s="475"/>
      <c r="I68" s="475"/>
      <c r="J68" s="475"/>
      <c r="K68" s="475"/>
      <c r="L68" s="521"/>
    </row>
    <row r="69" spans="1:12" s="483" customFormat="1" ht="14.25" thickTop="1" thickBot="1" x14ac:dyDescent="0.25">
      <c r="A69" s="1488" t="s">
        <v>748</v>
      </c>
      <c r="B69" s="481">
        <v>8740</v>
      </c>
      <c r="C69" s="528">
        <v>0</v>
      </c>
      <c r="D69" s="528">
        <v>0</v>
      </c>
      <c r="E69" s="475"/>
      <c r="F69" s="475"/>
      <c r="G69" s="475"/>
      <c r="H69" s="475"/>
      <c r="I69" s="475"/>
      <c r="J69" s="475"/>
      <c r="K69" s="475"/>
      <c r="L69" s="521"/>
    </row>
    <row r="70" spans="1:12" s="483" customFormat="1" ht="14.25" thickTop="1" thickBot="1" x14ac:dyDescent="0.25">
      <c r="A70" s="1487" t="s">
        <v>749</v>
      </c>
      <c r="B70" s="481">
        <v>8810</v>
      </c>
      <c r="C70" s="528">
        <v>0</v>
      </c>
      <c r="D70" s="528">
        <v>0</v>
      </c>
      <c r="E70" s="475"/>
      <c r="F70" s="475"/>
      <c r="G70" s="475"/>
      <c r="H70" s="475"/>
      <c r="I70" s="475"/>
      <c r="J70" s="475"/>
      <c r="K70" s="475"/>
      <c r="L70" s="521"/>
    </row>
    <row r="71" spans="1:12" s="483" customFormat="1" ht="14.25" thickTop="1" thickBot="1" x14ac:dyDescent="0.25">
      <c r="A71" s="1487" t="s">
        <v>753</v>
      </c>
      <c r="B71" s="481">
        <v>8820</v>
      </c>
      <c r="C71" s="528">
        <v>0</v>
      </c>
      <c r="D71" s="528">
        <v>0</v>
      </c>
      <c r="E71" s="475"/>
      <c r="F71" s="475"/>
      <c r="G71" s="475"/>
      <c r="H71" s="475"/>
      <c r="I71" s="475"/>
      <c r="J71" s="475"/>
      <c r="K71" s="475"/>
      <c r="L71" s="521"/>
    </row>
    <row r="72" spans="1:12" s="483" customFormat="1" ht="14.25" thickTop="1" thickBot="1" x14ac:dyDescent="0.25">
      <c r="A72" s="1487" t="s">
        <v>750</v>
      </c>
      <c r="B72" s="481">
        <v>8830</v>
      </c>
      <c r="C72" s="528">
        <v>0</v>
      </c>
      <c r="D72" s="528">
        <v>0</v>
      </c>
      <c r="E72" s="475"/>
      <c r="F72" s="475"/>
      <c r="G72" s="475"/>
      <c r="H72" s="475"/>
      <c r="I72" s="475"/>
      <c r="J72" s="475"/>
      <c r="K72" s="475"/>
      <c r="L72" s="521"/>
    </row>
    <row r="73" spans="1:12" s="483" customFormat="1" ht="14.25" thickTop="1" thickBot="1" x14ac:dyDescent="0.25">
      <c r="A73" s="1487" t="s">
        <v>751</v>
      </c>
      <c r="B73" s="481">
        <v>8840</v>
      </c>
      <c r="C73" s="528">
        <v>0</v>
      </c>
      <c r="D73" s="528">
        <v>0</v>
      </c>
      <c r="E73" s="475"/>
      <c r="F73" s="475"/>
      <c r="G73" s="475"/>
      <c r="H73" s="475"/>
      <c r="I73" s="475"/>
      <c r="J73" s="475"/>
      <c r="K73" s="478"/>
      <c r="L73" s="521"/>
    </row>
    <row r="74" spans="1:12" s="483" customFormat="1" ht="14.25" thickTop="1" thickBot="1" x14ac:dyDescent="0.25">
      <c r="A74" s="1487"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2" t="s">
        <v>439</v>
      </c>
      <c r="B76" s="2133"/>
      <c r="C76" s="1700">
        <f t="shared" ref="C76:K76" si="7">SUM(C47:C75)</f>
        <v>31264</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4" t="s">
        <v>1176</v>
      </c>
      <c r="B77" s="2135"/>
      <c r="C77" s="1700">
        <f t="shared" ref="C77:K77" si="8">C44-C76</f>
        <v>-1312</v>
      </c>
      <c r="D77" s="1700">
        <f t="shared" si="8"/>
        <v>0</v>
      </c>
      <c r="E77" s="1700">
        <f t="shared" si="8"/>
        <v>31264</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38" t="s">
        <v>596</v>
      </c>
      <c r="B78" s="2139"/>
      <c r="C78" s="1699">
        <f t="shared" ref="C78:K78" si="9">C20+C77</f>
        <v>-59456</v>
      </c>
      <c r="D78" s="1699">
        <f t="shared" si="9"/>
        <v>43729</v>
      </c>
      <c r="E78" s="1699">
        <f t="shared" si="9"/>
        <v>24811</v>
      </c>
      <c r="F78" s="1699">
        <f t="shared" si="9"/>
        <v>3598</v>
      </c>
      <c r="G78" s="1699">
        <f t="shared" si="9"/>
        <v>28060</v>
      </c>
      <c r="H78" s="1699">
        <f t="shared" si="9"/>
        <v>-221657</v>
      </c>
      <c r="I78" s="1699">
        <f t="shared" si="9"/>
        <v>28870</v>
      </c>
      <c r="J78" s="1699">
        <f t="shared" si="9"/>
        <v>-1290</v>
      </c>
      <c r="K78" s="1699">
        <f t="shared" si="9"/>
        <v>78</v>
      </c>
      <c r="L78" s="530"/>
    </row>
    <row r="79" spans="1:12" ht="13.5" thickTop="1" x14ac:dyDescent="0.2">
      <c r="A79" s="1491" t="s">
        <v>1948</v>
      </c>
      <c r="B79" s="531"/>
      <c r="C79" s="476">
        <v>1770603</v>
      </c>
      <c r="D79" s="476">
        <v>188466</v>
      </c>
      <c r="E79" s="476">
        <v>536704</v>
      </c>
      <c r="F79" s="476">
        <v>195570</v>
      </c>
      <c r="G79" s="476">
        <v>162962</v>
      </c>
      <c r="H79" s="476">
        <v>290232</v>
      </c>
      <c r="I79" s="476">
        <v>174694</v>
      </c>
      <c r="J79" s="476">
        <v>16996</v>
      </c>
      <c r="K79" s="476">
        <v>38061</v>
      </c>
      <c r="L79" s="347"/>
    </row>
    <row r="80" spans="1:12" x14ac:dyDescent="0.2">
      <c r="A80" s="2144" t="s">
        <v>1794</v>
      </c>
      <c r="B80" s="2145"/>
      <c r="C80" s="467">
        <v>0</v>
      </c>
      <c r="D80" s="467">
        <v>0</v>
      </c>
      <c r="E80" s="467">
        <v>0</v>
      </c>
      <c r="F80" s="467">
        <v>0</v>
      </c>
      <c r="G80" s="467">
        <v>0</v>
      </c>
      <c r="H80" s="467">
        <v>0</v>
      </c>
      <c r="I80" s="467">
        <v>0</v>
      </c>
      <c r="J80" s="467">
        <v>0</v>
      </c>
      <c r="K80" s="467">
        <v>0</v>
      </c>
      <c r="L80" s="347"/>
    </row>
    <row r="81" spans="1:12" ht="13.5" thickBot="1" x14ac:dyDescent="0.25">
      <c r="A81" s="2136" t="s">
        <v>1949</v>
      </c>
      <c r="B81" s="2137"/>
      <c r="C81" s="1685">
        <f>(SUM(C78:C80))</f>
        <v>1711147</v>
      </c>
      <c r="D81" s="1685">
        <f>SUM(D78:D80)</f>
        <v>232195</v>
      </c>
      <c r="E81" s="1685">
        <f t="shared" ref="E81:K81" si="10">SUM(E78:E80)</f>
        <v>561515</v>
      </c>
      <c r="F81" s="1685">
        <f t="shared" si="10"/>
        <v>199168</v>
      </c>
      <c r="G81" s="1685">
        <f t="shared" si="10"/>
        <v>191022</v>
      </c>
      <c r="H81" s="1685">
        <f t="shared" si="10"/>
        <v>68575</v>
      </c>
      <c r="I81" s="1685">
        <f t="shared" si="10"/>
        <v>203564</v>
      </c>
      <c r="J81" s="1685">
        <f t="shared" si="10"/>
        <v>15706</v>
      </c>
      <c r="K81" s="1685">
        <f t="shared" si="10"/>
        <v>38139</v>
      </c>
      <c r="L81" s="347"/>
    </row>
    <row r="82" spans="1:12" ht="0.75" customHeight="1" thickTop="1" thickBot="1" x14ac:dyDescent="0.25">
      <c r="A82" s="533" t="s">
        <v>342</v>
      </c>
      <c r="B82" s="534"/>
      <c r="C82" s="535">
        <f>(C81-C79)</f>
        <v>-59456</v>
      </c>
      <c r="D82" s="535">
        <f t="shared" ref="D82:K82" si="11">(D81-D79)</f>
        <v>43729</v>
      </c>
      <c r="E82" s="535">
        <f t="shared" si="11"/>
        <v>24811</v>
      </c>
      <c r="F82" s="535">
        <f t="shared" si="11"/>
        <v>3598</v>
      </c>
      <c r="G82" s="535">
        <f t="shared" si="11"/>
        <v>28060</v>
      </c>
      <c r="H82" s="535">
        <f t="shared" si="11"/>
        <v>-221657</v>
      </c>
      <c r="I82" s="535">
        <f t="shared" si="11"/>
        <v>28870</v>
      </c>
      <c r="J82" s="535">
        <f t="shared" si="11"/>
        <v>-1290</v>
      </c>
      <c r="K82" s="535">
        <f t="shared" si="11"/>
        <v>78</v>
      </c>
    </row>
    <row r="83" spans="1:12" ht="14.25" hidden="1" thickTop="1" thickBot="1" x14ac:dyDescent="0.25">
      <c r="A83" s="536" t="s">
        <v>343</v>
      </c>
      <c r="B83" s="464"/>
      <c r="C83" s="537">
        <f>C82/C81</f>
        <v>-3.474628421754531E-2</v>
      </c>
      <c r="D83" s="537">
        <f t="shared" ref="D83:K83" si="12">D82/D81</f>
        <v>0.18832877538276019</v>
      </c>
      <c r="E83" s="537">
        <f t="shared" si="12"/>
        <v>4.4185818722563067E-2</v>
      </c>
      <c r="F83" s="537">
        <f t="shared" si="12"/>
        <v>1.8065151028277635E-2</v>
      </c>
      <c r="G83" s="537">
        <f t="shared" si="12"/>
        <v>0.14689407502800725</v>
      </c>
      <c r="H83" s="537">
        <f t="shared" si="12"/>
        <v>-3.2323295661684286</v>
      </c>
      <c r="I83" s="537">
        <f t="shared" si="12"/>
        <v>0.14182271914483896</v>
      </c>
      <c r="J83" s="537">
        <f t="shared" si="12"/>
        <v>-8.2134216223099452E-2</v>
      </c>
      <c r="K83" s="537">
        <f t="shared" si="12"/>
        <v>2.0451506332100997E-3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3" sqref="F33"/>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0" t="s">
        <v>1801</v>
      </c>
      <c r="B1" s="452"/>
      <c r="C1" s="453" t="s">
        <v>424</v>
      </c>
      <c r="D1" s="453" t="s">
        <v>425</v>
      </c>
      <c r="E1" s="453" t="s">
        <v>426</v>
      </c>
      <c r="F1" s="453" t="s">
        <v>427</v>
      </c>
      <c r="G1" s="453" t="s">
        <v>428</v>
      </c>
      <c r="H1" s="453" t="s">
        <v>429</v>
      </c>
      <c r="I1" s="453" t="s">
        <v>430</v>
      </c>
      <c r="J1" s="453" t="s">
        <v>431</v>
      </c>
      <c r="K1" s="453" t="s">
        <v>755</v>
      </c>
    </row>
    <row r="2" spans="1:12" ht="36" x14ac:dyDescent="0.2">
      <c r="A2" s="2141"/>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0"/>
      <c r="D4" s="540"/>
      <c r="E4" s="540"/>
      <c r="F4" s="541"/>
      <c r="G4" s="542"/>
      <c r="H4" s="543"/>
      <c r="I4" s="543"/>
      <c r="J4" s="543"/>
      <c r="K4" s="543"/>
    </row>
    <row r="5" spans="1:12" ht="15" x14ac:dyDescent="0.2">
      <c r="A5" s="490" t="s">
        <v>1660</v>
      </c>
      <c r="B5" s="544"/>
      <c r="C5" s="479">
        <v>1480136</v>
      </c>
      <c r="D5" s="479">
        <v>284641</v>
      </c>
      <c r="E5" s="466">
        <v>192410</v>
      </c>
      <c r="F5" s="545">
        <v>113856</v>
      </c>
      <c r="G5" s="466">
        <v>77909</v>
      </c>
      <c r="H5" s="466">
        <v>0</v>
      </c>
      <c r="I5" s="466">
        <v>28465</v>
      </c>
      <c r="J5" s="467">
        <v>227132</v>
      </c>
      <c r="K5" s="466">
        <v>0</v>
      </c>
    </row>
    <row r="6" spans="1:12" ht="15" x14ac:dyDescent="0.2">
      <c r="A6" s="463" t="s">
        <v>1661</v>
      </c>
      <c r="B6" s="470">
        <v>1130</v>
      </c>
      <c r="C6" s="466">
        <v>28463</v>
      </c>
      <c r="D6" s="466">
        <v>0</v>
      </c>
      <c r="E6" s="474"/>
      <c r="F6" s="474"/>
      <c r="G6" s="468"/>
      <c r="H6" s="468"/>
      <c r="I6" s="468"/>
      <c r="J6" s="468"/>
      <c r="K6" s="468"/>
    </row>
    <row r="7" spans="1:12" x14ac:dyDescent="0.2">
      <c r="A7" s="463" t="s">
        <v>110</v>
      </c>
      <c r="B7" s="546">
        <v>1140</v>
      </c>
      <c r="C7" s="466">
        <v>22771</v>
      </c>
      <c r="D7" s="466">
        <v>0</v>
      </c>
      <c r="E7" s="468"/>
      <c r="F7" s="467">
        <v>0</v>
      </c>
      <c r="G7" s="467">
        <v>0</v>
      </c>
      <c r="H7" s="467">
        <v>0</v>
      </c>
      <c r="I7" s="468"/>
      <c r="J7" s="468"/>
      <c r="K7" s="468"/>
    </row>
    <row r="8" spans="1:12" x14ac:dyDescent="0.2">
      <c r="A8" s="463" t="s">
        <v>412</v>
      </c>
      <c r="B8" s="470">
        <v>1150</v>
      </c>
      <c r="C8" s="474"/>
      <c r="D8" s="474"/>
      <c r="E8" s="475"/>
      <c r="F8" s="475"/>
      <c r="G8" s="479">
        <v>97951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1531370</v>
      </c>
      <c r="D12" s="1704">
        <f t="shared" si="0"/>
        <v>284641</v>
      </c>
      <c r="E12" s="1704">
        <f t="shared" si="0"/>
        <v>192410</v>
      </c>
      <c r="F12" s="1704">
        <f t="shared" si="0"/>
        <v>113856</v>
      </c>
      <c r="G12" s="1704">
        <f t="shared" si="0"/>
        <v>175860</v>
      </c>
      <c r="H12" s="1704">
        <f t="shared" si="0"/>
        <v>0</v>
      </c>
      <c r="I12" s="1704">
        <f t="shared" si="0"/>
        <v>28465</v>
      </c>
      <c r="J12" s="1704">
        <f t="shared" si="0"/>
        <v>227132</v>
      </c>
      <c r="K12" s="1685">
        <f t="shared" si="0"/>
        <v>0</v>
      </c>
    </row>
    <row r="13" spans="1:12" ht="15.75" customHeight="1" thickTop="1" x14ac:dyDescent="0.2">
      <c r="A13" s="1589" t="s">
        <v>450</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534</v>
      </c>
      <c r="D15" s="466">
        <v>99</v>
      </c>
      <c r="E15" s="466">
        <v>67</v>
      </c>
      <c r="F15" s="466">
        <v>40</v>
      </c>
      <c r="G15" s="466">
        <v>63</v>
      </c>
      <c r="H15" s="466">
        <v>0</v>
      </c>
      <c r="I15" s="466">
        <v>10</v>
      </c>
      <c r="J15" s="467">
        <v>78</v>
      </c>
      <c r="K15" s="466">
        <v>0</v>
      </c>
    </row>
    <row r="16" spans="1:12" ht="15" customHeight="1" x14ac:dyDescent="0.2">
      <c r="A16" s="463" t="s">
        <v>1662</v>
      </c>
      <c r="B16" s="546">
        <v>1230</v>
      </c>
      <c r="C16" s="548">
        <v>151477</v>
      </c>
      <c r="D16" s="466">
        <v>0</v>
      </c>
      <c r="E16" s="466">
        <v>0</v>
      </c>
      <c r="F16" s="466">
        <v>0</v>
      </c>
      <c r="G16" s="466">
        <v>11000</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5" t="s">
        <v>536</v>
      </c>
      <c r="B18" s="1706"/>
      <c r="C18" s="1707">
        <f>SUM(C14:C17)</f>
        <v>152011</v>
      </c>
      <c r="D18" s="1707">
        <f t="shared" ref="D18:K18" si="1">SUM(D14:D17)</f>
        <v>99</v>
      </c>
      <c r="E18" s="1707">
        <f t="shared" si="1"/>
        <v>67</v>
      </c>
      <c r="F18" s="1707">
        <f t="shared" si="1"/>
        <v>40</v>
      </c>
      <c r="G18" s="1707">
        <f t="shared" si="1"/>
        <v>11063</v>
      </c>
      <c r="H18" s="1707">
        <f t="shared" si="1"/>
        <v>0</v>
      </c>
      <c r="I18" s="1707">
        <f t="shared" si="1"/>
        <v>10</v>
      </c>
      <c r="J18" s="1707">
        <f t="shared" si="1"/>
        <v>78</v>
      </c>
      <c r="K18" s="1708">
        <f t="shared" si="1"/>
        <v>0</v>
      </c>
    </row>
    <row r="19" spans="1:11" ht="15.75" customHeight="1" thickTop="1" x14ac:dyDescent="0.2">
      <c r="A19" s="1589" t="s">
        <v>451</v>
      </c>
      <c r="B19" s="1590">
        <v>1300</v>
      </c>
      <c r="C19" s="551"/>
      <c r="D19" s="551"/>
      <c r="E19" s="551"/>
      <c r="F19" s="551"/>
      <c r="G19" s="550"/>
      <c r="H19" s="551"/>
      <c r="I19" s="551"/>
      <c r="J19" s="551"/>
      <c r="K19" s="552"/>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48">
        <v>0</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92" t="s">
        <v>593</v>
      </c>
      <c r="B39" s="553">
        <v>1354</v>
      </c>
      <c r="C39" s="486">
        <v>0</v>
      </c>
      <c r="D39" s="468"/>
      <c r="E39" s="468"/>
      <c r="F39" s="468"/>
      <c r="G39" s="468"/>
      <c r="H39" s="468"/>
      <c r="I39" s="468"/>
      <c r="J39" s="468"/>
      <c r="K39" s="468"/>
    </row>
    <row r="40" spans="1:11" ht="12.75" customHeight="1" thickBot="1" x14ac:dyDescent="0.25">
      <c r="A40" s="1705" t="s">
        <v>537</v>
      </c>
      <c r="B40" s="1706"/>
      <c r="C40" s="1685">
        <f>SUM(C20:C39)</f>
        <v>0</v>
      </c>
      <c r="D40" s="468"/>
      <c r="E40" s="468"/>
      <c r="F40" s="468"/>
      <c r="G40" s="468"/>
      <c r="H40" s="468"/>
      <c r="I40" s="468"/>
      <c r="J40" s="468"/>
      <c r="K40" s="468"/>
    </row>
    <row r="41" spans="1:11" ht="15.75" customHeight="1" thickTop="1" x14ac:dyDescent="0.2">
      <c r="A41" s="1589" t="s">
        <v>273</v>
      </c>
      <c r="B41" s="1590">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1105</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1106</v>
      </c>
      <c r="B56" s="554">
        <v>1442</v>
      </c>
      <c r="C56" s="468"/>
      <c r="D56" s="468"/>
      <c r="E56" s="468"/>
      <c r="F56" s="466">
        <v>0</v>
      </c>
      <c r="G56" s="468"/>
      <c r="H56" s="468"/>
      <c r="I56" s="468"/>
      <c r="J56" s="468"/>
      <c r="K56" s="468"/>
    </row>
    <row r="57" spans="1:11" ht="12.75" customHeight="1" x14ac:dyDescent="0.2">
      <c r="A57" s="1493" t="s">
        <v>488</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877</v>
      </c>
      <c r="B59" s="554">
        <v>1451</v>
      </c>
      <c r="C59" s="468"/>
      <c r="D59" s="468"/>
      <c r="E59" s="468"/>
      <c r="F59" s="466">
        <v>0</v>
      </c>
      <c r="G59" s="468"/>
      <c r="H59" s="468"/>
      <c r="I59" s="468"/>
      <c r="J59" s="468"/>
      <c r="K59" s="468"/>
    </row>
    <row r="60" spans="1:11" ht="12.75" customHeight="1" x14ac:dyDescent="0.2">
      <c r="A60" s="1493"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4" t="s">
        <v>879</v>
      </c>
      <c r="B62" s="555">
        <v>1454</v>
      </c>
      <c r="C62" s="468"/>
      <c r="D62" s="468"/>
      <c r="E62" s="468"/>
      <c r="F62" s="467">
        <v>0</v>
      </c>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16198</v>
      </c>
      <c r="D65" s="466">
        <v>625</v>
      </c>
      <c r="E65" s="466">
        <v>9160</v>
      </c>
      <c r="F65" s="467">
        <v>429</v>
      </c>
      <c r="G65" s="466">
        <v>384</v>
      </c>
      <c r="H65" s="466">
        <v>112</v>
      </c>
      <c r="I65" s="466">
        <v>395</v>
      </c>
      <c r="J65" s="467">
        <v>134</v>
      </c>
      <c r="K65" s="466">
        <v>78</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5" t="s">
        <v>485</v>
      </c>
      <c r="B67" s="1706"/>
      <c r="C67" s="1685">
        <f>SUM(C65:C66)</f>
        <v>16198</v>
      </c>
      <c r="D67" s="1685">
        <f t="shared" ref="D67:K67" si="2">SUM(D65:D66)</f>
        <v>625</v>
      </c>
      <c r="E67" s="1685">
        <f t="shared" si="2"/>
        <v>9160</v>
      </c>
      <c r="F67" s="1685">
        <f t="shared" si="2"/>
        <v>429</v>
      </c>
      <c r="G67" s="1685">
        <f t="shared" si="2"/>
        <v>384</v>
      </c>
      <c r="H67" s="1685">
        <f t="shared" si="2"/>
        <v>112</v>
      </c>
      <c r="I67" s="1685">
        <f t="shared" si="2"/>
        <v>395</v>
      </c>
      <c r="J67" s="1685">
        <f t="shared" si="2"/>
        <v>134</v>
      </c>
      <c r="K67" s="1685">
        <f t="shared" si="2"/>
        <v>78</v>
      </c>
    </row>
    <row r="68" spans="1:11" ht="15.75" customHeight="1" thickTop="1" x14ac:dyDescent="0.2">
      <c r="A68" s="1589" t="s">
        <v>454</v>
      </c>
      <c r="B68" s="1591">
        <v>1600</v>
      </c>
      <c r="C68" s="550"/>
      <c r="D68" s="468"/>
      <c r="E68" s="468"/>
      <c r="F68" s="468"/>
      <c r="G68" s="468"/>
      <c r="H68" s="468"/>
      <c r="I68" s="468"/>
      <c r="J68" s="468"/>
      <c r="K68" s="468"/>
    </row>
    <row r="69" spans="1:11" ht="12.75" customHeight="1" x14ac:dyDescent="0.2">
      <c r="A69" s="463" t="s">
        <v>665</v>
      </c>
      <c r="B69" s="470">
        <v>1611</v>
      </c>
      <c r="C69" s="466">
        <v>59139</v>
      </c>
      <c r="D69" s="468"/>
      <c r="E69" s="468"/>
      <c r="F69" s="468"/>
      <c r="G69" s="468"/>
      <c r="H69" s="468"/>
      <c r="I69" s="468"/>
      <c r="J69" s="468"/>
      <c r="K69" s="468"/>
    </row>
    <row r="70" spans="1:11" ht="12.75" customHeight="1" x14ac:dyDescent="0.2">
      <c r="A70" s="463" t="s">
        <v>996</v>
      </c>
      <c r="B70" s="470">
        <v>1612</v>
      </c>
      <c r="C70" s="548">
        <v>0</v>
      </c>
      <c r="D70" s="468"/>
      <c r="E70" s="468"/>
      <c r="F70" s="468"/>
      <c r="G70" s="468"/>
      <c r="H70" s="468"/>
      <c r="I70" s="468"/>
      <c r="J70" s="468"/>
      <c r="K70" s="468"/>
    </row>
    <row r="71" spans="1:11" ht="12.75" customHeight="1" x14ac:dyDescent="0.2">
      <c r="A71" s="463" t="s">
        <v>272</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2126</v>
      </c>
      <c r="D73" s="468"/>
      <c r="E73" s="468"/>
      <c r="F73" s="468"/>
      <c r="G73" s="468"/>
      <c r="H73" s="468"/>
      <c r="I73" s="468"/>
      <c r="J73" s="468"/>
      <c r="K73" s="468"/>
    </row>
    <row r="74" spans="1:11" ht="12.75" customHeight="1" x14ac:dyDescent="0.2">
      <c r="A74" s="463" t="s">
        <v>25</v>
      </c>
      <c r="B74" s="470">
        <v>1690</v>
      </c>
      <c r="C74" s="548">
        <v>437</v>
      </c>
      <c r="D74" s="468"/>
      <c r="E74" s="468"/>
      <c r="F74" s="468"/>
      <c r="G74" s="468"/>
      <c r="H74" s="468"/>
      <c r="I74" s="468"/>
      <c r="J74" s="468"/>
      <c r="K74" s="468"/>
    </row>
    <row r="75" spans="1:11" ht="12.75" customHeight="1" thickBot="1" x14ac:dyDescent="0.25">
      <c r="A75" s="1705" t="s">
        <v>547</v>
      </c>
      <c r="B75" s="1706"/>
      <c r="C75" s="1685">
        <f>SUM(C69:C74)</f>
        <v>61702</v>
      </c>
      <c r="D75" s="468"/>
      <c r="E75" s="468"/>
      <c r="F75" s="468"/>
      <c r="G75" s="468"/>
      <c r="H75" s="468"/>
      <c r="I75" s="468"/>
      <c r="J75" s="468"/>
      <c r="K75" s="468"/>
    </row>
    <row r="76" spans="1:11" ht="15.75" customHeight="1" thickTop="1" x14ac:dyDescent="0.2">
      <c r="A76" s="1589" t="s">
        <v>880</v>
      </c>
      <c r="B76" s="1591">
        <v>1700</v>
      </c>
      <c r="C76" s="550"/>
      <c r="D76" s="468"/>
      <c r="E76" s="468"/>
      <c r="F76" s="468"/>
      <c r="G76" s="468"/>
      <c r="H76" s="468"/>
      <c r="I76" s="468"/>
      <c r="J76" s="468"/>
      <c r="K76" s="468"/>
    </row>
    <row r="77" spans="1:11" ht="12.75" customHeight="1" x14ac:dyDescent="0.2">
      <c r="A77" s="463" t="s">
        <v>548</v>
      </c>
      <c r="B77" s="470">
        <v>1711</v>
      </c>
      <c r="C77" s="513">
        <v>20425</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549</v>
      </c>
      <c r="B79" s="470">
        <v>1720</v>
      </c>
      <c r="C79" s="548">
        <v>514</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20939</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551</v>
      </c>
      <c r="B84" s="470">
        <v>1811</v>
      </c>
      <c r="C84" s="466">
        <v>24243</v>
      </c>
      <c r="D84" s="468"/>
      <c r="E84" s="468"/>
      <c r="F84" s="468"/>
      <c r="G84" s="468"/>
      <c r="H84" s="468"/>
      <c r="I84" s="468"/>
      <c r="J84" s="468"/>
      <c r="K84" s="468"/>
    </row>
    <row r="85" spans="1:11" ht="12.75" customHeight="1" x14ac:dyDescent="0.2">
      <c r="A85" s="463" t="s">
        <v>552</v>
      </c>
      <c r="B85" s="470">
        <v>1812</v>
      </c>
      <c r="C85" s="548">
        <v>50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7015</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705" t="s">
        <v>243</v>
      </c>
      <c r="B93" s="1706"/>
      <c r="C93" s="1685">
        <f>SUM(C84:C92)</f>
        <v>31308</v>
      </c>
      <c r="D93" s="468"/>
      <c r="E93" s="468"/>
      <c r="F93" s="468"/>
      <c r="G93" s="468"/>
      <c r="H93" s="468"/>
      <c r="I93" s="468"/>
      <c r="J93" s="468"/>
      <c r="K93" s="468"/>
    </row>
    <row r="94" spans="1:11" ht="15.75" customHeight="1" thickTop="1" x14ac:dyDescent="0.2">
      <c r="A94" s="1589" t="s">
        <v>1136</v>
      </c>
      <c r="B94" s="1591">
        <v>1900</v>
      </c>
      <c r="C94" s="550"/>
      <c r="D94" s="518"/>
      <c r="E94" s="468"/>
      <c r="F94" s="468"/>
      <c r="G94" s="468"/>
      <c r="H94" s="468"/>
      <c r="I94" s="468"/>
      <c r="J94" s="468"/>
      <c r="K94" s="468"/>
    </row>
    <row r="95" spans="1:11" ht="12.75" customHeight="1" x14ac:dyDescent="0.2">
      <c r="A95" s="463" t="s">
        <v>1063</v>
      </c>
      <c r="B95" s="470">
        <v>1910</v>
      </c>
      <c r="C95" s="466">
        <v>0</v>
      </c>
      <c r="D95" s="548">
        <v>0</v>
      </c>
      <c r="E95" s="518"/>
      <c r="F95" s="518"/>
      <c r="G95" s="518"/>
      <c r="H95" s="518"/>
      <c r="I95" s="518"/>
      <c r="J95" s="518"/>
      <c r="K95" s="518"/>
    </row>
    <row r="96" spans="1:11" ht="12.75" customHeight="1" x14ac:dyDescent="0.2">
      <c r="A96" s="463" t="s">
        <v>390</v>
      </c>
      <c r="B96" s="470">
        <v>1920</v>
      </c>
      <c r="C96" s="548">
        <v>10000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24880</v>
      </c>
      <c r="D98" s="466">
        <v>0</v>
      </c>
      <c r="E98" s="509"/>
      <c r="F98" s="466">
        <v>0</v>
      </c>
      <c r="G98" s="509"/>
      <c r="H98" s="509"/>
      <c r="I98" s="507"/>
      <c r="J98" s="509"/>
      <c r="K98" s="509"/>
    </row>
    <row r="99" spans="1:12" ht="12.75" customHeight="1" x14ac:dyDescent="0.2">
      <c r="A99" s="463" t="s">
        <v>820</v>
      </c>
      <c r="B99" s="470">
        <v>1950</v>
      </c>
      <c r="C99" s="486">
        <v>11009</v>
      </c>
      <c r="D99" s="466">
        <v>0</v>
      </c>
      <c r="E99" s="466">
        <v>0</v>
      </c>
      <c r="F99" s="466">
        <v>0</v>
      </c>
      <c r="G99" s="466">
        <v>0</v>
      </c>
      <c r="H99" s="466">
        <v>0</v>
      </c>
      <c r="I99" s="468"/>
      <c r="J99" s="467">
        <v>0</v>
      </c>
      <c r="K99" s="466">
        <v>0</v>
      </c>
    </row>
    <row r="100" spans="1:12" ht="12.75" customHeight="1" x14ac:dyDescent="0.2">
      <c r="A100" s="463" t="s">
        <v>245</v>
      </c>
      <c r="B100" s="470">
        <v>1960</v>
      </c>
      <c r="C100" s="486">
        <v>12000</v>
      </c>
      <c r="D100" s="486">
        <v>0</v>
      </c>
      <c r="E100" s="486">
        <v>0</v>
      </c>
      <c r="F100" s="486">
        <v>0</v>
      </c>
      <c r="G100" s="486">
        <v>0</v>
      </c>
      <c r="H100" s="486">
        <v>0</v>
      </c>
      <c r="I100" s="467">
        <v>0</v>
      </c>
      <c r="J100" s="486">
        <v>0</v>
      </c>
      <c r="K100" s="467">
        <v>0</v>
      </c>
    </row>
    <row r="101" spans="1:12" ht="12.75" customHeight="1" x14ac:dyDescent="0.2">
      <c r="A101" s="463" t="s">
        <v>246</v>
      </c>
      <c r="B101" s="470">
        <v>1970</v>
      </c>
      <c r="C101" s="486">
        <v>2050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128112</v>
      </c>
      <c r="F103" s="468"/>
      <c r="G103" s="468"/>
      <c r="H103" s="486">
        <v>71867</v>
      </c>
      <c r="I103" s="468"/>
      <c r="J103" s="507"/>
      <c r="K103" s="507"/>
    </row>
    <row r="104" spans="1:12" ht="12.75" customHeight="1" x14ac:dyDescent="0.2">
      <c r="A104" s="463" t="s">
        <v>829</v>
      </c>
      <c r="B104" s="470">
        <v>1991</v>
      </c>
      <c r="C104" s="486">
        <v>0</v>
      </c>
      <c r="D104" s="466">
        <v>0</v>
      </c>
      <c r="E104" s="479">
        <v>0</v>
      </c>
      <c r="F104" s="467">
        <v>0</v>
      </c>
      <c r="G104" s="467">
        <v>0</v>
      </c>
      <c r="H104" s="466">
        <v>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0</v>
      </c>
      <c r="D106" s="486">
        <v>0</v>
      </c>
      <c r="E106" s="467">
        <v>0</v>
      </c>
      <c r="F106" s="467">
        <v>11699</v>
      </c>
      <c r="G106" s="467">
        <v>0</v>
      </c>
      <c r="H106" s="467">
        <v>0</v>
      </c>
      <c r="I106" s="518"/>
      <c r="J106" s="467">
        <v>0</v>
      </c>
      <c r="K106" s="467">
        <v>0</v>
      </c>
    </row>
    <row r="107" spans="1:12" ht="12.75" customHeight="1" x14ac:dyDescent="0.2">
      <c r="A107" s="463" t="s">
        <v>78</v>
      </c>
      <c r="B107" s="470">
        <v>1999</v>
      </c>
      <c r="C107" s="548">
        <v>3000</v>
      </c>
      <c r="D107" s="466">
        <v>570</v>
      </c>
      <c r="E107" s="466">
        <v>0</v>
      </c>
      <c r="F107" s="466">
        <v>0</v>
      </c>
      <c r="G107" s="466">
        <v>0</v>
      </c>
      <c r="H107" s="466">
        <v>118864</v>
      </c>
      <c r="I107" s="466">
        <v>0</v>
      </c>
      <c r="J107" s="467">
        <v>0</v>
      </c>
      <c r="K107" s="466">
        <v>0</v>
      </c>
    </row>
    <row r="108" spans="1:12" ht="12.75" customHeight="1" thickBot="1" x14ac:dyDescent="0.25">
      <c r="A108" s="1705" t="s">
        <v>486</v>
      </c>
      <c r="B108" s="1709"/>
      <c r="C108" s="1704">
        <f>SUM(C95:C107)</f>
        <v>62939</v>
      </c>
      <c r="D108" s="1704">
        <f t="shared" ref="D108:K108" si="3">SUM(D95:D107)</f>
        <v>570</v>
      </c>
      <c r="E108" s="1704">
        <f t="shared" si="3"/>
        <v>128112</v>
      </c>
      <c r="F108" s="1704">
        <f t="shared" si="3"/>
        <v>11699</v>
      </c>
      <c r="G108" s="1704">
        <f t="shared" si="3"/>
        <v>0</v>
      </c>
      <c r="H108" s="1704">
        <f t="shared" si="3"/>
        <v>190731</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1876467</v>
      </c>
      <c r="D109" s="1712">
        <f t="shared" si="4"/>
        <v>285935</v>
      </c>
      <c r="E109" s="1712">
        <f t="shared" si="4"/>
        <v>329749</v>
      </c>
      <c r="F109" s="1712">
        <f t="shared" si="4"/>
        <v>126024</v>
      </c>
      <c r="G109" s="1712">
        <f t="shared" si="4"/>
        <v>187307</v>
      </c>
      <c r="H109" s="1712">
        <f t="shared" si="4"/>
        <v>190843</v>
      </c>
      <c r="I109" s="1712">
        <f t="shared" si="4"/>
        <v>28870</v>
      </c>
      <c r="J109" s="1712">
        <f t="shared" si="4"/>
        <v>227344</v>
      </c>
      <c r="K109" s="1699">
        <f t="shared" si="4"/>
        <v>78</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805</v>
      </c>
      <c r="B114" s="1714" t="s">
        <v>568</v>
      </c>
      <c r="C114" s="1715">
        <f>SUM(C111:C113)</f>
        <v>0</v>
      </c>
      <c r="D114" s="1715">
        <f>SUM(D111:D113)</f>
        <v>0</v>
      </c>
      <c r="E114" s="558" t="s">
        <v>1168</v>
      </c>
      <c r="F114" s="1715">
        <f>SUM(F111:F113)</f>
        <v>0</v>
      </c>
      <c r="G114" s="1715">
        <f>SUM(G111:G113)</f>
        <v>0</v>
      </c>
      <c r="H114" s="558"/>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19"/>
      <c r="D116" s="518"/>
      <c r="E116" s="558"/>
      <c r="F116" s="518"/>
      <c r="G116" s="518"/>
      <c r="H116" s="558"/>
      <c r="I116" s="468"/>
      <c r="J116" s="518"/>
      <c r="K116" s="518"/>
    </row>
    <row r="117" spans="1:11" ht="12.75" customHeight="1" x14ac:dyDescent="0.2">
      <c r="A117" s="463" t="s">
        <v>1666</v>
      </c>
      <c r="B117" s="559">
        <v>3001</v>
      </c>
      <c r="C117" s="513">
        <v>2009762</v>
      </c>
      <c r="D117" s="479">
        <v>174762</v>
      </c>
      <c r="E117" s="466">
        <v>0</v>
      </c>
      <c r="F117" s="479">
        <v>0</v>
      </c>
      <c r="G117" s="479">
        <v>0</v>
      </c>
      <c r="H117" s="466">
        <v>0</v>
      </c>
      <c r="I117" s="468"/>
      <c r="J117" s="467">
        <v>0</v>
      </c>
      <c r="K117" s="466">
        <v>0</v>
      </c>
    </row>
    <row r="118" spans="1:11" ht="12.75" customHeight="1" x14ac:dyDescent="0.2">
      <c r="A118" s="463" t="s">
        <v>1798</v>
      </c>
      <c r="B118" s="559">
        <v>3002</v>
      </c>
      <c r="C118" s="548"/>
      <c r="D118" s="466"/>
      <c r="E118" s="466"/>
      <c r="F118" s="466"/>
      <c r="G118" s="466"/>
      <c r="H118" s="466"/>
      <c r="I118" s="468"/>
      <c r="J118" s="467"/>
      <c r="K118" s="466"/>
    </row>
    <row r="119" spans="1:11" ht="12.75" customHeight="1" x14ac:dyDescent="0.2">
      <c r="A119" s="463" t="s">
        <v>1799</v>
      </c>
      <c r="B119" s="559">
        <v>3005</v>
      </c>
      <c r="C119" s="548">
        <v>0</v>
      </c>
      <c r="D119" s="466">
        <v>0</v>
      </c>
      <c r="E119" s="466">
        <v>0</v>
      </c>
      <c r="F119" s="466">
        <v>0</v>
      </c>
      <c r="G119" s="479">
        <v>0</v>
      </c>
      <c r="H119" s="466">
        <v>0</v>
      </c>
      <c r="I119" s="468"/>
      <c r="J119" s="467">
        <v>0</v>
      </c>
      <c r="K119" s="466">
        <v>0</v>
      </c>
    </row>
    <row r="120" spans="1:11" ht="12.75" customHeight="1" x14ac:dyDescent="0.2">
      <c r="A120" s="1927" t="s">
        <v>1935</v>
      </c>
      <c r="B120" s="559">
        <v>3030</v>
      </c>
      <c r="C120" s="548">
        <v>0</v>
      </c>
      <c r="D120" s="466">
        <v>0</v>
      </c>
      <c r="E120" s="466">
        <v>0</v>
      </c>
      <c r="F120" s="466">
        <v>0</v>
      </c>
      <c r="G120" s="466">
        <v>0</v>
      </c>
      <c r="H120" s="466">
        <v>0</v>
      </c>
      <c r="I120" s="468"/>
      <c r="J120" s="467">
        <v>0</v>
      </c>
      <c r="K120" s="466">
        <v>0</v>
      </c>
    </row>
    <row r="121" spans="1:11" x14ac:dyDescent="0.2">
      <c r="A121" s="1493" t="s">
        <v>1800</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487</v>
      </c>
      <c r="B122" s="1716"/>
      <c r="C122" s="1704">
        <f t="shared" ref="C122:H122" si="5">SUM(C117:C121)</f>
        <v>2009762</v>
      </c>
      <c r="D122" s="1704">
        <f t="shared" si="5"/>
        <v>174762</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2"/>
      <c r="D123" s="506"/>
      <c r="E123" s="468"/>
      <c r="F123" s="563"/>
      <c r="G123" s="468"/>
      <c r="H123" s="468"/>
      <c r="I123" s="468"/>
      <c r="J123" s="468"/>
      <c r="K123" s="468"/>
    </row>
    <row r="124" spans="1:11" ht="15" customHeight="1" x14ac:dyDescent="0.2">
      <c r="A124" s="1595" t="s">
        <v>666</v>
      </c>
      <c r="B124" s="1596"/>
      <c r="C124" s="518"/>
      <c r="D124" s="506"/>
      <c r="E124" s="468"/>
      <c r="F124" s="518"/>
      <c r="G124" s="468"/>
      <c r="H124" s="468"/>
      <c r="I124" s="468"/>
      <c r="J124" s="468"/>
      <c r="K124" s="468"/>
    </row>
    <row r="125" spans="1:11" ht="12.75" customHeight="1" x14ac:dyDescent="0.2">
      <c r="A125" s="463" t="s">
        <v>865</v>
      </c>
      <c r="B125" s="564">
        <v>3100</v>
      </c>
      <c r="C125" s="479">
        <v>0</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6335</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1031</v>
      </c>
      <c r="B132" s="1717"/>
      <c r="C132" s="1704">
        <f>SUM(C125:C131)</f>
        <v>6335</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10563</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14498</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602</v>
      </c>
      <c r="B141" s="1717"/>
      <c r="C141" s="1704">
        <f>SUM(C134:C140)</f>
        <v>25061</v>
      </c>
      <c r="D141" s="1704">
        <f>SUM(D134:D140)</f>
        <v>0</v>
      </c>
      <c r="E141" s="558" t="s">
        <v>1168</v>
      </c>
      <c r="F141" s="475"/>
      <c r="G141" s="1704">
        <f>SUM(G134:G140)</f>
        <v>0</v>
      </c>
      <c r="H141" s="468" t="s">
        <v>1168</v>
      </c>
      <c r="I141" s="468" t="s">
        <v>1168</v>
      </c>
      <c r="J141" s="468" t="s">
        <v>1168</v>
      </c>
      <c r="K141" s="468" t="s">
        <v>1168</v>
      </c>
    </row>
    <row r="142" spans="1:11" ht="15.75" customHeight="1" thickTop="1" x14ac:dyDescent="0.2">
      <c r="A142" s="1597" t="s">
        <v>669</v>
      </c>
      <c r="B142" s="1598"/>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5" t="s">
        <v>395</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1055</v>
      </c>
      <c r="B146" s="565">
        <v>3360</v>
      </c>
      <c r="C146" s="566">
        <v>2262</v>
      </c>
      <c r="D146" s="567"/>
      <c r="E146" s="506"/>
      <c r="F146" s="468"/>
      <c r="G146" s="568"/>
      <c r="H146" s="468"/>
      <c r="I146" s="468"/>
      <c r="J146" s="468"/>
      <c r="K146" s="468"/>
    </row>
    <row r="147" spans="1:11" ht="12.75" customHeight="1" thickBot="1" x14ac:dyDescent="0.25">
      <c r="A147" s="1496" t="s">
        <v>921</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7439</v>
      </c>
      <c r="D148" s="570">
        <v>0</v>
      </c>
      <c r="E148" s="506"/>
      <c r="F148" s="468"/>
      <c r="G148" s="468"/>
      <c r="H148" s="468"/>
      <c r="I148" s="468"/>
      <c r="J148" s="468"/>
      <c r="K148" s="468"/>
    </row>
    <row r="149" spans="1:11" ht="12.75" customHeight="1" thickTop="1" thickBot="1" x14ac:dyDescent="0.25">
      <c r="A149" s="1497"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452</v>
      </c>
      <c r="B151" s="1599"/>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48855</v>
      </c>
      <c r="G152" s="467">
        <v>0</v>
      </c>
      <c r="H152" s="468"/>
      <c r="I152" s="468"/>
      <c r="J152" s="468"/>
      <c r="K152" s="468"/>
    </row>
    <row r="153" spans="1:11" ht="12.75" customHeight="1" x14ac:dyDescent="0.2">
      <c r="A153" s="463" t="s">
        <v>1056</v>
      </c>
      <c r="B153" s="559">
        <v>3510</v>
      </c>
      <c r="C153" s="548">
        <v>0</v>
      </c>
      <c r="D153" s="466">
        <v>0</v>
      </c>
      <c r="E153" s="558"/>
      <c r="F153" s="466">
        <v>62096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110951</v>
      </c>
      <c r="G155" s="1704">
        <f>SUM(G152:G154)</f>
        <v>0</v>
      </c>
      <c r="H155" s="468"/>
      <c r="I155" s="468"/>
      <c r="J155" s="468"/>
      <c r="K155" s="468"/>
    </row>
    <row r="156" spans="1:11" ht="12.75" customHeight="1" thickTop="1" thickBot="1" x14ac:dyDescent="0.25">
      <c r="A156" s="1497" t="s">
        <v>379</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999</v>
      </c>
      <c r="B158" s="571">
        <v>3695</v>
      </c>
      <c r="C158" s="573">
        <v>0</v>
      </c>
      <c r="D158" s="468"/>
      <c r="E158" s="558"/>
      <c r="F158" s="573">
        <v>0</v>
      </c>
      <c r="G158" s="573">
        <v>0</v>
      </c>
      <c r="H158" s="468"/>
      <c r="I158" s="468"/>
      <c r="J158" s="468"/>
      <c r="K158" s="468"/>
    </row>
    <row r="159" spans="1:11" ht="12.75" customHeight="1" thickTop="1" thickBot="1" x14ac:dyDescent="0.25">
      <c r="A159" s="1497" t="s">
        <v>1050</v>
      </c>
      <c r="B159" s="571">
        <v>3705</v>
      </c>
      <c r="C159" s="573">
        <v>143092</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984</v>
      </c>
      <c r="B161" s="571">
        <v>3767</v>
      </c>
      <c r="C161" s="573"/>
      <c r="D161" s="528"/>
      <c r="E161" s="558"/>
      <c r="F161" s="528"/>
      <c r="G161" s="528"/>
      <c r="H161" s="468"/>
      <c r="I161" s="468"/>
      <c r="J161" s="468"/>
      <c r="K161" s="468"/>
    </row>
    <row r="162" spans="1:11" ht="12.75" customHeight="1" thickTop="1" thickBot="1" x14ac:dyDescent="0.25">
      <c r="A162" s="1497"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857</v>
      </c>
      <c r="B164" s="571">
        <v>3815</v>
      </c>
      <c r="C164" s="573">
        <v>0</v>
      </c>
      <c r="D164" s="468"/>
      <c r="E164" s="558"/>
      <c r="F164" s="573">
        <v>0</v>
      </c>
      <c r="G164" s="468"/>
      <c r="H164" s="468"/>
      <c r="I164" s="468"/>
      <c r="J164" s="468"/>
      <c r="K164" s="468"/>
    </row>
    <row r="165" spans="1:11" ht="12.75" customHeight="1" thickTop="1" thickBot="1" x14ac:dyDescent="0.25">
      <c r="A165" s="1497" t="s">
        <v>396</v>
      </c>
      <c r="B165" s="571">
        <v>3825</v>
      </c>
      <c r="C165" s="573">
        <v>0</v>
      </c>
      <c r="D165" s="468"/>
      <c r="E165" s="558"/>
      <c r="F165" s="573">
        <v>0</v>
      </c>
      <c r="G165" s="468"/>
      <c r="H165" s="468"/>
      <c r="I165" s="468"/>
      <c r="J165" s="468"/>
      <c r="K165" s="468"/>
    </row>
    <row r="166" spans="1:11" ht="12.75" customHeight="1" thickTop="1" thickBot="1" x14ac:dyDescent="0.25">
      <c r="A166" s="1497" t="s">
        <v>347</v>
      </c>
      <c r="B166" s="571">
        <v>3920</v>
      </c>
      <c r="C166" s="563"/>
      <c r="D166" s="575">
        <v>0</v>
      </c>
      <c r="E166" s="468"/>
      <c r="F166" s="563"/>
      <c r="G166" s="468"/>
      <c r="H166" s="527">
        <v>0</v>
      </c>
      <c r="I166" s="468"/>
      <c r="J166" s="468"/>
      <c r="K166" s="468"/>
    </row>
    <row r="167" spans="1:11" ht="12.75" customHeight="1" thickTop="1" thickBot="1" x14ac:dyDescent="0.25">
      <c r="A167" s="1497" t="s">
        <v>348</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0" t="s">
        <v>397</v>
      </c>
      <c r="B169" s="2161"/>
      <c r="C169" s="1719">
        <f t="shared" ref="C169:K169" si="6">SUM(C132,C141,C145,C146:C150,C155,C156:C167,C168)</f>
        <v>184939</v>
      </c>
      <c r="D169" s="1719">
        <f t="shared" si="6"/>
        <v>0</v>
      </c>
      <c r="E169" s="1719">
        <f t="shared" si="6"/>
        <v>0</v>
      </c>
      <c r="F169" s="1719">
        <f t="shared" si="6"/>
        <v>110951</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2194701</v>
      </c>
      <c r="D170" s="1712">
        <f t="shared" si="7"/>
        <v>174762</v>
      </c>
      <c r="E170" s="1712">
        <f t="shared" si="7"/>
        <v>0</v>
      </c>
      <c r="F170" s="1712">
        <f t="shared" si="7"/>
        <v>110951</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62" t="s">
        <v>1491</v>
      </c>
      <c r="B172" s="2163"/>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166" t="s">
        <v>1664</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1663</v>
      </c>
      <c r="B176" s="2171"/>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168" t="s">
        <v>784</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1802</v>
      </c>
      <c r="B182" s="2165"/>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454</v>
      </c>
      <c r="B189" s="1602"/>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114914</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23827</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547</v>
      </c>
      <c r="B198" s="1706"/>
      <c r="C198" s="1685">
        <f>SUM(C190:C197)</f>
        <v>138741</v>
      </c>
      <c r="D198" s="468"/>
      <c r="E198" s="468"/>
      <c r="F198" s="468"/>
      <c r="G198" s="1685">
        <f>SUM(G190:G197)</f>
        <v>0</v>
      </c>
      <c r="H198" s="468"/>
      <c r="I198" s="468"/>
      <c r="J198" s="468"/>
      <c r="K198" s="468"/>
    </row>
    <row r="199" spans="1:11" ht="15.75" customHeight="1" thickTop="1" x14ac:dyDescent="0.2">
      <c r="A199" s="1597" t="s">
        <v>1137</v>
      </c>
      <c r="B199" s="1602"/>
      <c r="C199" s="550"/>
      <c r="D199" s="468"/>
      <c r="E199" s="468"/>
      <c r="F199" s="468"/>
      <c r="G199" s="468"/>
      <c r="H199" s="468"/>
      <c r="I199" s="468"/>
      <c r="J199" s="468"/>
      <c r="K199" s="468"/>
    </row>
    <row r="200" spans="1:11" ht="12.75" customHeight="1" x14ac:dyDescent="0.2">
      <c r="A200" s="463" t="s">
        <v>917</v>
      </c>
      <c r="B200" s="470">
        <v>4300</v>
      </c>
      <c r="C200" s="466">
        <v>124492</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399</v>
      </c>
      <c r="B204" s="1706"/>
      <c r="C204" s="1704">
        <f>SUM(C200:C203)</f>
        <v>124492</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0"/>
      <c r="D205" s="550"/>
      <c r="E205" s="468"/>
      <c r="F205" s="550"/>
      <c r="G205" s="550"/>
      <c r="H205" s="468"/>
      <c r="I205" s="468"/>
      <c r="J205" s="468"/>
      <c r="K205" s="468"/>
    </row>
    <row r="206" spans="1:11" ht="12.75" customHeight="1" x14ac:dyDescent="0.2">
      <c r="A206" s="463" t="s">
        <v>758</v>
      </c>
      <c r="B206" s="470">
        <v>4400</v>
      </c>
      <c r="C206" s="548">
        <v>0</v>
      </c>
      <c r="D206" s="466">
        <v>0</v>
      </c>
      <c r="E206" s="468"/>
      <c r="F206" s="466">
        <v>0</v>
      </c>
      <c r="G206" s="466">
        <v>0</v>
      </c>
      <c r="H206" s="468"/>
      <c r="I206" s="468"/>
      <c r="J206" s="468"/>
      <c r="K206" s="468"/>
    </row>
    <row r="207" spans="1:11" ht="12.75" customHeight="1" x14ac:dyDescent="0.2">
      <c r="A207" s="463" t="s">
        <v>1452</v>
      </c>
      <c r="B207" s="470">
        <v>4421</v>
      </c>
      <c r="C207" s="548">
        <v>18721</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888</v>
      </c>
      <c r="B209" s="1706"/>
      <c r="C209" s="1704">
        <f>SUM(C206:C208)</f>
        <v>18721</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0"/>
      <c r="D210" s="550"/>
      <c r="E210" s="468"/>
      <c r="F210" s="550"/>
      <c r="G210" s="550"/>
      <c r="H210" s="468"/>
      <c r="I210" s="468"/>
      <c r="J210" s="468"/>
      <c r="K210" s="468"/>
    </row>
    <row r="211" spans="1:11" ht="12.75" customHeight="1" x14ac:dyDescent="0.2">
      <c r="A211" s="463" t="s">
        <v>1051</v>
      </c>
      <c r="B211" s="470">
        <v>4600</v>
      </c>
      <c r="C211" s="548">
        <v>0</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0</v>
      </c>
      <c r="D213" s="466">
        <v>0</v>
      </c>
      <c r="E213" s="468"/>
      <c r="F213" s="466">
        <v>0</v>
      </c>
      <c r="G213" s="466">
        <v>0</v>
      </c>
      <c r="H213" s="468"/>
      <c r="I213" s="468"/>
      <c r="J213" s="468"/>
      <c r="K213" s="468"/>
    </row>
    <row r="214" spans="1:11" ht="12.75" customHeight="1" x14ac:dyDescent="0.2">
      <c r="A214" s="463" t="s">
        <v>1053</v>
      </c>
      <c r="B214" s="470">
        <v>4625</v>
      </c>
      <c r="C214" s="548">
        <v>1280</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446</v>
      </c>
      <c r="B217" s="1706"/>
      <c r="C217" s="1704">
        <f>SUM(C211:C216)</f>
        <v>1280</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1420</v>
      </c>
      <c r="B253" s="585">
        <v>4901</v>
      </c>
      <c r="C253" s="586">
        <v>0</v>
      </c>
      <c r="D253" s="469"/>
      <c r="E253" s="468"/>
      <c r="F253" s="468"/>
      <c r="G253" s="468"/>
      <c r="H253" s="468"/>
      <c r="I253" s="468"/>
      <c r="J253" s="468"/>
      <c r="K253" s="468"/>
    </row>
    <row r="254" spans="1:11" ht="12.75" customHeight="1" thickTop="1" thickBot="1" x14ac:dyDescent="0.25">
      <c r="A254" s="1500"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8541</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7" t="s">
        <v>1936</v>
      </c>
      <c r="B261" s="470">
        <v>4981</v>
      </c>
      <c r="C261" s="572">
        <v>0</v>
      </c>
      <c r="D261" s="573">
        <v>0</v>
      </c>
      <c r="E261" s="468"/>
      <c r="F261" s="573">
        <v>0</v>
      </c>
      <c r="G261" s="573">
        <v>0</v>
      </c>
      <c r="H261" s="468"/>
      <c r="I261" s="468"/>
      <c r="J261" s="468"/>
      <c r="K261" s="468"/>
    </row>
    <row r="262" spans="1:11" ht="12.75" customHeight="1" thickTop="1" thickBot="1" x14ac:dyDescent="0.25">
      <c r="A262" s="1928" t="s">
        <v>1937</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3578</v>
      </c>
      <c r="D263" s="573">
        <v>0</v>
      </c>
      <c r="E263" s="468"/>
      <c r="F263" s="573">
        <v>0</v>
      </c>
      <c r="G263" s="573">
        <v>0</v>
      </c>
      <c r="H263" s="468"/>
      <c r="I263" s="468"/>
      <c r="J263" s="468"/>
      <c r="K263" s="468"/>
    </row>
    <row r="264" spans="1:11" ht="12.75" customHeight="1" thickTop="1" thickBot="1" x14ac:dyDescent="0.25">
      <c r="A264" s="463" t="s">
        <v>376</v>
      </c>
      <c r="B264" s="470">
        <v>4992</v>
      </c>
      <c r="C264" s="572">
        <v>2987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298340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298340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4369508</v>
      </c>
      <c r="D268" s="1712">
        <f t="shared" si="12"/>
        <v>460697</v>
      </c>
      <c r="E268" s="1712">
        <f t="shared" si="12"/>
        <v>329749</v>
      </c>
      <c r="F268" s="1712">
        <f t="shared" si="12"/>
        <v>236975</v>
      </c>
      <c r="G268" s="1712">
        <f t="shared" si="12"/>
        <v>187307</v>
      </c>
      <c r="H268" s="1712">
        <f t="shared" si="12"/>
        <v>190843</v>
      </c>
      <c r="I268" s="1712">
        <f t="shared" si="12"/>
        <v>28870</v>
      </c>
      <c r="J268" s="1712">
        <f t="shared" si="12"/>
        <v>227344</v>
      </c>
      <c r="K268" s="1699">
        <f t="shared" si="12"/>
        <v>78</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0" t="s">
        <v>1801</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174"/>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180" t="s">
        <v>296</v>
      </c>
      <c r="B3" s="2181"/>
      <c r="C3" s="1545"/>
      <c r="D3" s="1545"/>
      <c r="E3" s="1545"/>
      <c r="F3" s="1545"/>
      <c r="G3" s="1545"/>
      <c r="H3" s="1545"/>
      <c r="I3" s="1545"/>
      <c r="J3" s="1545"/>
      <c r="K3" s="1546"/>
      <c r="L3" s="1547"/>
      <c r="M3" s="606"/>
      <c r="N3" s="606"/>
    </row>
    <row r="4" spans="1:14" s="259" customFormat="1" ht="15.75" customHeight="1" x14ac:dyDescent="0.2">
      <c r="A4" s="1603" t="s">
        <v>44</v>
      </c>
      <c r="B4" s="1604" t="s">
        <v>569</v>
      </c>
      <c r="C4" s="607"/>
      <c r="D4" s="607"/>
      <c r="E4" s="607"/>
      <c r="F4" s="607"/>
      <c r="G4" s="607"/>
      <c r="H4" s="607"/>
      <c r="I4" s="608"/>
      <c r="J4" s="607"/>
      <c r="K4" s="609"/>
      <c r="L4" s="607"/>
      <c r="M4" s="610"/>
      <c r="N4" s="610"/>
    </row>
    <row r="5" spans="1:14" x14ac:dyDescent="0.2">
      <c r="A5" s="1501" t="s">
        <v>960</v>
      </c>
      <c r="B5" s="611">
        <v>1100</v>
      </c>
      <c r="C5" s="466">
        <v>1717944</v>
      </c>
      <c r="D5" s="466">
        <v>454750</v>
      </c>
      <c r="E5" s="466">
        <v>3333</v>
      </c>
      <c r="F5" s="466">
        <v>58409</v>
      </c>
      <c r="G5" s="466">
        <v>0</v>
      </c>
      <c r="H5" s="466">
        <v>36375</v>
      </c>
      <c r="I5" s="467">
        <v>0</v>
      </c>
      <c r="J5" s="467">
        <v>0</v>
      </c>
      <c r="K5" s="1668">
        <f>SUM(C5:J5)</f>
        <v>2270811</v>
      </c>
      <c r="L5" s="471">
        <v>2382400</v>
      </c>
    </row>
    <row r="6" spans="1:14" x14ac:dyDescent="0.2">
      <c r="A6" s="1501" t="s">
        <v>1432</v>
      </c>
      <c r="B6" s="611" t="s">
        <v>1430</v>
      </c>
      <c r="C6" s="475"/>
      <c r="D6" s="475"/>
      <c r="E6" s="466">
        <v>0</v>
      </c>
      <c r="F6" s="475"/>
      <c r="G6" s="475"/>
      <c r="H6" s="475"/>
      <c r="I6" s="475"/>
      <c r="J6" s="475"/>
      <c r="K6" s="1668">
        <f>SUM(C6,E6)</f>
        <v>0</v>
      </c>
      <c r="L6" s="471">
        <v>0</v>
      </c>
    </row>
    <row r="7" spans="1:14" x14ac:dyDescent="0.2">
      <c r="A7" s="1501" t="s">
        <v>163</v>
      </c>
      <c r="B7" s="611" t="s">
        <v>966</v>
      </c>
      <c r="C7" s="467">
        <v>75554</v>
      </c>
      <c r="D7" s="467">
        <v>15884</v>
      </c>
      <c r="E7" s="467">
        <v>4019</v>
      </c>
      <c r="F7" s="467">
        <v>8677</v>
      </c>
      <c r="G7" s="467">
        <v>1199</v>
      </c>
      <c r="H7" s="467">
        <v>0</v>
      </c>
      <c r="I7" s="467">
        <v>0</v>
      </c>
      <c r="J7" s="467">
        <v>0</v>
      </c>
      <c r="K7" s="1668">
        <f t="shared" ref="K7:K32" si="0">SUM(C7:J7)</f>
        <v>105333</v>
      </c>
      <c r="L7" s="471">
        <v>107450</v>
      </c>
    </row>
    <row r="8" spans="1:14" x14ac:dyDescent="0.2">
      <c r="A8" s="1501" t="s">
        <v>164</v>
      </c>
      <c r="B8" s="611">
        <v>1200</v>
      </c>
      <c r="C8" s="466">
        <v>127496</v>
      </c>
      <c r="D8" s="466">
        <v>41907</v>
      </c>
      <c r="E8" s="466">
        <v>0</v>
      </c>
      <c r="F8" s="466">
        <v>0</v>
      </c>
      <c r="G8" s="466">
        <v>0</v>
      </c>
      <c r="H8" s="466">
        <v>0</v>
      </c>
      <c r="I8" s="467">
        <v>0</v>
      </c>
      <c r="J8" s="467">
        <v>0</v>
      </c>
      <c r="K8" s="1668">
        <f t="shared" si="0"/>
        <v>169403</v>
      </c>
      <c r="L8" s="471">
        <v>173400</v>
      </c>
    </row>
    <row r="9" spans="1:14" x14ac:dyDescent="0.2">
      <c r="A9" s="1501" t="s">
        <v>720</v>
      </c>
      <c r="B9" s="611" t="s">
        <v>967</v>
      </c>
      <c r="C9" s="467">
        <v>0</v>
      </c>
      <c r="D9" s="467">
        <v>0</v>
      </c>
      <c r="E9" s="467">
        <v>0</v>
      </c>
      <c r="F9" s="467">
        <v>0</v>
      </c>
      <c r="G9" s="467">
        <v>0</v>
      </c>
      <c r="H9" s="467">
        <v>0</v>
      </c>
      <c r="I9" s="467">
        <v>0</v>
      </c>
      <c r="J9" s="467">
        <v>0</v>
      </c>
      <c r="K9" s="1668">
        <f t="shared" si="0"/>
        <v>0</v>
      </c>
      <c r="L9" s="471">
        <v>0</v>
      </c>
    </row>
    <row r="10" spans="1:14" x14ac:dyDescent="0.2">
      <c r="A10" s="1501" t="s">
        <v>721</v>
      </c>
      <c r="B10" s="611">
        <v>1250</v>
      </c>
      <c r="C10" s="466">
        <v>108110</v>
      </c>
      <c r="D10" s="466">
        <v>35727</v>
      </c>
      <c r="E10" s="466">
        <v>18043</v>
      </c>
      <c r="F10" s="466">
        <v>11410</v>
      </c>
      <c r="G10" s="466">
        <v>0</v>
      </c>
      <c r="H10" s="466">
        <v>0</v>
      </c>
      <c r="I10" s="467">
        <v>0</v>
      </c>
      <c r="J10" s="467">
        <v>0</v>
      </c>
      <c r="K10" s="1668">
        <f t="shared" si="0"/>
        <v>173290</v>
      </c>
      <c r="L10" s="471">
        <v>140600</v>
      </c>
    </row>
    <row r="11" spans="1:14" x14ac:dyDescent="0.2">
      <c r="A11" s="1501" t="s">
        <v>1129</v>
      </c>
      <c r="B11" s="611" t="s">
        <v>161</v>
      </c>
      <c r="C11" s="467">
        <v>0</v>
      </c>
      <c r="D11" s="467">
        <v>0</v>
      </c>
      <c r="E11" s="467">
        <v>0</v>
      </c>
      <c r="F11" s="467">
        <v>0</v>
      </c>
      <c r="G11" s="467">
        <v>0</v>
      </c>
      <c r="H11" s="467">
        <v>0</v>
      </c>
      <c r="I11" s="467">
        <v>0</v>
      </c>
      <c r="J11" s="467">
        <v>0</v>
      </c>
      <c r="K11" s="1668">
        <f t="shared" si="0"/>
        <v>0</v>
      </c>
      <c r="L11" s="471">
        <v>0</v>
      </c>
    </row>
    <row r="12" spans="1:14" x14ac:dyDescent="0.2">
      <c r="A12" s="1501" t="s">
        <v>961</v>
      </c>
      <c r="B12" s="611">
        <v>1300</v>
      </c>
      <c r="C12" s="466">
        <v>0</v>
      </c>
      <c r="D12" s="466">
        <v>0</v>
      </c>
      <c r="E12" s="466">
        <v>0</v>
      </c>
      <c r="F12" s="466">
        <v>0</v>
      </c>
      <c r="G12" s="466">
        <v>0</v>
      </c>
      <c r="H12" s="466">
        <v>0</v>
      </c>
      <c r="I12" s="467">
        <v>0</v>
      </c>
      <c r="J12" s="467">
        <v>0</v>
      </c>
      <c r="K12" s="1668">
        <f t="shared" si="0"/>
        <v>0</v>
      </c>
      <c r="L12" s="471">
        <v>0</v>
      </c>
    </row>
    <row r="13" spans="1:14" x14ac:dyDescent="0.2">
      <c r="A13" s="1501" t="s">
        <v>722</v>
      </c>
      <c r="B13" s="611">
        <v>1400</v>
      </c>
      <c r="C13" s="466">
        <v>77570</v>
      </c>
      <c r="D13" s="466">
        <v>24354</v>
      </c>
      <c r="E13" s="466">
        <v>1005</v>
      </c>
      <c r="F13" s="466">
        <v>15623</v>
      </c>
      <c r="G13" s="466">
        <v>0</v>
      </c>
      <c r="H13" s="466">
        <v>0</v>
      </c>
      <c r="I13" s="467">
        <v>0</v>
      </c>
      <c r="J13" s="467">
        <v>0</v>
      </c>
      <c r="K13" s="1668">
        <f t="shared" si="0"/>
        <v>118552</v>
      </c>
      <c r="L13" s="471">
        <v>123300</v>
      </c>
    </row>
    <row r="14" spans="1:14" x14ac:dyDescent="0.2">
      <c r="A14" s="1501" t="s">
        <v>962</v>
      </c>
      <c r="B14" s="611">
        <v>1500</v>
      </c>
      <c r="C14" s="466">
        <v>89509</v>
      </c>
      <c r="D14" s="466">
        <v>9607</v>
      </c>
      <c r="E14" s="466">
        <v>23471</v>
      </c>
      <c r="F14" s="466">
        <v>42259</v>
      </c>
      <c r="G14" s="466">
        <v>1157</v>
      </c>
      <c r="H14" s="466">
        <v>14913</v>
      </c>
      <c r="I14" s="467">
        <v>0</v>
      </c>
      <c r="J14" s="467">
        <v>0</v>
      </c>
      <c r="K14" s="1668">
        <f t="shared" si="0"/>
        <v>180916</v>
      </c>
      <c r="L14" s="471">
        <v>197975</v>
      </c>
    </row>
    <row r="15" spans="1:14" x14ac:dyDescent="0.2">
      <c r="A15" s="1501" t="s">
        <v>963</v>
      </c>
      <c r="B15" s="611">
        <v>1600</v>
      </c>
      <c r="C15" s="467">
        <v>0</v>
      </c>
      <c r="D15" s="466">
        <v>0</v>
      </c>
      <c r="E15" s="466">
        <v>0</v>
      </c>
      <c r="F15" s="466">
        <v>0</v>
      </c>
      <c r="G15" s="466">
        <v>0</v>
      </c>
      <c r="H15" s="466">
        <v>0</v>
      </c>
      <c r="I15" s="467">
        <v>0</v>
      </c>
      <c r="J15" s="467">
        <v>0</v>
      </c>
      <c r="K15" s="1668">
        <f t="shared" si="0"/>
        <v>0</v>
      </c>
      <c r="L15" s="471">
        <v>0</v>
      </c>
    </row>
    <row r="16" spans="1:14" x14ac:dyDescent="0.2">
      <c r="A16" s="1501" t="s">
        <v>986</v>
      </c>
      <c r="B16" s="611" t="s">
        <v>423</v>
      </c>
      <c r="C16" s="467">
        <v>0</v>
      </c>
      <c r="D16" s="466">
        <v>0</v>
      </c>
      <c r="E16" s="466">
        <v>0</v>
      </c>
      <c r="F16" s="466">
        <v>0</v>
      </c>
      <c r="G16" s="466">
        <v>0</v>
      </c>
      <c r="H16" s="466">
        <v>0</v>
      </c>
      <c r="I16" s="467">
        <v>0</v>
      </c>
      <c r="J16" s="467">
        <v>0</v>
      </c>
      <c r="K16" s="1668">
        <f t="shared" si="0"/>
        <v>0</v>
      </c>
      <c r="L16" s="471">
        <v>0</v>
      </c>
    </row>
    <row r="17" spans="1:12" x14ac:dyDescent="0.2">
      <c r="A17" s="1501" t="s">
        <v>723</v>
      </c>
      <c r="B17" s="611" t="s">
        <v>162</v>
      </c>
      <c r="C17" s="467">
        <v>30179</v>
      </c>
      <c r="D17" s="467">
        <v>4175</v>
      </c>
      <c r="E17" s="467">
        <v>0</v>
      </c>
      <c r="F17" s="467">
        <v>0</v>
      </c>
      <c r="G17" s="467">
        <v>0</v>
      </c>
      <c r="H17" s="467">
        <v>0</v>
      </c>
      <c r="I17" s="467">
        <v>0</v>
      </c>
      <c r="J17" s="467">
        <v>0</v>
      </c>
      <c r="K17" s="1668">
        <f t="shared" si="0"/>
        <v>34354</v>
      </c>
      <c r="L17" s="471">
        <v>35500</v>
      </c>
    </row>
    <row r="18" spans="1:12" x14ac:dyDescent="0.2">
      <c r="A18" s="1501" t="s">
        <v>1086</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737</v>
      </c>
      <c r="B20" s="599" t="s">
        <v>724</v>
      </c>
      <c r="C20" s="475"/>
      <c r="D20" s="475"/>
      <c r="E20" s="475"/>
      <c r="F20" s="475"/>
      <c r="G20" s="475"/>
      <c r="H20" s="467">
        <v>0</v>
      </c>
      <c r="I20" s="613"/>
      <c r="J20" s="474"/>
      <c r="K20" s="1668">
        <f t="shared" si="0"/>
        <v>0</v>
      </c>
      <c r="L20" s="471">
        <v>0</v>
      </c>
    </row>
    <row r="21" spans="1:12" x14ac:dyDescent="0.2">
      <c r="A21" s="1502" t="s">
        <v>738</v>
      </c>
      <c r="B21" s="599" t="s">
        <v>725</v>
      </c>
      <c r="C21" s="475"/>
      <c r="D21" s="475"/>
      <c r="E21" s="475"/>
      <c r="F21" s="475"/>
      <c r="G21" s="475"/>
      <c r="H21" s="473">
        <v>0</v>
      </c>
      <c r="I21" s="613"/>
      <c r="J21" s="475"/>
      <c r="K21" s="1668">
        <f t="shared" si="0"/>
        <v>0</v>
      </c>
      <c r="L21" s="471">
        <v>0</v>
      </c>
    </row>
    <row r="22" spans="1:12" x14ac:dyDescent="0.2">
      <c r="A22" s="1502" t="s">
        <v>739</v>
      </c>
      <c r="B22" s="599" t="s">
        <v>726</v>
      </c>
      <c r="C22" s="475"/>
      <c r="D22" s="475"/>
      <c r="E22" s="475"/>
      <c r="F22" s="475"/>
      <c r="G22" s="475"/>
      <c r="H22" s="473">
        <v>0</v>
      </c>
      <c r="I22" s="613"/>
      <c r="J22" s="475"/>
      <c r="K22" s="1668">
        <f t="shared" si="0"/>
        <v>0</v>
      </c>
      <c r="L22" s="471">
        <v>0</v>
      </c>
    </row>
    <row r="23" spans="1:12" x14ac:dyDescent="0.2">
      <c r="A23" s="1502" t="s">
        <v>740</v>
      </c>
      <c r="B23" s="599" t="s">
        <v>727</v>
      </c>
      <c r="C23" s="475"/>
      <c r="D23" s="475"/>
      <c r="E23" s="475"/>
      <c r="F23" s="475"/>
      <c r="G23" s="475"/>
      <c r="H23" s="473">
        <v>0</v>
      </c>
      <c r="I23" s="613"/>
      <c r="J23" s="475"/>
      <c r="K23" s="1668">
        <f t="shared" si="0"/>
        <v>0</v>
      </c>
      <c r="L23" s="471">
        <v>0</v>
      </c>
    </row>
    <row r="24" spans="1:12" ht="12.75" customHeight="1" x14ac:dyDescent="0.2">
      <c r="A24" s="1502" t="s">
        <v>741</v>
      </c>
      <c r="B24" s="599" t="s">
        <v>728</v>
      </c>
      <c r="C24" s="475"/>
      <c r="D24" s="475"/>
      <c r="E24" s="475"/>
      <c r="F24" s="475"/>
      <c r="G24" s="475"/>
      <c r="H24" s="473">
        <v>0</v>
      </c>
      <c r="I24" s="613"/>
      <c r="J24" s="475"/>
      <c r="K24" s="1668">
        <f t="shared" si="0"/>
        <v>0</v>
      </c>
      <c r="L24" s="471">
        <v>0</v>
      </c>
    </row>
    <row r="25" spans="1:12" ht="12.75" customHeight="1" x14ac:dyDescent="0.2">
      <c r="A25" s="1502" t="s">
        <v>801</v>
      </c>
      <c r="B25" s="599" t="s">
        <v>729</v>
      </c>
      <c r="C25" s="475"/>
      <c r="D25" s="475"/>
      <c r="E25" s="475"/>
      <c r="F25" s="475"/>
      <c r="G25" s="475"/>
      <c r="H25" s="473">
        <v>0</v>
      </c>
      <c r="I25" s="613"/>
      <c r="J25" s="475"/>
      <c r="K25" s="1668">
        <f t="shared" si="0"/>
        <v>0</v>
      </c>
      <c r="L25" s="471">
        <v>0</v>
      </c>
    </row>
    <row r="26" spans="1:12" x14ac:dyDescent="0.2">
      <c r="A26" s="1502" t="s">
        <v>621</v>
      </c>
      <c r="B26" s="599" t="s">
        <v>730</v>
      </c>
      <c r="C26" s="475"/>
      <c r="D26" s="475"/>
      <c r="E26" s="475"/>
      <c r="F26" s="475"/>
      <c r="G26" s="475"/>
      <c r="H26" s="473">
        <v>0</v>
      </c>
      <c r="I26" s="613"/>
      <c r="J26" s="475"/>
      <c r="K26" s="1668">
        <f t="shared" si="0"/>
        <v>0</v>
      </c>
      <c r="L26" s="471">
        <v>0</v>
      </c>
    </row>
    <row r="27" spans="1:12" x14ac:dyDescent="0.2">
      <c r="A27" s="1502" t="s">
        <v>622</v>
      </c>
      <c r="B27" s="599" t="s">
        <v>731</v>
      </c>
      <c r="C27" s="475"/>
      <c r="D27" s="475"/>
      <c r="E27" s="475"/>
      <c r="F27" s="475"/>
      <c r="G27" s="475"/>
      <c r="H27" s="473">
        <v>0</v>
      </c>
      <c r="I27" s="613"/>
      <c r="J27" s="475"/>
      <c r="K27" s="1668">
        <f t="shared" si="0"/>
        <v>0</v>
      </c>
      <c r="L27" s="471">
        <v>0</v>
      </c>
    </row>
    <row r="28" spans="1:12" x14ac:dyDescent="0.2">
      <c r="A28" s="1502" t="s">
        <v>150</v>
      </c>
      <c r="B28" s="599" t="s">
        <v>732</v>
      </c>
      <c r="C28" s="475"/>
      <c r="D28" s="475"/>
      <c r="E28" s="475"/>
      <c r="F28" s="475"/>
      <c r="G28" s="475"/>
      <c r="H28" s="473">
        <v>0</v>
      </c>
      <c r="I28" s="613"/>
      <c r="J28" s="475"/>
      <c r="K28" s="1668">
        <f t="shared" si="0"/>
        <v>0</v>
      </c>
      <c r="L28" s="471">
        <v>0</v>
      </c>
    </row>
    <row r="29" spans="1:12" x14ac:dyDescent="0.2">
      <c r="A29" s="1502" t="s">
        <v>151</v>
      </c>
      <c r="B29" s="599" t="s">
        <v>733</v>
      </c>
      <c r="C29" s="475"/>
      <c r="D29" s="475"/>
      <c r="E29" s="475"/>
      <c r="F29" s="475"/>
      <c r="G29" s="475"/>
      <c r="H29" s="473">
        <v>0</v>
      </c>
      <c r="I29" s="613"/>
      <c r="J29" s="475"/>
      <c r="K29" s="1668">
        <f t="shared" si="0"/>
        <v>0</v>
      </c>
      <c r="L29" s="471">
        <v>0</v>
      </c>
    </row>
    <row r="30" spans="1:12" x14ac:dyDescent="0.2">
      <c r="A30" s="1502" t="s">
        <v>152</v>
      </c>
      <c r="B30" s="599" t="s">
        <v>734</v>
      </c>
      <c r="C30" s="475"/>
      <c r="D30" s="475"/>
      <c r="E30" s="475"/>
      <c r="F30" s="475"/>
      <c r="G30" s="475"/>
      <c r="H30" s="473">
        <v>0</v>
      </c>
      <c r="I30" s="613"/>
      <c r="J30" s="475"/>
      <c r="K30" s="1668">
        <f t="shared" si="0"/>
        <v>0</v>
      </c>
      <c r="L30" s="471">
        <v>0</v>
      </c>
    </row>
    <row r="31" spans="1:12" x14ac:dyDescent="0.2">
      <c r="A31" s="1502" t="s">
        <v>153</v>
      </c>
      <c r="B31" s="599" t="s">
        <v>735</v>
      </c>
      <c r="C31" s="475"/>
      <c r="D31" s="475"/>
      <c r="E31" s="475"/>
      <c r="F31" s="475"/>
      <c r="G31" s="475"/>
      <c r="H31" s="473">
        <v>0</v>
      </c>
      <c r="I31" s="613"/>
      <c r="J31" s="475"/>
      <c r="K31" s="1668">
        <f t="shared" si="0"/>
        <v>0</v>
      </c>
      <c r="L31" s="471">
        <v>0</v>
      </c>
    </row>
    <row r="32" spans="1:12" x14ac:dyDescent="0.2">
      <c r="A32" s="1503" t="s">
        <v>1128</v>
      </c>
      <c r="B32" s="611" t="s">
        <v>736</v>
      </c>
      <c r="C32" s="475"/>
      <c r="D32" s="475"/>
      <c r="E32" s="475"/>
      <c r="F32" s="475"/>
      <c r="G32" s="475"/>
      <c r="H32" s="473">
        <v>0</v>
      </c>
      <c r="I32" s="613"/>
      <c r="J32" s="478"/>
      <c r="K32" s="1668">
        <f t="shared" si="0"/>
        <v>0</v>
      </c>
      <c r="L32" s="471">
        <v>0</v>
      </c>
    </row>
    <row r="33" spans="1:14" ht="12.75" customHeight="1" thickBot="1" x14ac:dyDescent="0.25">
      <c r="A33" s="1665" t="s">
        <v>1667</v>
      </c>
      <c r="B33" s="1666" t="s">
        <v>569</v>
      </c>
      <c r="C33" s="1667">
        <f>SUM(C5:C32)</f>
        <v>2226362</v>
      </c>
      <c r="D33" s="1667">
        <f t="shared" ref="D33:L33" si="1">SUM(D5:D32)</f>
        <v>586404</v>
      </c>
      <c r="E33" s="1667">
        <f t="shared" si="1"/>
        <v>49871</v>
      </c>
      <c r="F33" s="1667">
        <f t="shared" si="1"/>
        <v>136378</v>
      </c>
      <c r="G33" s="1667">
        <f t="shared" si="1"/>
        <v>2356</v>
      </c>
      <c r="H33" s="1667">
        <f t="shared" si="1"/>
        <v>51288</v>
      </c>
      <c r="I33" s="1667">
        <f t="shared" si="1"/>
        <v>0</v>
      </c>
      <c r="J33" s="1667">
        <f t="shared" si="1"/>
        <v>0</v>
      </c>
      <c r="K33" s="1667">
        <f t="shared" si="1"/>
        <v>3052659</v>
      </c>
      <c r="L33" s="1667">
        <f t="shared" si="1"/>
        <v>3160625</v>
      </c>
    </row>
    <row r="34" spans="1:14" s="617" customFormat="1" ht="15.75" customHeight="1" thickTop="1" x14ac:dyDescent="0.2">
      <c r="A34" s="1605" t="s">
        <v>46</v>
      </c>
      <c r="B34" s="1606"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501" t="s">
        <v>1088</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1089</v>
      </c>
      <c r="B37" s="611">
        <v>2120</v>
      </c>
      <c r="C37" s="466">
        <v>44178</v>
      </c>
      <c r="D37" s="466">
        <v>12884</v>
      </c>
      <c r="E37" s="466">
        <v>0</v>
      </c>
      <c r="F37" s="466">
        <v>0</v>
      </c>
      <c r="G37" s="466">
        <v>0</v>
      </c>
      <c r="H37" s="466">
        <v>0</v>
      </c>
      <c r="I37" s="467">
        <v>0</v>
      </c>
      <c r="J37" s="467">
        <v>0</v>
      </c>
      <c r="K37" s="1668">
        <f t="shared" si="2"/>
        <v>57062</v>
      </c>
      <c r="L37" s="466">
        <v>57400</v>
      </c>
    </row>
    <row r="38" spans="1:14" x14ac:dyDescent="0.2">
      <c r="A38" s="1501" t="s">
        <v>198</v>
      </c>
      <c r="B38" s="611">
        <v>2130</v>
      </c>
      <c r="C38" s="466">
        <v>0</v>
      </c>
      <c r="D38" s="466">
        <v>0</v>
      </c>
      <c r="E38" s="466">
        <v>458</v>
      </c>
      <c r="F38" s="466">
        <v>789</v>
      </c>
      <c r="G38" s="466">
        <v>0</v>
      </c>
      <c r="H38" s="466">
        <v>0</v>
      </c>
      <c r="I38" s="467">
        <v>0</v>
      </c>
      <c r="J38" s="467">
        <v>0</v>
      </c>
      <c r="K38" s="1668">
        <f t="shared" si="2"/>
        <v>1247</v>
      </c>
      <c r="L38" s="466">
        <v>1500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1668</v>
      </c>
      <c r="B41" s="611">
        <v>2190</v>
      </c>
      <c r="C41" s="466">
        <v>36</v>
      </c>
      <c r="D41" s="466">
        <v>0</v>
      </c>
      <c r="E41" s="466">
        <v>0</v>
      </c>
      <c r="F41" s="466">
        <v>0</v>
      </c>
      <c r="G41" s="466">
        <v>0</v>
      </c>
      <c r="H41" s="466">
        <v>0</v>
      </c>
      <c r="I41" s="467">
        <v>0</v>
      </c>
      <c r="J41" s="467">
        <v>0</v>
      </c>
      <c r="K41" s="1668">
        <f t="shared" si="2"/>
        <v>36</v>
      </c>
      <c r="L41" s="466">
        <v>0</v>
      </c>
    </row>
    <row r="42" spans="1:14" ht="12.75" customHeight="1" thickBot="1" x14ac:dyDescent="0.25">
      <c r="A42" s="1665" t="s">
        <v>559</v>
      </c>
      <c r="B42" s="1666" t="s">
        <v>715</v>
      </c>
      <c r="C42" s="1667">
        <f>SUM(C36:C41)</f>
        <v>44214</v>
      </c>
      <c r="D42" s="1667">
        <f t="shared" ref="D42:L42" si="3">SUM(D36:D41)</f>
        <v>12884</v>
      </c>
      <c r="E42" s="1667">
        <f t="shared" si="3"/>
        <v>458</v>
      </c>
      <c r="F42" s="1667">
        <f t="shared" si="3"/>
        <v>789</v>
      </c>
      <c r="G42" s="1667">
        <f t="shared" si="3"/>
        <v>0</v>
      </c>
      <c r="H42" s="1667">
        <f t="shared" si="3"/>
        <v>0</v>
      </c>
      <c r="I42" s="1667">
        <f t="shared" si="3"/>
        <v>0</v>
      </c>
      <c r="J42" s="1667">
        <f t="shared" si="3"/>
        <v>0</v>
      </c>
      <c r="K42" s="1667">
        <f t="shared" si="3"/>
        <v>58345</v>
      </c>
      <c r="L42" s="1667">
        <f t="shared" si="3"/>
        <v>58900</v>
      </c>
    </row>
    <row r="43" spans="1:14" ht="15.75" customHeight="1" thickTop="1" x14ac:dyDescent="0.2">
      <c r="A43" s="621" t="s">
        <v>591</v>
      </c>
      <c r="B43" s="622"/>
      <c r="C43" s="623"/>
      <c r="D43" s="623"/>
      <c r="E43" s="623"/>
      <c r="F43" s="623"/>
      <c r="G43" s="623"/>
      <c r="H43" s="623"/>
      <c r="I43" s="613"/>
      <c r="J43" s="613"/>
      <c r="K43" s="623"/>
      <c r="L43" s="623"/>
    </row>
    <row r="44" spans="1:14" x14ac:dyDescent="0.2">
      <c r="A44" s="1501" t="s">
        <v>813</v>
      </c>
      <c r="B44" s="611">
        <v>2210</v>
      </c>
      <c r="C44" s="479">
        <v>12257</v>
      </c>
      <c r="D44" s="479">
        <v>5316</v>
      </c>
      <c r="E44" s="479">
        <v>0</v>
      </c>
      <c r="F44" s="479">
        <v>0</v>
      </c>
      <c r="G44" s="479">
        <v>0</v>
      </c>
      <c r="H44" s="479">
        <v>0</v>
      </c>
      <c r="I44" s="467">
        <v>0</v>
      </c>
      <c r="J44" s="467">
        <v>0</v>
      </c>
      <c r="K44" s="1669">
        <f>SUM(C44:J44)</f>
        <v>17573</v>
      </c>
      <c r="L44" s="479">
        <v>26000</v>
      </c>
    </row>
    <row r="45" spans="1:14" x14ac:dyDescent="0.2">
      <c r="A45" s="1501" t="s">
        <v>814</v>
      </c>
      <c r="B45" s="611">
        <v>2220</v>
      </c>
      <c r="C45" s="466">
        <v>118381</v>
      </c>
      <c r="D45" s="466">
        <v>23186</v>
      </c>
      <c r="E45" s="466">
        <v>47491</v>
      </c>
      <c r="F45" s="466">
        <v>20471</v>
      </c>
      <c r="G45" s="466">
        <v>47307</v>
      </c>
      <c r="H45" s="466">
        <v>0</v>
      </c>
      <c r="I45" s="467">
        <v>0</v>
      </c>
      <c r="J45" s="467">
        <v>0</v>
      </c>
      <c r="K45" s="1669">
        <f>SUM(C45:J45)</f>
        <v>256836</v>
      </c>
      <c r="L45" s="466">
        <v>274890</v>
      </c>
    </row>
    <row r="46" spans="1:14" x14ac:dyDescent="0.2">
      <c r="A46" s="1501" t="s">
        <v>815</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560</v>
      </c>
      <c r="B47" s="1666" t="s">
        <v>32</v>
      </c>
      <c r="C47" s="1667">
        <f>SUM(C44:C46)</f>
        <v>130638</v>
      </c>
      <c r="D47" s="1667">
        <f t="shared" ref="D47:K47" si="4">SUM(D44:D46)</f>
        <v>28502</v>
      </c>
      <c r="E47" s="1667">
        <f t="shared" si="4"/>
        <v>47491</v>
      </c>
      <c r="F47" s="1667">
        <f t="shared" si="4"/>
        <v>20471</v>
      </c>
      <c r="G47" s="1667">
        <f t="shared" si="4"/>
        <v>47307</v>
      </c>
      <c r="H47" s="1667">
        <f t="shared" si="4"/>
        <v>0</v>
      </c>
      <c r="I47" s="1667">
        <f t="shared" si="4"/>
        <v>0</v>
      </c>
      <c r="J47" s="1667">
        <f t="shared" si="4"/>
        <v>0</v>
      </c>
      <c r="K47" s="1667">
        <f t="shared" si="4"/>
        <v>274409</v>
      </c>
      <c r="L47" s="1667">
        <f>SUM(L44:L46)</f>
        <v>300890</v>
      </c>
    </row>
    <row r="48" spans="1:14" ht="15.75" customHeight="1" thickTop="1" x14ac:dyDescent="0.2">
      <c r="A48" s="621" t="s">
        <v>609</v>
      </c>
      <c r="B48" s="622"/>
      <c r="C48" s="623"/>
      <c r="D48" s="623"/>
      <c r="E48" s="623"/>
      <c r="F48" s="623"/>
      <c r="G48" s="623"/>
      <c r="H48" s="623"/>
      <c r="I48" s="613"/>
      <c r="J48" s="613"/>
      <c r="K48" s="623"/>
      <c r="L48" s="623"/>
    </row>
    <row r="49" spans="1:14" x14ac:dyDescent="0.2">
      <c r="A49" s="1501" t="s">
        <v>816</v>
      </c>
      <c r="B49" s="611">
        <v>2310</v>
      </c>
      <c r="C49" s="479">
        <v>0</v>
      </c>
      <c r="D49" s="479">
        <v>0</v>
      </c>
      <c r="E49" s="479">
        <v>20417</v>
      </c>
      <c r="F49" s="479">
        <v>480</v>
      </c>
      <c r="G49" s="479">
        <v>0</v>
      </c>
      <c r="H49" s="479">
        <v>4929</v>
      </c>
      <c r="I49" s="467">
        <v>0</v>
      </c>
      <c r="J49" s="467">
        <v>0</v>
      </c>
      <c r="K49" s="1669">
        <f>SUM(C49:J49)</f>
        <v>25826</v>
      </c>
      <c r="L49" s="479">
        <v>27900</v>
      </c>
    </row>
    <row r="50" spans="1:14" x14ac:dyDescent="0.2">
      <c r="A50" s="1501" t="s">
        <v>817</v>
      </c>
      <c r="B50" s="611">
        <v>2320</v>
      </c>
      <c r="C50" s="467">
        <v>153296</v>
      </c>
      <c r="D50" s="466">
        <v>38626</v>
      </c>
      <c r="E50" s="466">
        <v>865</v>
      </c>
      <c r="F50" s="466">
        <v>83</v>
      </c>
      <c r="G50" s="466">
        <v>0</v>
      </c>
      <c r="H50" s="466">
        <v>1775</v>
      </c>
      <c r="I50" s="467">
        <v>0</v>
      </c>
      <c r="J50" s="467">
        <v>0</v>
      </c>
      <c r="K50" s="1669">
        <f>SUM(C50:J50)</f>
        <v>194645</v>
      </c>
      <c r="L50" s="466">
        <v>197800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297</v>
      </c>
      <c r="B52" s="624" t="s">
        <v>365</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716</v>
      </c>
      <c r="B53" s="1666" t="s">
        <v>33</v>
      </c>
      <c r="C53" s="1667">
        <f>SUM(C49:C52)</f>
        <v>153296</v>
      </c>
      <c r="D53" s="1667">
        <f t="shared" ref="D53:L53" si="5">SUM(D49:D52)</f>
        <v>38626</v>
      </c>
      <c r="E53" s="1667">
        <f t="shared" si="5"/>
        <v>21282</v>
      </c>
      <c r="F53" s="1667">
        <f t="shared" si="5"/>
        <v>563</v>
      </c>
      <c r="G53" s="1667">
        <f t="shared" si="5"/>
        <v>0</v>
      </c>
      <c r="H53" s="1667">
        <f t="shared" si="5"/>
        <v>6704</v>
      </c>
      <c r="I53" s="1667">
        <f t="shared" si="5"/>
        <v>0</v>
      </c>
      <c r="J53" s="1667">
        <f t="shared" si="5"/>
        <v>0</v>
      </c>
      <c r="K53" s="1667">
        <f t="shared" si="5"/>
        <v>220471</v>
      </c>
      <c r="L53" s="1667">
        <f t="shared" si="5"/>
        <v>225700</v>
      </c>
    </row>
    <row r="54" spans="1:14" ht="15.75" customHeight="1" thickTop="1" x14ac:dyDescent="0.2">
      <c r="A54" s="621" t="s">
        <v>610</v>
      </c>
      <c r="B54" s="622"/>
      <c r="C54" s="623"/>
      <c r="D54" s="623"/>
      <c r="E54" s="623"/>
      <c r="F54" s="623"/>
      <c r="G54" s="623"/>
      <c r="H54" s="623"/>
      <c r="I54" s="613"/>
      <c r="J54" s="613"/>
      <c r="K54" s="623"/>
      <c r="L54" s="623"/>
    </row>
    <row r="55" spans="1:14" x14ac:dyDescent="0.2">
      <c r="A55" s="1501" t="s">
        <v>1066</v>
      </c>
      <c r="B55" s="611">
        <v>2410</v>
      </c>
      <c r="C55" s="479">
        <v>201533</v>
      </c>
      <c r="D55" s="479">
        <v>38288</v>
      </c>
      <c r="E55" s="479">
        <v>1771</v>
      </c>
      <c r="F55" s="479">
        <v>1332</v>
      </c>
      <c r="G55" s="479">
        <v>560</v>
      </c>
      <c r="H55" s="479">
        <v>196</v>
      </c>
      <c r="I55" s="467">
        <v>0</v>
      </c>
      <c r="J55" s="467">
        <v>0</v>
      </c>
      <c r="K55" s="1669">
        <f>SUM(C55:J55)</f>
        <v>243680</v>
      </c>
      <c r="L55" s="479">
        <v>246450</v>
      </c>
    </row>
    <row r="56" spans="1:14" ht="12.75" customHeight="1" x14ac:dyDescent="0.2">
      <c r="A56" s="1505" t="s">
        <v>375</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201533</v>
      </c>
      <c r="D57" s="1671">
        <f t="shared" ref="D57:K57" si="6">SUM(D55:D56)</f>
        <v>38288</v>
      </c>
      <c r="E57" s="1671">
        <f t="shared" si="6"/>
        <v>1771</v>
      </c>
      <c r="F57" s="1671">
        <f t="shared" si="6"/>
        <v>1332</v>
      </c>
      <c r="G57" s="1671">
        <f t="shared" si="6"/>
        <v>560</v>
      </c>
      <c r="H57" s="1671">
        <f t="shared" si="6"/>
        <v>196</v>
      </c>
      <c r="I57" s="1671">
        <f t="shared" si="6"/>
        <v>0</v>
      </c>
      <c r="J57" s="1671">
        <f t="shared" si="6"/>
        <v>0</v>
      </c>
      <c r="K57" s="1671">
        <f t="shared" si="6"/>
        <v>243680</v>
      </c>
      <c r="L57" s="1667">
        <f>SUM(L55:L56)</f>
        <v>246450</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501" t="s">
        <v>1067</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462</v>
      </c>
      <c r="B60" s="611">
        <v>2520</v>
      </c>
      <c r="C60" s="466">
        <v>44303</v>
      </c>
      <c r="D60" s="466">
        <v>8280</v>
      </c>
      <c r="E60" s="466">
        <v>14351</v>
      </c>
      <c r="F60" s="466">
        <v>2296</v>
      </c>
      <c r="G60" s="466">
        <v>0</v>
      </c>
      <c r="H60" s="466">
        <v>0</v>
      </c>
      <c r="I60" s="467">
        <v>0</v>
      </c>
      <c r="J60" s="467">
        <v>0</v>
      </c>
      <c r="K60" s="1669">
        <f t="shared" si="7"/>
        <v>69230</v>
      </c>
      <c r="L60" s="466">
        <v>69700</v>
      </c>
      <c r="M60" s="606"/>
      <c r="N60" s="606"/>
    </row>
    <row r="61" spans="1:14" s="343" customFormat="1" x14ac:dyDescent="0.2">
      <c r="A61" s="1501" t="s">
        <v>197</v>
      </c>
      <c r="B61" s="611">
        <v>2540</v>
      </c>
      <c r="C61" s="466">
        <v>0</v>
      </c>
      <c r="D61" s="466">
        <v>0</v>
      </c>
      <c r="E61" s="466">
        <v>2493</v>
      </c>
      <c r="F61" s="466">
        <v>4497</v>
      </c>
      <c r="G61" s="466">
        <v>0</v>
      </c>
      <c r="H61" s="466">
        <v>0</v>
      </c>
      <c r="I61" s="467">
        <v>0</v>
      </c>
      <c r="J61" s="467">
        <v>0</v>
      </c>
      <c r="K61" s="1669">
        <f t="shared" si="7"/>
        <v>6990</v>
      </c>
      <c r="L61" s="466">
        <v>6000</v>
      </c>
      <c r="M61" s="606"/>
      <c r="N61" s="606"/>
    </row>
    <row r="62" spans="1:14" s="343" customFormat="1" x14ac:dyDescent="0.2">
      <c r="A62" s="1501" t="s">
        <v>952</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90827</v>
      </c>
      <c r="D63" s="466">
        <v>15433</v>
      </c>
      <c r="E63" s="466">
        <v>1712</v>
      </c>
      <c r="F63" s="466">
        <v>100638</v>
      </c>
      <c r="G63" s="466">
        <v>0</v>
      </c>
      <c r="H63" s="466">
        <v>0</v>
      </c>
      <c r="I63" s="467">
        <v>0</v>
      </c>
      <c r="J63" s="467">
        <v>0</v>
      </c>
      <c r="K63" s="1669">
        <f t="shared" si="7"/>
        <v>208610</v>
      </c>
      <c r="L63" s="466">
        <v>216900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718</v>
      </c>
      <c r="B65" s="1666" t="s">
        <v>35</v>
      </c>
      <c r="C65" s="1667">
        <f>SUM(C59:C64)</f>
        <v>135130</v>
      </c>
      <c r="D65" s="1667">
        <f t="shared" ref="D65:L65" si="8">SUM(D59:D64)</f>
        <v>23713</v>
      </c>
      <c r="E65" s="1667">
        <f t="shared" si="8"/>
        <v>18556</v>
      </c>
      <c r="F65" s="1667">
        <f t="shared" si="8"/>
        <v>107431</v>
      </c>
      <c r="G65" s="1667">
        <f t="shared" si="8"/>
        <v>0</v>
      </c>
      <c r="H65" s="1667">
        <f t="shared" si="8"/>
        <v>0</v>
      </c>
      <c r="I65" s="1667">
        <f t="shared" si="8"/>
        <v>0</v>
      </c>
      <c r="J65" s="1667">
        <f t="shared" si="8"/>
        <v>0</v>
      </c>
      <c r="K65" s="1667">
        <f t="shared" si="8"/>
        <v>284830</v>
      </c>
      <c r="L65" s="1667">
        <f t="shared" si="8"/>
        <v>292600</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501" t="s">
        <v>1059</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606</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1060</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402</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403</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979</v>
      </c>
      <c r="B73" s="629" t="s">
        <v>573</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810</v>
      </c>
      <c r="B74" s="1673">
        <v>2000</v>
      </c>
      <c r="C74" s="1674">
        <f>SUM(C42,C47,C53,C57,C65,C72,C73)</f>
        <v>664811</v>
      </c>
      <c r="D74" s="1674">
        <f t="shared" ref="D74:K74" si="10">SUM(D42,D47,D53,D57,D65,D72,D73)</f>
        <v>142013</v>
      </c>
      <c r="E74" s="1674">
        <f t="shared" si="10"/>
        <v>89558</v>
      </c>
      <c r="F74" s="1674">
        <f t="shared" si="10"/>
        <v>130586</v>
      </c>
      <c r="G74" s="1674">
        <f t="shared" si="10"/>
        <v>47867</v>
      </c>
      <c r="H74" s="1674">
        <f t="shared" si="10"/>
        <v>6900</v>
      </c>
      <c r="I74" s="1674">
        <f t="shared" si="10"/>
        <v>0</v>
      </c>
      <c r="J74" s="1674">
        <f t="shared" si="10"/>
        <v>0</v>
      </c>
      <c r="K74" s="1674">
        <f t="shared" si="10"/>
        <v>1081735</v>
      </c>
      <c r="L74" s="1674">
        <f>SUM(L42,L47,L53,L57,L65,L72,L73)</f>
        <v>1124540</v>
      </c>
    </row>
    <row r="75" spans="1:14" s="259" customFormat="1" ht="15.75" customHeight="1" thickTop="1" thickBot="1" x14ac:dyDescent="0.25">
      <c r="A75" s="1607" t="s">
        <v>47</v>
      </c>
      <c r="B75" s="1608" t="s">
        <v>574</v>
      </c>
      <c r="C75" s="467">
        <v>0</v>
      </c>
      <c r="D75" s="467">
        <v>0</v>
      </c>
      <c r="E75" s="467">
        <v>0</v>
      </c>
      <c r="F75" s="467">
        <v>0</v>
      </c>
      <c r="G75" s="467">
        <v>0</v>
      </c>
      <c r="H75" s="467">
        <v>0</v>
      </c>
      <c r="I75" s="467">
        <v>0</v>
      </c>
      <c r="J75" s="467">
        <v>0</v>
      </c>
      <c r="K75" s="1667">
        <f>SUM(C75:J75)</f>
        <v>0</v>
      </c>
      <c r="L75" s="573">
        <v>304</v>
      </c>
      <c r="M75" s="610"/>
      <c r="N75" s="610"/>
    </row>
    <row r="76" spans="1:14" s="630" customFormat="1" ht="15.75" customHeight="1" thickTop="1" x14ac:dyDescent="0.2">
      <c r="A76" s="1609" t="s">
        <v>364</v>
      </c>
      <c r="B76" s="1606"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501" t="s">
        <v>495</v>
      </c>
      <c r="B78" s="611">
        <v>4110</v>
      </c>
      <c r="C78" s="613"/>
      <c r="D78" s="613"/>
      <c r="E78" s="479">
        <v>3500</v>
      </c>
      <c r="F78" s="613"/>
      <c r="G78" s="613"/>
      <c r="H78" s="631">
        <v>0</v>
      </c>
      <c r="I78" s="475"/>
      <c r="J78" s="475"/>
      <c r="K78" s="1668">
        <f t="shared" ref="K78:K83" si="11">SUM(C78:J78)</f>
        <v>3500</v>
      </c>
      <c r="L78" s="479">
        <v>0</v>
      </c>
    </row>
    <row r="79" spans="1:14" x14ac:dyDescent="0.2">
      <c r="A79" s="1501" t="s">
        <v>303</v>
      </c>
      <c r="B79" s="611">
        <v>4120</v>
      </c>
      <c r="C79" s="613"/>
      <c r="D79" s="613"/>
      <c r="E79" s="466">
        <v>0</v>
      </c>
      <c r="F79" s="613"/>
      <c r="G79" s="613"/>
      <c r="H79" s="466">
        <v>0</v>
      </c>
      <c r="I79" s="475"/>
      <c r="J79" s="475"/>
      <c r="K79" s="1668">
        <f t="shared" si="11"/>
        <v>0</v>
      </c>
      <c r="L79" s="466">
        <v>0</v>
      </c>
    </row>
    <row r="80" spans="1:14" x14ac:dyDescent="0.2">
      <c r="A80" s="1501" t="s">
        <v>304</v>
      </c>
      <c r="B80" s="611">
        <v>4130</v>
      </c>
      <c r="C80" s="613"/>
      <c r="D80" s="613"/>
      <c r="E80" s="466">
        <v>0</v>
      </c>
      <c r="F80" s="613"/>
      <c r="G80" s="613"/>
      <c r="H80" s="466">
        <v>0</v>
      </c>
      <c r="I80" s="475"/>
      <c r="J80" s="475"/>
      <c r="K80" s="1668">
        <f t="shared" si="11"/>
        <v>0</v>
      </c>
      <c r="L80" s="466">
        <v>0</v>
      </c>
    </row>
    <row r="81" spans="1:12" x14ac:dyDescent="0.2">
      <c r="A81" s="1501" t="s">
        <v>696</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697</v>
      </c>
      <c r="B83" s="625">
        <v>4190</v>
      </c>
      <c r="C83" s="613"/>
      <c r="D83" s="613"/>
      <c r="E83" s="466">
        <v>0</v>
      </c>
      <c r="F83" s="613"/>
      <c r="G83" s="613"/>
      <c r="H83" s="466">
        <v>0</v>
      </c>
      <c r="I83" s="475"/>
      <c r="J83" s="475"/>
      <c r="K83" s="1668">
        <f t="shared" si="11"/>
        <v>0</v>
      </c>
      <c r="L83" s="466">
        <v>0</v>
      </c>
    </row>
    <row r="84" spans="1:12" ht="13.5" thickBot="1" x14ac:dyDescent="0.25">
      <c r="A84" s="1665" t="s">
        <v>1484</v>
      </c>
      <c r="B84" s="1675">
        <v>4100</v>
      </c>
      <c r="C84" s="613"/>
      <c r="D84" s="613"/>
      <c r="E84" s="1667">
        <f>SUM(E78:E83)</f>
        <v>3500</v>
      </c>
      <c r="F84" s="613"/>
      <c r="G84" s="613"/>
      <c r="H84" s="1667">
        <f>SUM(H78:H83)</f>
        <v>0</v>
      </c>
      <c r="I84" s="475"/>
      <c r="J84" s="475"/>
      <c r="K84" s="1667">
        <f>SUM(K78:K83)</f>
        <v>3500</v>
      </c>
      <c r="L84" s="1667">
        <f>SUM(L78:L83)</f>
        <v>0</v>
      </c>
    </row>
    <row r="85" spans="1:12" ht="12.75" customHeight="1" thickTop="1" thickBot="1" x14ac:dyDescent="0.25">
      <c r="A85" s="1508" t="s">
        <v>255</v>
      </c>
      <c r="B85" s="632">
        <v>4210</v>
      </c>
      <c r="C85" s="613"/>
      <c r="D85" s="613"/>
      <c r="E85" s="633"/>
      <c r="F85" s="613"/>
      <c r="G85" s="613"/>
      <c r="H85" s="532">
        <v>32524</v>
      </c>
      <c r="I85" s="475"/>
      <c r="J85" s="475"/>
      <c r="K85" s="1674">
        <f>H85</f>
        <v>32524</v>
      </c>
      <c r="L85" s="527">
        <v>38000</v>
      </c>
    </row>
    <row r="86" spans="1:12" ht="12.75" customHeight="1" thickTop="1" thickBot="1" x14ac:dyDescent="0.25">
      <c r="A86" s="1509" t="s">
        <v>698</v>
      </c>
      <c r="B86" s="634">
        <v>4220</v>
      </c>
      <c r="C86" s="613"/>
      <c r="D86" s="613"/>
      <c r="E86" s="635"/>
      <c r="F86" s="613"/>
      <c r="G86" s="613"/>
      <c r="H86" s="467">
        <v>257234</v>
      </c>
      <c r="I86" s="475"/>
      <c r="J86" s="475"/>
      <c r="K86" s="1674">
        <f t="shared" ref="K86:K98" si="12">H86</f>
        <v>257234</v>
      </c>
      <c r="L86" s="527">
        <v>260000</v>
      </c>
    </row>
    <row r="87" spans="1:12" ht="14.25" thickTop="1" thickBot="1" x14ac:dyDescent="0.25">
      <c r="A87" s="1510" t="s">
        <v>699</v>
      </c>
      <c r="B87" s="636">
        <v>4230</v>
      </c>
      <c r="C87" s="613"/>
      <c r="D87" s="613"/>
      <c r="E87" s="635"/>
      <c r="F87" s="613"/>
      <c r="G87" s="613"/>
      <c r="H87" s="467">
        <v>0</v>
      </c>
      <c r="I87" s="475"/>
      <c r="J87" s="475"/>
      <c r="K87" s="1674">
        <f t="shared" si="12"/>
        <v>0</v>
      </c>
      <c r="L87" s="527">
        <v>0</v>
      </c>
    </row>
    <row r="88" spans="1:12" ht="12.75" customHeight="1" thickTop="1" thickBot="1" x14ac:dyDescent="0.25">
      <c r="A88" s="1510" t="s">
        <v>764</v>
      </c>
      <c r="B88" s="636">
        <v>4240</v>
      </c>
      <c r="C88" s="613"/>
      <c r="D88" s="613"/>
      <c r="E88" s="635"/>
      <c r="F88" s="613"/>
      <c r="G88" s="613"/>
      <c r="H88" s="467">
        <v>0</v>
      </c>
      <c r="I88" s="475"/>
      <c r="J88" s="475"/>
      <c r="K88" s="1674">
        <f t="shared" si="12"/>
        <v>0</v>
      </c>
      <c r="L88" s="527">
        <v>0</v>
      </c>
    </row>
    <row r="89" spans="1:12" ht="12.75" customHeight="1" thickTop="1" thickBot="1" x14ac:dyDescent="0.25">
      <c r="A89" s="1510" t="s">
        <v>700</v>
      </c>
      <c r="B89" s="636">
        <v>4270</v>
      </c>
      <c r="C89" s="613"/>
      <c r="D89" s="613"/>
      <c r="E89" s="635"/>
      <c r="F89" s="613"/>
      <c r="G89" s="613"/>
      <c r="H89" s="467">
        <v>0</v>
      </c>
      <c r="I89" s="475"/>
      <c r="J89" s="475"/>
      <c r="K89" s="1674">
        <f t="shared" si="12"/>
        <v>0</v>
      </c>
      <c r="L89" s="527">
        <v>0</v>
      </c>
    </row>
    <row r="90" spans="1:12" ht="12.75" customHeight="1" thickTop="1" thickBot="1" x14ac:dyDescent="0.25">
      <c r="A90" s="1510" t="s">
        <v>685</v>
      </c>
      <c r="B90" s="636">
        <v>4280</v>
      </c>
      <c r="C90" s="613"/>
      <c r="D90" s="613"/>
      <c r="E90" s="635"/>
      <c r="F90" s="613"/>
      <c r="G90" s="613"/>
      <c r="H90" s="467">
        <v>0</v>
      </c>
      <c r="I90" s="475"/>
      <c r="J90" s="475"/>
      <c r="K90" s="1674">
        <f t="shared" si="12"/>
        <v>0</v>
      </c>
      <c r="L90" s="527">
        <v>0</v>
      </c>
    </row>
    <row r="91" spans="1:12" ht="12.75" customHeight="1" thickTop="1" thickBot="1" x14ac:dyDescent="0.25">
      <c r="A91" s="1510" t="s">
        <v>686</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289758</v>
      </c>
      <c r="I92" s="475"/>
      <c r="J92" s="475"/>
      <c r="K92" s="1674">
        <f t="shared" si="12"/>
        <v>289758</v>
      </c>
      <c r="L92" s="1667">
        <f>SUM(L85:L91)</f>
        <v>298000</v>
      </c>
    </row>
    <row r="93" spans="1:12" ht="14.25" thickTop="1" thickBot="1" x14ac:dyDescent="0.25">
      <c r="A93" s="1509" t="s">
        <v>687</v>
      </c>
      <c r="B93" s="637">
        <v>4310</v>
      </c>
      <c r="C93" s="613"/>
      <c r="D93" s="613"/>
      <c r="E93" s="635"/>
      <c r="F93" s="613"/>
      <c r="G93" s="613"/>
      <c r="H93" s="638">
        <v>0</v>
      </c>
      <c r="I93" s="475"/>
      <c r="J93" s="475"/>
      <c r="K93" s="1674">
        <f t="shared" si="12"/>
        <v>0</v>
      </c>
      <c r="L93" s="529">
        <v>0</v>
      </c>
    </row>
    <row r="94" spans="1:12" ht="12.75" customHeight="1" thickTop="1" thickBot="1" x14ac:dyDescent="0.25">
      <c r="A94" s="1510" t="s">
        <v>688</v>
      </c>
      <c r="B94" s="636">
        <v>4320</v>
      </c>
      <c r="C94" s="613"/>
      <c r="D94" s="613"/>
      <c r="E94" s="635"/>
      <c r="F94" s="613"/>
      <c r="G94" s="613"/>
      <c r="H94" s="467">
        <v>0</v>
      </c>
      <c r="I94" s="475"/>
      <c r="J94" s="475"/>
      <c r="K94" s="1674">
        <f t="shared" si="12"/>
        <v>0</v>
      </c>
      <c r="L94" s="527">
        <v>0</v>
      </c>
    </row>
    <row r="95" spans="1:12" ht="15" customHeight="1" thickTop="1" thickBot="1" x14ac:dyDescent="0.25">
      <c r="A95" s="1510" t="s">
        <v>1487</v>
      </c>
      <c r="B95" s="636">
        <v>4330</v>
      </c>
      <c r="C95" s="613"/>
      <c r="D95" s="613"/>
      <c r="E95" s="635"/>
      <c r="F95" s="613"/>
      <c r="G95" s="613"/>
      <c r="H95" s="467">
        <v>0</v>
      </c>
      <c r="I95" s="475"/>
      <c r="J95" s="475"/>
      <c r="K95" s="1674">
        <f t="shared" si="12"/>
        <v>0</v>
      </c>
      <c r="L95" s="527">
        <v>0</v>
      </c>
    </row>
    <row r="96" spans="1:12" ht="14.25" thickTop="1" thickBot="1" x14ac:dyDescent="0.25">
      <c r="A96" s="1510" t="s">
        <v>689</v>
      </c>
      <c r="B96" s="636">
        <v>4340</v>
      </c>
      <c r="C96" s="613"/>
      <c r="D96" s="613"/>
      <c r="E96" s="635"/>
      <c r="F96" s="613"/>
      <c r="G96" s="613"/>
      <c r="H96" s="467">
        <v>0</v>
      </c>
      <c r="I96" s="475"/>
      <c r="J96" s="475"/>
      <c r="K96" s="1674">
        <f t="shared" si="12"/>
        <v>0</v>
      </c>
      <c r="L96" s="527">
        <v>0</v>
      </c>
    </row>
    <row r="97" spans="1:14" ht="12.75" customHeight="1" thickTop="1" thickBot="1" x14ac:dyDescent="0.25">
      <c r="A97" s="1510" t="s">
        <v>762</v>
      </c>
      <c r="B97" s="636">
        <v>4370</v>
      </c>
      <c r="C97" s="613"/>
      <c r="D97" s="613"/>
      <c r="E97" s="635"/>
      <c r="F97" s="613"/>
      <c r="G97" s="613"/>
      <c r="H97" s="467">
        <v>0</v>
      </c>
      <c r="I97" s="475"/>
      <c r="J97" s="475"/>
      <c r="K97" s="1674">
        <f t="shared" si="12"/>
        <v>0</v>
      </c>
      <c r="L97" s="527">
        <v>0</v>
      </c>
    </row>
    <row r="98" spans="1:14" ht="14.25" thickTop="1" thickBot="1" x14ac:dyDescent="0.25">
      <c r="A98" s="1510" t="s">
        <v>763</v>
      </c>
      <c r="B98" s="636">
        <v>4380</v>
      </c>
      <c r="C98" s="613"/>
      <c r="D98" s="613"/>
      <c r="E98" s="639"/>
      <c r="F98" s="613"/>
      <c r="G98" s="613"/>
      <c r="H98" s="467">
        <v>0</v>
      </c>
      <c r="I98" s="475"/>
      <c r="J98" s="475"/>
      <c r="K98" s="1674">
        <f t="shared" si="12"/>
        <v>0</v>
      </c>
      <c r="L98" s="527">
        <v>0</v>
      </c>
    </row>
    <row r="99" spans="1:14" ht="14.25" thickTop="1" thickBot="1" x14ac:dyDescent="0.25">
      <c r="A99" s="1510" t="s">
        <v>366</v>
      </c>
      <c r="B99" s="636">
        <v>4390</v>
      </c>
      <c r="C99" s="613"/>
      <c r="D99" s="613"/>
      <c r="E99" s="529">
        <v>0</v>
      </c>
      <c r="F99" s="613"/>
      <c r="G99" s="613"/>
      <c r="H99" s="467">
        <v>0</v>
      </c>
      <c r="I99" s="475"/>
      <c r="J99" s="475"/>
      <c r="K99" s="1674">
        <f>SUM(E99,H99)</f>
        <v>0</v>
      </c>
      <c r="L99" s="527">
        <v>0</v>
      </c>
    </row>
    <row r="100" spans="1:14" ht="14.25" thickTop="1" thickBot="1" x14ac:dyDescent="0.25">
      <c r="A100" s="1677" t="s">
        <v>1485</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1488</v>
      </c>
      <c r="B101" s="640" t="s">
        <v>930</v>
      </c>
      <c r="C101" s="613"/>
      <c r="D101" s="613"/>
      <c r="E101" s="528">
        <v>0</v>
      </c>
      <c r="F101" s="613"/>
      <c r="G101" s="613"/>
      <c r="H101" s="528">
        <v>0</v>
      </c>
      <c r="I101" s="475"/>
      <c r="J101" s="475"/>
      <c r="K101" s="1676">
        <f>SUM(C101:J101)</f>
        <v>0</v>
      </c>
      <c r="L101" s="527">
        <v>0</v>
      </c>
    </row>
    <row r="102" spans="1:14" ht="12.75" customHeight="1" thickTop="1" thickBot="1" x14ac:dyDescent="0.25">
      <c r="A102" s="1665" t="s">
        <v>1486</v>
      </c>
      <c r="B102" s="1675">
        <v>4000</v>
      </c>
      <c r="C102" s="613"/>
      <c r="D102" s="613"/>
      <c r="E102" s="1674">
        <f>SUM(E84,E92,E100,E101)</f>
        <v>3500</v>
      </c>
      <c r="F102" s="613"/>
      <c r="G102" s="613"/>
      <c r="H102" s="1674">
        <f>SUM(H84,H92,H100,H101)</f>
        <v>289758</v>
      </c>
      <c r="I102" s="475"/>
      <c r="J102" s="475"/>
      <c r="K102" s="1674">
        <f>SUM(K84,K92,K100,K101)</f>
        <v>293258</v>
      </c>
      <c r="L102" s="1674">
        <f>SUM(L84,L92,L100,L101)</f>
        <v>298000</v>
      </c>
    </row>
    <row r="103" spans="1:14" s="630" customFormat="1" ht="15.75" customHeight="1" thickTop="1" x14ac:dyDescent="0.2">
      <c r="A103" s="1609" t="s">
        <v>512</v>
      </c>
      <c r="B103" s="1606"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1169</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588</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1101</v>
      </c>
      <c r="B110" s="1672" t="s">
        <v>717</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367</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637</v>
      </c>
      <c r="B112" s="1666" t="s">
        <v>491</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0"/>
      <c r="D113" s="620"/>
      <c r="E113" s="613"/>
      <c r="F113" s="613"/>
      <c r="G113" s="613"/>
      <c r="H113" s="620"/>
      <c r="I113" s="468"/>
      <c r="J113" s="468"/>
      <c r="K113" s="620"/>
      <c r="L113" s="528">
        <v>100</v>
      </c>
      <c r="M113" s="610"/>
      <c r="N113" s="610"/>
    </row>
    <row r="114" spans="1:14" ht="12.75" customHeight="1" thickTop="1" thickBot="1" x14ac:dyDescent="0.25">
      <c r="A114" s="1665" t="s">
        <v>48</v>
      </c>
      <c r="B114" s="1679"/>
      <c r="C114" s="1667">
        <f>SUM(C33,C74,C75,C102,C112,C113)</f>
        <v>2891173</v>
      </c>
      <c r="D114" s="1667">
        <f t="shared" ref="D114:K114" si="13">SUM(D33,D74,D75,D102,D112,D113)</f>
        <v>728417</v>
      </c>
      <c r="E114" s="1667">
        <f t="shared" si="13"/>
        <v>142929</v>
      </c>
      <c r="F114" s="1667">
        <f t="shared" si="13"/>
        <v>266964</v>
      </c>
      <c r="G114" s="1667">
        <f t="shared" si="13"/>
        <v>50223</v>
      </c>
      <c r="H114" s="1667">
        <f>SUM(H33,H74,H75,H102,H112,H113)</f>
        <v>347946</v>
      </c>
      <c r="I114" s="1667">
        <f t="shared" si="13"/>
        <v>0</v>
      </c>
      <c r="J114" s="1667">
        <f t="shared" si="13"/>
        <v>0</v>
      </c>
      <c r="K114" s="1667">
        <f t="shared" si="13"/>
        <v>4427652</v>
      </c>
      <c r="L114" s="1667">
        <f>SUM(L33,L74,L75,L102,L112,L113)</f>
        <v>4583569</v>
      </c>
    </row>
    <row r="115" spans="1:14" ht="13.5" thickTop="1" x14ac:dyDescent="0.2">
      <c r="A115" s="2172" t="s">
        <v>995</v>
      </c>
      <c r="B115" s="2173"/>
      <c r="C115" s="615"/>
      <c r="D115" s="615"/>
      <c r="E115" s="615"/>
      <c r="F115" s="615"/>
      <c r="G115" s="615"/>
      <c r="H115" s="615"/>
      <c r="I115" s="615"/>
      <c r="J115" s="615"/>
      <c r="K115" s="1681">
        <f>'Revenues 9-14'!C268-'Expenditures 15-22'!K114</f>
        <v>-58144</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295</v>
      </c>
      <c r="B117" s="2178"/>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5" t="s">
        <v>2059</v>
      </c>
      <c r="B120" s="625" t="s">
        <v>715</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501" t="s">
        <v>1067</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195223</v>
      </c>
      <c r="D124" s="466">
        <v>37728</v>
      </c>
      <c r="E124" s="466">
        <v>146564</v>
      </c>
      <c r="F124" s="466">
        <v>24588</v>
      </c>
      <c r="G124" s="466">
        <v>12865</v>
      </c>
      <c r="H124" s="466">
        <v>0</v>
      </c>
      <c r="I124" s="467">
        <v>0</v>
      </c>
      <c r="J124" s="467">
        <v>0</v>
      </c>
      <c r="K124" s="1667">
        <f>SUM(C124:J124)</f>
        <v>416968</v>
      </c>
      <c r="L124" s="466">
        <v>474700</v>
      </c>
    </row>
    <row r="125" spans="1:14" ht="14.25" thickTop="1" thickBot="1" x14ac:dyDescent="0.25">
      <c r="A125" s="1501" t="s">
        <v>952</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718</v>
      </c>
      <c r="B127" s="1666" t="s">
        <v>35</v>
      </c>
      <c r="C127" s="1667">
        <f>SUM(C122:C126)</f>
        <v>195223</v>
      </c>
      <c r="D127" s="1667">
        <f t="shared" ref="D127:L127" si="14">SUM(D122:D126)</f>
        <v>37728</v>
      </c>
      <c r="E127" s="1667">
        <f t="shared" si="14"/>
        <v>146564</v>
      </c>
      <c r="F127" s="1667">
        <f t="shared" si="14"/>
        <v>24588</v>
      </c>
      <c r="G127" s="1667">
        <f t="shared" si="14"/>
        <v>12865</v>
      </c>
      <c r="H127" s="1667">
        <f t="shared" si="14"/>
        <v>0</v>
      </c>
      <c r="I127" s="1667">
        <f t="shared" si="14"/>
        <v>0</v>
      </c>
      <c r="J127" s="1667">
        <f t="shared" si="14"/>
        <v>0</v>
      </c>
      <c r="K127" s="1667">
        <f t="shared" si="14"/>
        <v>416968</v>
      </c>
      <c r="L127" s="1667">
        <f t="shared" si="14"/>
        <v>474700</v>
      </c>
    </row>
    <row r="128" spans="1:14" ht="12.75" customHeight="1" thickTop="1" x14ac:dyDescent="0.2">
      <c r="A128" s="1508" t="s">
        <v>979</v>
      </c>
      <c r="B128" s="652" t="s">
        <v>573</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810</v>
      </c>
      <c r="B129" s="1684" t="s">
        <v>568</v>
      </c>
      <c r="C129" s="1674">
        <f>SUM(C120,C127,C128)</f>
        <v>195223</v>
      </c>
      <c r="D129" s="1674">
        <f t="shared" ref="D129:L129" si="15">SUM(D120,D127,D128)</f>
        <v>37728</v>
      </c>
      <c r="E129" s="1674">
        <f t="shared" si="15"/>
        <v>146564</v>
      </c>
      <c r="F129" s="1674">
        <f t="shared" si="15"/>
        <v>24588</v>
      </c>
      <c r="G129" s="1674">
        <f t="shared" si="15"/>
        <v>12865</v>
      </c>
      <c r="H129" s="1674">
        <f t="shared" si="15"/>
        <v>0</v>
      </c>
      <c r="I129" s="1674">
        <f t="shared" si="15"/>
        <v>0</v>
      </c>
      <c r="J129" s="1674">
        <f t="shared" si="15"/>
        <v>0</v>
      </c>
      <c r="K129" s="1674">
        <f t="shared" si="15"/>
        <v>416968</v>
      </c>
      <c r="L129" s="1674">
        <f t="shared" si="15"/>
        <v>474700</v>
      </c>
    </row>
    <row r="130" spans="1:14" ht="15.75" customHeight="1" thickTop="1" thickBot="1" x14ac:dyDescent="0.25">
      <c r="A130" s="1607" t="s">
        <v>1035</v>
      </c>
      <c r="B130" s="1608" t="s">
        <v>574</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615</v>
      </c>
      <c r="B131" s="1606"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7" t="s">
        <v>495</v>
      </c>
      <c r="B133" s="1838" t="s">
        <v>1844</v>
      </c>
      <c r="C133" s="468"/>
      <c r="D133" s="468"/>
      <c r="E133" s="638">
        <v>0</v>
      </c>
      <c r="F133" s="468"/>
      <c r="G133" s="468"/>
      <c r="H133" s="638">
        <v>0</v>
      </c>
      <c r="I133" s="468"/>
      <c r="J133" s="468"/>
      <c r="K133" s="1818">
        <f>SUM(E133,H133)</f>
        <v>0</v>
      </c>
      <c r="L133" s="638">
        <v>0</v>
      </c>
      <c r="M133" s="206"/>
      <c r="N133" s="206"/>
    </row>
    <row r="134" spans="1:14" x14ac:dyDescent="0.2">
      <c r="A134" s="1501" t="s">
        <v>303</v>
      </c>
      <c r="B134" s="611">
        <v>4120</v>
      </c>
      <c r="C134" s="613"/>
      <c r="D134" s="613"/>
      <c r="E134" s="476">
        <v>0</v>
      </c>
      <c r="F134" s="613"/>
      <c r="G134" s="613"/>
      <c r="H134" s="479">
        <v>0</v>
      </c>
      <c r="I134" s="475"/>
      <c r="J134" s="613"/>
      <c r="K134" s="1669">
        <f>SUM(E134,H134)</f>
        <v>0</v>
      </c>
      <c r="L134" s="479">
        <v>0</v>
      </c>
    </row>
    <row r="135" spans="1:14" x14ac:dyDescent="0.2">
      <c r="A135" s="1501" t="s">
        <v>696</v>
      </c>
      <c r="B135" s="611">
        <v>4140</v>
      </c>
      <c r="C135" s="613"/>
      <c r="D135" s="613"/>
      <c r="E135" s="467">
        <v>0</v>
      </c>
      <c r="F135" s="613"/>
      <c r="G135" s="613"/>
      <c r="H135" s="466">
        <v>0</v>
      </c>
      <c r="I135" s="475"/>
      <c r="J135" s="613"/>
      <c r="K135" s="1669">
        <f>SUM(E135,H135)</f>
        <v>0</v>
      </c>
      <c r="L135" s="466">
        <v>0</v>
      </c>
    </row>
    <row r="136" spans="1:14" x14ac:dyDescent="0.2">
      <c r="A136" s="1505" t="s">
        <v>697</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479</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930</v>
      </c>
      <c r="C138" s="613"/>
      <c r="D138" s="613"/>
      <c r="E138" s="573">
        <v>0</v>
      </c>
      <c r="F138" s="613"/>
      <c r="G138" s="613"/>
      <c r="H138" s="573">
        <v>0</v>
      </c>
      <c r="I138" s="475"/>
      <c r="J138" s="613"/>
      <c r="K138" s="1669">
        <f>SUM(E138,H138)</f>
        <v>0</v>
      </c>
      <c r="L138" s="573">
        <v>0</v>
      </c>
    </row>
    <row r="139" spans="1:14" ht="12.75" customHeight="1" thickTop="1" thickBot="1" x14ac:dyDescent="0.25">
      <c r="A139" s="1665" t="s">
        <v>1486</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1036</v>
      </c>
      <c r="B140" s="1610"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1169</v>
      </c>
      <c r="B144" s="625" t="s">
        <v>616</v>
      </c>
      <c r="C144" s="613"/>
      <c r="D144" s="613"/>
      <c r="E144" s="613"/>
      <c r="F144" s="613"/>
      <c r="G144" s="613"/>
      <c r="H144" s="466">
        <v>0</v>
      </c>
      <c r="I144" s="468"/>
      <c r="J144" s="613"/>
      <c r="K144" s="1669">
        <f>SUM(H144)</f>
        <v>0</v>
      </c>
      <c r="L144" s="466">
        <v>0</v>
      </c>
    </row>
    <row r="145" spans="1:14" x14ac:dyDescent="0.2">
      <c r="A145" s="1501" t="s">
        <v>89</v>
      </c>
      <c r="B145" s="611" t="s">
        <v>588</v>
      </c>
      <c r="C145" s="613"/>
      <c r="D145" s="613"/>
      <c r="E145" s="613"/>
      <c r="F145" s="613"/>
      <c r="G145" s="613"/>
      <c r="H145" s="466">
        <v>0</v>
      </c>
      <c r="I145" s="468"/>
      <c r="J145" s="613"/>
      <c r="K145" s="1669">
        <f>SUM(H145)</f>
        <v>0</v>
      </c>
      <c r="L145" s="466">
        <v>0</v>
      </c>
    </row>
    <row r="146" spans="1:14" ht="12.75" customHeight="1" x14ac:dyDescent="0.2">
      <c r="A146" s="1501" t="s">
        <v>618</v>
      </c>
      <c r="B146" s="611" t="s">
        <v>617</v>
      </c>
      <c r="C146" s="613"/>
      <c r="D146" s="613"/>
      <c r="E146" s="613"/>
      <c r="F146" s="613"/>
      <c r="G146" s="613"/>
      <c r="H146" s="466">
        <v>0</v>
      </c>
      <c r="I146" s="468"/>
      <c r="J146" s="613"/>
      <c r="K146" s="1669">
        <f>SUM(H146)</f>
        <v>0</v>
      </c>
      <c r="L146" s="466">
        <v>0</v>
      </c>
    </row>
    <row r="147" spans="1:14" ht="12.75" customHeight="1" thickBot="1" x14ac:dyDescent="0.25">
      <c r="A147" s="1512" t="s">
        <v>625</v>
      </c>
      <c r="B147" s="656" t="s">
        <v>717</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1102</v>
      </c>
      <c r="B148" s="658" t="s">
        <v>38</v>
      </c>
      <c r="C148" s="613"/>
      <c r="D148" s="613"/>
      <c r="E148" s="613"/>
      <c r="F148" s="613"/>
      <c r="G148" s="613"/>
      <c r="H148" s="477">
        <v>0</v>
      </c>
      <c r="I148" s="468"/>
      <c r="J148" s="613"/>
      <c r="K148" s="1669">
        <f>SUM(H148)</f>
        <v>0</v>
      </c>
      <c r="L148" s="489">
        <v>0</v>
      </c>
    </row>
    <row r="149" spans="1:14" ht="12.75" customHeight="1" thickBot="1" x14ac:dyDescent="0.25">
      <c r="A149" s="1504" t="s">
        <v>637</v>
      </c>
      <c r="B149" s="614" t="s">
        <v>491</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1037</v>
      </c>
      <c r="B150" s="1610" t="s">
        <v>860</v>
      </c>
      <c r="C150" s="613"/>
      <c r="D150" s="613"/>
      <c r="E150" s="613"/>
      <c r="F150" s="613"/>
      <c r="G150" s="613"/>
      <c r="H150" s="659"/>
      <c r="I150" s="518"/>
      <c r="J150" s="613"/>
      <c r="K150" s="620"/>
      <c r="L150" s="570">
        <v>100</v>
      </c>
    </row>
    <row r="151" spans="1:14" ht="12.75" customHeight="1" thickTop="1" thickBot="1" x14ac:dyDescent="0.25">
      <c r="A151" s="2189" t="s">
        <v>619</v>
      </c>
      <c r="B151" s="2169"/>
      <c r="C151" s="1667">
        <f>SUM(C129,C130,C139,C149,C150)</f>
        <v>195223</v>
      </c>
      <c r="D151" s="1667">
        <f t="shared" ref="D151:K151" si="16">SUM(D129,D130,D139,D149,D150)</f>
        <v>37728</v>
      </c>
      <c r="E151" s="1667">
        <f t="shared" si="16"/>
        <v>146564</v>
      </c>
      <c r="F151" s="1667">
        <f t="shared" si="16"/>
        <v>24588</v>
      </c>
      <c r="G151" s="1667">
        <f t="shared" si="16"/>
        <v>12865</v>
      </c>
      <c r="H151" s="1667">
        <f t="shared" si="16"/>
        <v>0</v>
      </c>
      <c r="I151" s="1667">
        <f t="shared" si="16"/>
        <v>0</v>
      </c>
      <c r="J151" s="1667">
        <f t="shared" si="16"/>
        <v>0</v>
      </c>
      <c r="K151" s="1667">
        <f t="shared" si="16"/>
        <v>416968</v>
      </c>
      <c r="L151" s="1667">
        <f>SUM(L129,L130,L139,L149,L150)</f>
        <v>474800</v>
      </c>
    </row>
    <row r="152" spans="1:14" ht="12.75" customHeight="1" thickTop="1" x14ac:dyDescent="0.2">
      <c r="A152" s="2192" t="s">
        <v>1177</v>
      </c>
      <c r="B152" s="2193"/>
      <c r="C152" s="615"/>
      <c r="D152" s="615"/>
      <c r="E152" s="615"/>
      <c r="F152" s="615"/>
      <c r="G152" s="615"/>
      <c r="H152" s="615"/>
      <c r="I152" s="615"/>
      <c r="J152" s="613"/>
      <c r="K152" s="1681">
        <f>'Revenues 9-14'!D268-'Expenditures 15-22'!K151</f>
        <v>43729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620</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859</v>
      </c>
      <c r="C155" s="613"/>
      <c r="D155" s="613"/>
      <c r="E155" s="613"/>
      <c r="F155" s="613"/>
      <c r="G155" s="613"/>
      <c r="H155" s="1839"/>
      <c r="I155" s="613"/>
      <c r="J155" s="613"/>
      <c r="K155" s="1822"/>
      <c r="L155" s="1839"/>
      <c r="M155" s="616"/>
      <c r="N155" s="616"/>
    </row>
    <row r="156" spans="1:14" s="617" customFormat="1" ht="15.75" customHeight="1" thickTop="1" x14ac:dyDescent="0.2">
      <c r="A156" s="1819" t="s">
        <v>1845</v>
      </c>
      <c r="B156" s="1820"/>
      <c r="C156" s="613"/>
      <c r="D156" s="613"/>
      <c r="E156" s="613"/>
      <c r="F156" s="613"/>
      <c r="G156" s="613"/>
      <c r="H156" s="1840"/>
      <c r="I156" s="613"/>
      <c r="J156" s="613"/>
      <c r="K156" s="1821"/>
      <c r="L156" s="1840"/>
      <c r="M156" s="616"/>
      <c r="N156" s="616"/>
    </row>
    <row r="157" spans="1:14" s="617" customFormat="1" ht="12" x14ac:dyDescent="0.2">
      <c r="A157" s="1823" t="s">
        <v>495</v>
      </c>
      <c r="B157" s="1824" t="s">
        <v>1844</v>
      </c>
      <c r="C157" s="613"/>
      <c r="D157" s="613"/>
      <c r="E157" s="613"/>
      <c r="F157" s="613"/>
      <c r="G157" s="613"/>
      <c r="H157" s="638">
        <v>0</v>
      </c>
      <c r="I157" s="613"/>
      <c r="J157" s="613"/>
      <c r="K157" s="1668">
        <f>H157</f>
        <v>0</v>
      </c>
      <c r="L157" s="467">
        <v>0</v>
      </c>
      <c r="M157" s="616"/>
      <c r="N157" s="616"/>
    </row>
    <row r="158" spans="1:14" s="617" customFormat="1" ht="12" x14ac:dyDescent="0.2">
      <c r="A158" s="1823" t="s">
        <v>303</v>
      </c>
      <c r="B158" s="1824" t="s">
        <v>1846</v>
      </c>
      <c r="C158" s="613"/>
      <c r="D158" s="613"/>
      <c r="E158" s="613"/>
      <c r="F158" s="613"/>
      <c r="G158" s="613"/>
      <c r="H158" s="467">
        <v>0</v>
      </c>
      <c r="I158" s="613"/>
      <c r="J158" s="613"/>
      <c r="K158" s="1668">
        <f>H158</f>
        <v>0</v>
      </c>
      <c r="L158" s="467">
        <v>0</v>
      </c>
      <c r="M158" s="616"/>
      <c r="N158" s="616"/>
    </row>
    <row r="159" spans="1:14" s="617" customFormat="1" ht="12" x14ac:dyDescent="0.2">
      <c r="A159" s="1823" t="s">
        <v>1847</v>
      </c>
      <c r="B159" s="1824" t="s">
        <v>557</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1848</v>
      </c>
      <c r="B160" s="1826" t="s">
        <v>859</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1169</v>
      </c>
      <c r="B165" s="611" t="s">
        <v>616</v>
      </c>
      <c r="C165" s="613"/>
      <c r="D165" s="613"/>
      <c r="E165" s="613"/>
      <c r="F165" s="613"/>
      <c r="G165" s="613"/>
      <c r="H165" s="466">
        <v>0</v>
      </c>
      <c r="I165" s="613"/>
      <c r="J165" s="613"/>
      <c r="K165" s="1668">
        <f>SUM(C165:J165)</f>
        <v>0</v>
      </c>
      <c r="L165" s="466">
        <v>0</v>
      </c>
    </row>
    <row r="166" spans="1:14" x14ac:dyDescent="0.2">
      <c r="A166" s="1501" t="s">
        <v>89</v>
      </c>
      <c r="B166" s="625" t="s">
        <v>588</v>
      </c>
      <c r="C166" s="613"/>
      <c r="D166" s="613"/>
      <c r="E166" s="613"/>
      <c r="F166" s="613"/>
      <c r="G166" s="613"/>
      <c r="H166" s="466">
        <v>0</v>
      </c>
      <c r="I166" s="613"/>
      <c r="J166" s="613"/>
      <c r="K166" s="1668">
        <f>SUM(C166:J166)</f>
        <v>0</v>
      </c>
      <c r="L166" s="466">
        <v>0</v>
      </c>
    </row>
    <row r="167" spans="1:14" ht="12.75" customHeight="1" x14ac:dyDescent="0.2">
      <c r="A167" s="1501" t="s">
        <v>618</v>
      </c>
      <c r="B167" s="611" t="s">
        <v>617</v>
      </c>
      <c r="C167" s="613"/>
      <c r="D167" s="613"/>
      <c r="E167" s="613"/>
      <c r="F167" s="613"/>
      <c r="G167" s="613"/>
      <c r="H167" s="466">
        <v>0</v>
      </c>
      <c r="I167" s="613"/>
      <c r="J167" s="613"/>
      <c r="K167" s="1668">
        <f>SUM(C167:J167)</f>
        <v>0</v>
      </c>
      <c r="L167" s="466">
        <v>0</v>
      </c>
    </row>
    <row r="168" spans="1:14" ht="13.5" thickBot="1" x14ac:dyDescent="0.25">
      <c r="A168" s="1665" t="s">
        <v>275</v>
      </c>
      <c r="B168" s="1672" t="s">
        <v>717</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35852</v>
      </c>
      <c r="I169" s="613"/>
      <c r="J169" s="613"/>
      <c r="K169" s="1668">
        <f>SUM(C169:H169)</f>
        <v>35852</v>
      </c>
      <c r="L169" s="653">
        <v>36247</v>
      </c>
    </row>
    <row r="170" spans="1:14" ht="33.75" customHeight="1" x14ac:dyDescent="0.2">
      <c r="A170" s="666" t="s">
        <v>1669</v>
      </c>
      <c r="B170" s="668" t="s">
        <v>31</v>
      </c>
      <c r="C170" s="613"/>
      <c r="D170" s="613"/>
      <c r="E170" s="613"/>
      <c r="F170" s="613"/>
      <c r="G170" s="613"/>
      <c r="H170" s="566">
        <v>299850</v>
      </c>
      <c r="I170" s="613"/>
      <c r="J170" s="613"/>
      <c r="K170" s="1668">
        <f>SUM(C170:J170)</f>
        <v>299850</v>
      </c>
      <c r="L170" s="566">
        <v>299588</v>
      </c>
    </row>
    <row r="171" spans="1:14" ht="15.75" customHeight="1" x14ac:dyDescent="0.2">
      <c r="A171" s="618" t="s">
        <v>765</v>
      </c>
      <c r="B171" s="669" t="s">
        <v>84</v>
      </c>
      <c r="C171" s="613"/>
      <c r="D171" s="613"/>
      <c r="E171" s="466">
        <v>500</v>
      </c>
      <c r="F171" s="613"/>
      <c r="G171" s="613"/>
      <c r="H171" s="566">
        <v>0</v>
      </c>
      <c r="I171" s="475"/>
      <c r="J171" s="613"/>
      <c r="K171" s="1668">
        <f>SUM(C171:J171)</f>
        <v>500</v>
      </c>
      <c r="L171" s="566">
        <v>3000</v>
      </c>
    </row>
    <row r="172" spans="1:14" ht="12.75" customHeight="1" thickBot="1" x14ac:dyDescent="0.25">
      <c r="A172" s="1665" t="s">
        <v>637</v>
      </c>
      <c r="B172" s="1666" t="s">
        <v>491</v>
      </c>
      <c r="C172" s="613"/>
      <c r="D172" s="613"/>
      <c r="E172" s="1674">
        <f>SUM(E168,E169,E170,E171)</f>
        <v>500</v>
      </c>
      <c r="F172" s="613"/>
      <c r="G172" s="613"/>
      <c r="H172" s="1674">
        <f>SUM(H168,H169,H170,H171)</f>
        <v>335702</v>
      </c>
      <c r="I172" s="635"/>
      <c r="J172" s="613"/>
      <c r="K172" s="1674">
        <f>SUM(K168,K169,K170,K171)</f>
        <v>336202</v>
      </c>
      <c r="L172" s="1674">
        <f>SUM(L168,L169,L170,L171)</f>
        <v>338835</v>
      </c>
    </row>
    <row r="173" spans="1:14" ht="15.75" customHeight="1" thickTop="1" thickBot="1" x14ac:dyDescent="0.25">
      <c r="A173" s="1616" t="s">
        <v>85</v>
      </c>
      <c r="B173" s="1608" t="s">
        <v>860</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500</v>
      </c>
      <c r="F174" s="613"/>
      <c r="G174" s="613"/>
      <c r="H174" s="1674">
        <f>SUM(H160,H172,H173)</f>
        <v>335702</v>
      </c>
      <c r="I174" s="635"/>
      <c r="J174" s="613"/>
      <c r="K174" s="1674">
        <f>SUM(K160,K172,K173)</f>
        <v>336202</v>
      </c>
      <c r="L174" s="1674">
        <f>SUM(L160,L172,L173)</f>
        <v>338835</v>
      </c>
    </row>
    <row r="175" spans="1:14" ht="13.5" thickTop="1" x14ac:dyDescent="0.2">
      <c r="A175" s="2172" t="s">
        <v>995</v>
      </c>
      <c r="B175" s="2173"/>
      <c r="C175" s="613"/>
      <c r="D175" s="613"/>
      <c r="E175" s="613"/>
      <c r="F175" s="613"/>
      <c r="G175" s="613"/>
      <c r="H175" s="615"/>
      <c r="I175" s="613"/>
      <c r="J175" s="613"/>
      <c r="K175" s="1681">
        <f>'Revenues 9-14'!E268-'Expenditures 15-22'!K174</f>
        <v>-6453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936</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937</v>
      </c>
      <c r="B178" s="1618"/>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501" t="s">
        <v>2059</v>
      </c>
      <c r="B180" s="611" t="s">
        <v>715</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501" t="s">
        <v>952</v>
      </c>
      <c r="B182" s="611">
        <v>2550</v>
      </c>
      <c r="C182" s="466">
        <v>139548</v>
      </c>
      <c r="D182" s="466">
        <v>2309</v>
      </c>
      <c r="E182" s="466">
        <v>27601</v>
      </c>
      <c r="F182" s="466">
        <v>25899</v>
      </c>
      <c r="G182" s="466">
        <v>0</v>
      </c>
      <c r="H182" s="466">
        <v>541</v>
      </c>
      <c r="I182" s="467">
        <v>0</v>
      </c>
      <c r="J182" s="467">
        <v>0</v>
      </c>
      <c r="K182" s="1668">
        <f>SUM(C182:J182)</f>
        <v>195898</v>
      </c>
      <c r="L182" s="466">
        <v>198500</v>
      </c>
    </row>
    <row r="183" spans="1:14" ht="12.75" customHeight="1" thickBot="1" x14ac:dyDescent="0.25">
      <c r="A183" s="1506" t="s">
        <v>979</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810</v>
      </c>
      <c r="B184" s="1666" t="s">
        <v>568</v>
      </c>
      <c r="C184" s="1674">
        <f>SUM(C180,C182,C183)</f>
        <v>139548</v>
      </c>
      <c r="D184" s="1674">
        <f t="shared" ref="D184:J184" si="17">SUM(D180,D182,D183)</f>
        <v>2309</v>
      </c>
      <c r="E184" s="1674">
        <f t="shared" si="17"/>
        <v>27601</v>
      </c>
      <c r="F184" s="1674">
        <f t="shared" si="17"/>
        <v>25899</v>
      </c>
      <c r="G184" s="1674">
        <f t="shared" si="17"/>
        <v>0</v>
      </c>
      <c r="H184" s="1674">
        <f t="shared" si="17"/>
        <v>541</v>
      </c>
      <c r="I184" s="1674">
        <f t="shared" si="17"/>
        <v>0</v>
      </c>
      <c r="J184" s="1674">
        <f t="shared" si="17"/>
        <v>0</v>
      </c>
      <c r="K184" s="1674">
        <f>SUM(K180,K182,K183)</f>
        <v>195898</v>
      </c>
      <c r="L184" s="1674">
        <f>SUM(L180, L182:L183)</f>
        <v>198500</v>
      </c>
    </row>
    <row r="185" spans="1:14" ht="15.75" customHeight="1" thickTop="1" thickBot="1" x14ac:dyDescent="0.25">
      <c r="A185" s="1619" t="s">
        <v>938</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501" t="s">
        <v>495</v>
      </c>
      <c r="B188" s="611">
        <v>4110</v>
      </c>
      <c r="C188" s="613"/>
      <c r="D188" s="613"/>
      <c r="E188" s="466">
        <v>0</v>
      </c>
      <c r="F188" s="613"/>
      <c r="G188" s="613"/>
      <c r="H188" s="466">
        <v>0</v>
      </c>
      <c r="I188" s="475"/>
      <c r="J188" s="613"/>
      <c r="K188" s="1668">
        <f t="shared" ref="K188:K193" si="18">SUM(E188,H188)</f>
        <v>0</v>
      </c>
      <c r="L188" s="466">
        <v>0</v>
      </c>
    </row>
    <row r="189" spans="1:14" x14ac:dyDescent="0.2">
      <c r="A189" s="1501" t="s">
        <v>303</v>
      </c>
      <c r="B189" s="611">
        <v>4120</v>
      </c>
      <c r="C189" s="613"/>
      <c r="D189" s="613"/>
      <c r="E189" s="466">
        <v>0</v>
      </c>
      <c r="F189" s="613"/>
      <c r="G189" s="613"/>
      <c r="H189" s="466">
        <v>0</v>
      </c>
      <c r="I189" s="475"/>
      <c r="J189" s="613"/>
      <c r="K189" s="1668">
        <f t="shared" si="18"/>
        <v>0</v>
      </c>
      <c r="L189" s="466">
        <v>0</v>
      </c>
    </row>
    <row r="190" spans="1:14" x14ac:dyDescent="0.2">
      <c r="A190" s="1501" t="s">
        <v>304</v>
      </c>
      <c r="B190" s="625">
        <v>4130</v>
      </c>
      <c r="C190" s="613"/>
      <c r="D190" s="613"/>
      <c r="E190" s="466">
        <v>0</v>
      </c>
      <c r="F190" s="613"/>
      <c r="G190" s="613"/>
      <c r="H190" s="466">
        <v>0</v>
      </c>
      <c r="I190" s="475"/>
      <c r="J190" s="613"/>
      <c r="K190" s="1668">
        <f t="shared" si="18"/>
        <v>0</v>
      </c>
      <c r="L190" s="466">
        <v>0</v>
      </c>
    </row>
    <row r="191" spans="1:14" x14ac:dyDescent="0.2">
      <c r="A191" s="1501" t="s">
        <v>696</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697</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1139</v>
      </c>
      <c r="B194" s="1666" t="s">
        <v>558</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930</v>
      </c>
      <c r="C195" s="613"/>
      <c r="D195" s="613"/>
      <c r="E195" s="653">
        <v>0</v>
      </c>
      <c r="F195" s="613"/>
      <c r="G195" s="613"/>
      <c r="H195" s="653">
        <v>0</v>
      </c>
      <c r="I195" s="475"/>
      <c r="J195" s="613"/>
      <c r="K195" s="1682">
        <f>SUM(E195,H195)</f>
        <v>0</v>
      </c>
      <c r="L195" s="653">
        <v>0</v>
      </c>
    </row>
    <row r="196" spans="1:14" ht="12.75" customHeight="1" thickBot="1" x14ac:dyDescent="0.25">
      <c r="A196" s="1665" t="s">
        <v>1486</v>
      </c>
      <c r="B196" s="1666" t="s">
        <v>859</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939</v>
      </c>
      <c r="B197" s="1606"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1169</v>
      </c>
      <c r="B201" s="625" t="s">
        <v>616</v>
      </c>
      <c r="C201" s="613"/>
      <c r="D201" s="613"/>
      <c r="E201" s="613"/>
      <c r="F201" s="613"/>
      <c r="G201" s="613"/>
      <c r="H201" s="466">
        <v>0</v>
      </c>
      <c r="I201" s="613"/>
      <c r="J201" s="613"/>
      <c r="K201" s="1668">
        <f>SUM(H201)</f>
        <v>0</v>
      </c>
      <c r="L201" s="466">
        <v>0</v>
      </c>
    </row>
    <row r="202" spans="1:14" x14ac:dyDescent="0.2">
      <c r="A202" s="1501" t="s">
        <v>89</v>
      </c>
      <c r="B202" s="611" t="s">
        <v>588</v>
      </c>
      <c r="C202" s="613"/>
      <c r="D202" s="613"/>
      <c r="E202" s="613"/>
      <c r="F202" s="613"/>
      <c r="G202" s="613"/>
      <c r="H202" s="466">
        <v>0</v>
      </c>
      <c r="I202" s="613"/>
      <c r="J202" s="613"/>
      <c r="K202" s="1668">
        <f>SUM(H202)</f>
        <v>0</v>
      </c>
      <c r="L202" s="466">
        <v>0</v>
      </c>
    </row>
    <row r="203" spans="1:14" x14ac:dyDescent="0.2">
      <c r="A203" s="1513" t="s">
        <v>618</v>
      </c>
      <c r="B203" s="611" t="s">
        <v>617</v>
      </c>
      <c r="C203" s="613"/>
      <c r="D203" s="613"/>
      <c r="E203" s="613"/>
      <c r="F203" s="613"/>
      <c r="G203" s="613"/>
      <c r="H203" s="471">
        <v>0</v>
      </c>
      <c r="I203" s="613"/>
      <c r="J203" s="613"/>
      <c r="K203" s="1668">
        <f>SUM(H203)</f>
        <v>0</v>
      </c>
      <c r="L203" s="471">
        <v>0</v>
      </c>
    </row>
    <row r="204" spans="1:14" ht="13.5" thickBot="1" x14ac:dyDescent="0.25">
      <c r="A204" s="1665" t="s">
        <v>275</v>
      </c>
      <c r="B204" s="1666" t="s">
        <v>717</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2649</v>
      </c>
      <c r="I205" s="613"/>
      <c r="J205" s="613"/>
      <c r="K205" s="1682">
        <f>SUM(H205)</f>
        <v>2649</v>
      </c>
      <c r="L205" s="532">
        <v>2650</v>
      </c>
    </row>
    <row r="206" spans="1:14" ht="30" customHeight="1" x14ac:dyDescent="0.2">
      <c r="A206" s="678" t="s">
        <v>1670</v>
      </c>
      <c r="B206" s="669" t="s">
        <v>31</v>
      </c>
      <c r="C206" s="613"/>
      <c r="D206" s="613"/>
      <c r="E206" s="613"/>
      <c r="F206" s="613"/>
      <c r="G206" s="613"/>
      <c r="H206" s="466">
        <v>34830</v>
      </c>
      <c r="I206" s="613"/>
      <c r="J206" s="613"/>
      <c r="K206" s="1668">
        <f>SUM(H206)</f>
        <v>34830</v>
      </c>
      <c r="L206" s="466">
        <v>34900</v>
      </c>
    </row>
    <row r="207" spans="1:14" ht="15.75" customHeight="1" x14ac:dyDescent="0.2">
      <c r="A207" s="618" t="s">
        <v>765</v>
      </c>
      <c r="B207" s="669" t="s">
        <v>84</v>
      </c>
      <c r="C207" s="613"/>
      <c r="D207" s="613"/>
      <c r="E207" s="613"/>
      <c r="F207" s="613"/>
      <c r="G207" s="613"/>
      <c r="H207" s="467">
        <v>0</v>
      </c>
      <c r="I207" s="613"/>
      <c r="J207" s="613"/>
      <c r="K207" s="1668">
        <f>H207</f>
        <v>0</v>
      </c>
      <c r="L207" s="466">
        <v>0</v>
      </c>
    </row>
    <row r="208" spans="1:14" ht="12.75" customHeight="1" thickBot="1" x14ac:dyDescent="0.25">
      <c r="A208" s="1683" t="s">
        <v>637</v>
      </c>
      <c r="B208" s="1684" t="s">
        <v>491</v>
      </c>
      <c r="C208" s="613"/>
      <c r="D208" s="613"/>
      <c r="E208" s="613"/>
      <c r="F208" s="613"/>
      <c r="G208" s="613"/>
      <c r="H208" s="1674">
        <f>SUM(H204,H205,H206,H207)</f>
        <v>37479</v>
      </c>
      <c r="I208" s="613"/>
      <c r="J208" s="613"/>
      <c r="K208" s="1674">
        <f>SUM(K204,K205,K206,K207)</f>
        <v>37479</v>
      </c>
      <c r="L208" s="1674">
        <f>SUM(L204,L205,L206,L207)</f>
        <v>37550</v>
      </c>
    </row>
    <row r="209" spans="1:14" ht="15.75" customHeight="1" thickTop="1" thickBot="1" x14ac:dyDescent="0.25">
      <c r="A209" s="1603" t="s">
        <v>871</v>
      </c>
      <c r="B209" s="1610" t="s">
        <v>860</v>
      </c>
      <c r="C209" s="620"/>
      <c r="D209" s="620"/>
      <c r="E209" s="620"/>
      <c r="F209" s="620"/>
      <c r="G209" s="620"/>
      <c r="H209" s="620"/>
      <c r="I209" s="613"/>
      <c r="J209" s="613"/>
      <c r="K209" s="620"/>
      <c r="L209" s="573">
        <v>100</v>
      </c>
    </row>
    <row r="210" spans="1:14" ht="12.75" customHeight="1" thickTop="1" thickBot="1" x14ac:dyDescent="0.25">
      <c r="A210" s="1689" t="s">
        <v>276</v>
      </c>
      <c r="B210" s="1690"/>
      <c r="C210" s="1667">
        <f>SUM(C184,C185)</f>
        <v>139548</v>
      </c>
      <c r="D210" s="1667">
        <f>SUM(D184,D185)</f>
        <v>2309</v>
      </c>
      <c r="E210" s="1667">
        <f>SUM(E184,E185,E196)</f>
        <v>27601</v>
      </c>
      <c r="F210" s="1667">
        <f>SUM(F184,F185)</f>
        <v>25899</v>
      </c>
      <c r="G210" s="1667">
        <f>SUM(G184,G185)</f>
        <v>0</v>
      </c>
      <c r="H210" s="1667">
        <f>SUM(H184,H185,H196,H208,H209)</f>
        <v>38020</v>
      </c>
      <c r="I210" s="1667">
        <f>SUM(I184,I185)</f>
        <v>0</v>
      </c>
      <c r="J210" s="1667">
        <f>SUM(J184,J185)</f>
        <v>0</v>
      </c>
      <c r="K210" s="1668">
        <f>SUM(K184,K185,K196,K208,K209)</f>
        <v>233377</v>
      </c>
      <c r="L210" s="1667">
        <f>SUM(L184,L185,L196,L208,L209)</f>
        <v>236150</v>
      </c>
    </row>
    <row r="211" spans="1:14" ht="13.5" thickTop="1" x14ac:dyDescent="0.2">
      <c r="A211" s="2172" t="s">
        <v>995</v>
      </c>
      <c r="B211" s="2173"/>
      <c r="C211" s="615"/>
      <c r="D211" s="615"/>
      <c r="E211" s="615"/>
      <c r="F211" s="615"/>
      <c r="G211" s="615"/>
      <c r="H211" s="615"/>
      <c r="I211" s="613"/>
      <c r="J211" s="613"/>
      <c r="K211" s="1681">
        <f>'Revenues 9-14'!F268-'Expenditures 15-22'!K210</f>
        <v>3598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964</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872</v>
      </c>
      <c r="B214" s="1612" t="s">
        <v>569</v>
      </c>
      <c r="C214" s="613"/>
      <c r="D214" s="620"/>
      <c r="E214" s="613"/>
      <c r="F214" s="613"/>
      <c r="G214" s="613"/>
      <c r="H214" s="613"/>
      <c r="I214" s="613"/>
      <c r="J214" s="613"/>
      <c r="K214" s="620"/>
      <c r="L214" s="620"/>
      <c r="M214" s="662"/>
      <c r="N214" s="662"/>
    </row>
    <row r="215" spans="1:14" x14ac:dyDescent="0.2">
      <c r="A215" s="1501" t="s">
        <v>960</v>
      </c>
      <c r="B215" s="611">
        <v>1100</v>
      </c>
      <c r="C215" s="613"/>
      <c r="D215" s="466">
        <v>26727</v>
      </c>
      <c r="E215" s="613"/>
      <c r="F215" s="613"/>
      <c r="G215" s="613"/>
      <c r="H215" s="613"/>
      <c r="I215" s="613"/>
      <c r="J215" s="613"/>
      <c r="K215" s="1668">
        <f>D215</f>
        <v>26727</v>
      </c>
      <c r="L215" s="466">
        <v>29100</v>
      </c>
    </row>
    <row r="216" spans="1:14" x14ac:dyDescent="0.2">
      <c r="A216" s="1501" t="s">
        <v>163</v>
      </c>
      <c r="B216" s="611" t="s">
        <v>966</v>
      </c>
      <c r="C216" s="613"/>
      <c r="D216" s="467">
        <v>5593</v>
      </c>
      <c r="E216" s="613"/>
      <c r="F216" s="613"/>
      <c r="G216" s="613"/>
      <c r="H216" s="613"/>
      <c r="I216" s="613"/>
      <c r="J216" s="613"/>
      <c r="K216" s="1668">
        <f t="shared" ref="K216:K228" si="19">D216</f>
        <v>5593</v>
      </c>
      <c r="L216" s="466">
        <v>8000</v>
      </c>
    </row>
    <row r="217" spans="1:14" x14ac:dyDescent="0.2">
      <c r="A217" s="1501" t="s">
        <v>164</v>
      </c>
      <c r="B217" s="611">
        <v>1200</v>
      </c>
      <c r="C217" s="613"/>
      <c r="D217" s="466">
        <v>6260</v>
      </c>
      <c r="E217" s="613"/>
      <c r="F217" s="613"/>
      <c r="G217" s="613"/>
      <c r="H217" s="613"/>
      <c r="I217" s="613"/>
      <c r="J217" s="613"/>
      <c r="K217" s="1668">
        <f t="shared" si="19"/>
        <v>6260</v>
      </c>
      <c r="L217" s="466">
        <v>6700</v>
      </c>
    </row>
    <row r="218" spans="1:14" x14ac:dyDescent="0.2">
      <c r="A218" s="1501" t="s">
        <v>277</v>
      </c>
      <c r="B218" s="611" t="s">
        <v>967</v>
      </c>
      <c r="C218" s="613"/>
      <c r="D218" s="467">
        <v>0</v>
      </c>
      <c r="E218" s="613"/>
      <c r="F218" s="613"/>
      <c r="G218" s="613"/>
      <c r="H218" s="613"/>
      <c r="I218" s="613"/>
      <c r="J218" s="613"/>
      <c r="K218" s="1668">
        <f t="shared" si="19"/>
        <v>0</v>
      </c>
      <c r="L218" s="466">
        <v>0</v>
      </c>
    </row>
    <row r="219" spans="1:14" x14ac:dyDescent="0.2">
      <c r="A219" s="1501" t="s">
        <v>278</v>
      </c>
      <c r="B219" s="611">
        <v>1250</v>
      </c>
      <c r="C219" s="613"/>
      <c r="D219" s="466">
        <v>11906</v>
      </c>
      <c r="E219" s="613"/>
      <c r="F219" s="613"/>
      <c r="G219" s="613"/>
      <c r="H219" s="613"/>
      <c r="I219" s="613"/>
      <c r="J219" s="613"/>
      <c r="K219" s="1668">
        <f t="shared" si="19"/>
        <v>11906</v>
      </c>
      <c r="L219" s="466">
        <v>12900</v>
      </c>
    </row>
    <row r="220" spans="1:14" x14ac:dyDescent="0.2">
      <c r="A220" s="1501" t="s">
        <v>279</v>
      </c>
      <c r="B220" s="611" t="s">
        <v>161</v>
      </c>
      <c r="C220" s="613"/>
      <c r="D220" s="467">
        <v>0</v>
      </c>
      <c r="E220" s="613"/>
      <c r="F220" s="613"/>
      <c r="G220" s="613"/>
      <c r="H220" s="613"/>
      <c r="I220" s="613"/>
      <c r="J220" s="613"/>
      <c r="K220" s="1668">
        <f t="shared" si="19"/>
        <v>0</v>
      </c>
      <c r="L220" s="466">
        <v>0</v>
      </c>
    </row>
    <row r="221" spans="1:14" x14ac:dyDescent="0.2">
      <c r="A221" s="1501" t="s">
        <v>961</v>
      </c>
      <c r="B221" s="611">
        <v>1300</v>
      </c>
      <c r="C221" s="613"/>
      <c r="D221" s="466">
        <v>0</v>
      </c>
      <c r="E221" s="613"/>
      <c r="F221" s="613"/>
      <c r="G221" s="613"/>
      <c r="H221" s="613"/>
      <c r="I221" s="613"/>
      <c r="J221" s="613"/>
      <c r="K221" s="1668">
        <f t="shared" si="19"/>
        <v>0</v>
      </c>
      <c r="L221" s="466">
        <v>0</v>
      </c>
    </row>
    <row r="222" spans="1:14" x14ac:dyDescent="0.2">
      <c r="A222" s="1501" t="s">
        <v>722</v>
      </c>
      <c r="B222" s="611">
        <v>1400</v>
      </c>
      <c r="C222" s="613"/>
      <c r="D222" s="466">
        <v>998</v>
      </c>
      <c r="E222" s="613"/>
      <c r="F222" s="613"/>
      <c r="G222" s="613"/>
      <c r="H222" s="613"/>
      <c r="I222" s="613"/>
      <c r="J222" s="613"/>
      <c r="K222" s="1668">
        <f t="shared" si="19"/>
        <v>998</v>
      </c>
      <c r="L222" s="466">
        <v>1150</v>
      </c>
    </row>
    <row r="223" spans="1:14" x14ac:dyDescent="0.2">
      <c r="A223" s="1501" t="s">
        <v>962</v>
      </c>
      <c r="B223" s="611">
        <v>1500</v>
      </c>
      <c r="C223" s="613"/>
      <c r="D223" s="466">
        <v>1323</v>
      </c>
      <c r="E223" s="613"/>
      <c r="F223" s="613"/>
      <c r="G223" s="613"/>
      <c r="H223" s="613"/>
      <c r="I223" s="613"/>
      <c r="J223" s="613"/>
      <c r="K223" s="1668">
        <f t="shared" si="19"/>
        <v>1323</v>
      </c>
      <c r="L223" s="466">
        <v>1700</v>
      </c>
    </row>
    <row r="224" spans="1:14" x14ac:dyDescent="0.2">
      <c r="A224" s="1501" t="s">
        <v>963</v>
      </c>
      <c r="B224" s="611">
        <v>1600</v>
      </c>
      <c r="C224" s="613"/>
      <c r="D224" s="466">
        <v>0</v>
      </c>
      <c r="E224" s="613"/>
      <c r="F224" s="613"/>
      <c r="G224" s="613"/>
      <c r="H224" s="613"/>
      <c r="I224" s="613"/>
      <c r="J224" s="613"/>
      <c r="K224" s="1668">
        <f t="shared" si="19"/>
        <v>0</v>
      </c>
      <c r="L224" s="466">
        <v>0</v>
      </c>
    </row>
    <row r="225" spans="1:12" x14ac:dyDescent="0.2">
      <c r="A225" s="1501" t="s">
        <v>986</v>
      </c>
      <c r="B225" s="611">
        <v>1650</v>
      </c>
      <c r="C225" s="613"/>
      <c r="D225" s="466">
        <v>0</v>
      </c>
      <c r="E225" s="613"/>
      <c r="F225" s="613"/>
      <c r="G225" s="613"/>
      <c r="H225" s="613"/>
      <c r="I225" s="613"/>
      <c r="J225" s="613"/>
      <c r="K225" s="1668">
        <f t="shared" si="19"/>
        <v>0</v>
      </c>
      <c r="L225" s="466">
        <v>0</v>
      </c>
    </row>
    <row r="226" spans="1:12" x14ac:dyDescent="0.2">
      <c r="A226" s="1501" t="s">
        <v>723</v>
      </c>
      <c r="B226" s="611" t="s">
        <v>162</v>
      </c>
      <c r="C226" s="613"/>
      <c r="D226" s="467">
        <v>437</v>
      </c>
      <c r="E226" s="613"/>
      <c r="F226" s="613"/>
      <c r="G226" s="613"/>
      <c r="H226" s="613"/>
      <c r="I226" s="613"/>
      <c r="J226" s="613"/>
      <c r="K226" s="1668">
        <f t="shared" si="19"/>
        <v>437</v>
      </c>
      <c r="L226" s="466">
        <v>500</v>
      </c>
    </row>
    <row r="227" spans="1:12" x14ac:dyDescent="0.2">
      <c r="A227" s="1501" t="s">
        <v>1086</v>
      </c>
      <c r="B227" s="611">
        <v>1800</v>
      </c>
      <c r="C227" s="613"/>
      <c r="D227" s="466">
        <v>0</v>
      </c>
      <c r="E227" s="613"/>
      <c r="F227" s="613"/>
      <c r="G227" s="613"/>
      <c r="H227" s="613"/>
      <c r="I227" s="613"/>
      <c r="J227" s="613"/>
      <c r="K227" s="1668">
        <f t="shared" si="19"/>
        <v>0</v>
      </c>
      <c r="L227" s="466">
        <v>0</v>
      </c>
    </row>
    <row r="228" spans="1:12" x14ac:dyDescent="0.2">
      <c r="A228" s="1501" t="s">
        <v>1087</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714</v>
      </c>
      <c r="B229" s="1672" t="s">
        <v>569</v>
      </c>
      <c r="C229" s="613"/>
      <c r="D229" s="1667">
        <f>SUM(D215:D228)</f>
        <v>53244</v>
      </c>
      <c r="E229" s="613"/>
      <c r="F229" s="613"/>
      <c r="G229" s="613"/>
      <c r="H229" s="613"/>
      <c r="I229" s="613"/>
      <c r="J229" s="613"/>
      <c r="K229" s="1667">
        <f>SUM(K215:K228)</f>
        <v>53244</v>
      </c>
      <c r="L229" s="1667">
        <f>SUM(L215:L228)</f>
        <v>60050</v>
      </c>
    </row>
    <row r="230" spans="1:12" ht="15.75" customHeight="1" thickTop="1" x14ac:dyDescent="0.2">
      <c r="A230" s="1609" t="s">
        <v>873</v>
      </c>
      <c r="B230" s="1610"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501" t="s">
        <v>1088</v>
      </c>
      <c r="B232" s="611">
        <v>2110</v>
      </c>
      <c r="C232" s="613"/>
      <c r="D232" s="466">
        <v>0</v>
      </c>
      <c r="E232" s="613"/>
      <c r="F232" s="613"/>
      <c r="G232" s="613"/>
      <c r="H232" s="613"/>
      <c r="I232" s="613"/>
      <c r="J232" s="613"/>
      <c r="K232" s="1668">
        <f t="shared" ref="K232:K237" si="20">D232</f>
        <v>0</v>
      </c>
      <c r="L232" s="466">
        <v>0</v>
      </c>
    </row>
    <row r="233" spans="1:12" x14ac:dyDescent="0.2">
      <c r="A233" s="1501" t="s">
        <v>1089</v>
      </c>
      <c r="B233" s="611">
        <v>2120</v>
      </c>
      <c r="C233" s="613"/>
      <c r="D233" s="466">
        <v>632</v>
      </c>
      <c r="E233" s="613"/>
      <c r="F233" s="613"/>
      <c r="G233" s="613"/>
      <c r="H233" s="613"/>
      <c r="I233" s="613"/>
      <c r="J233" s="613"/>
      <c r="K233" s="1668">
        <f t="shared" si="20"/>
        <v>632</v>
      </c>
      <c r="L233" s="466">
        <v>700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3</v>
      </c>
      <c r="E237" s="613"/>
      <c r="F237" s="613"/>
      <c r="G237" s="613"/>
      <c r="H237" s="613"/>
      <c r="I237" s="613"/>
      <c r="J237" s="613"/>
      <c r="K237" s="1668">
        <f t="shared" si="20"/>
        <v>3</v>
      </c>
      <c r="L237" s="466">
        <v>0</v>
      </c>
    </row>
    <row r="238" spans="1:12" ht="12.75" customHeight="1" thickBot="1" x14ac:dyDescent="0.25">
      <c r="A238" s="1665" t="s">
        <v>559</v>
      </c>
      <c r="B238" s="1672" t="s">
        <v>715</v>
      </c>
      <c r="C238" s="613"/>
      <c r="D238" s="1667">
        <f>SUM(D232:D237)</f>
        <v>635</v>
      </c>
      <c r="E238" s="613"/>
      <c r="F238" s="613"/>
      <c r="G238" s="613"/>
      <c r="H238" s="613"/>
      <c r="I238" s="613"/>
      <c r="J238" s="613"/>
      <c r="K238" s="1667">
        <f>SUM(K232:K237)</f>
        <v>635</v>
      </c>
      <c r="L238" s="1667">
        <f>SUM(L232:L237)</f>
        <v>700</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501" t="s">
        <v>813</v>
      </c>
      <c r="B240" s="611">
        <v>2210</v>
      </c>
      <c r="C240" s="613"/>
      <c r="D240" s="479">
        <v>177</v>
      </c>
      <c r="E240" s="613"/>
      <c r="F240" s="613"/>
      <c r="G240" s="613"/>
      <c r="H240" s="613"/>
      <c r="I240" s="613"/>
      <c r="J240" s="613"/>
      <c r="K240" s="1669">
        <f>D240</f>
        <v>177</v>
      </c>
      <c r="L240" s="479">
        <v>200</v>
      </c>
    </row>
    <row r="241" spans="1:12" x14ac:dyDescent="0.2">
      <c r="A241" s="1501" t="s">
        <v>814</v>
      </c>
      <c r="B241" s="611">
        <v>2220</v>
      </c>
      <c r="C241" s="613"/>
      <c r="D241" s="466">
        <v>8917</v>
      </c>
      <c r="E241" s="613"/>
      <c r="F241" s="613"/>
      <c r="G241" s="613"/>
      <c r="H241" s="613"/>
      <c r="I241" s="613"/>
      <c r="J241" s="613"/>
      <c r="K241" s="1669">
        <f>D241</f>
        <v>8917</v>
      </c>
      <c r="L241" s="466">
        <v>9800</v>
      </c>
    </row>
    <row r="242" spans="1:12" x14ac:dyDescent="0.2">
      <c r="A242" s="1501" t="s">
        <v>815</v>
      </c>
      <c r="B242" s="611">
        <v>2230</v>
      </c>
      <c r="C242" s="613"/>
      <c r="D242" s="466">
        <v>0</v>
      </c>
      <c r="E242" s="613"/>
      <c r="F242" s="613"/>
      <c r="G242" s="613"/>
      <c r="H242" s="613"/>
      <c r="I242" s="613"/>
      <c r="J242" s="613"/>
      <c r="K242" s="1669">
        <f>D242</f>
        <v>0</v>
      </c>
      <c r="L242" s="466">
        <v>0</v>
      </c>
    </row>
    <row r="243" spans="1:12" ht="12.75" customHeight="1" thickBot="1" x14ac:dyDescent="0.25">
      <c r="A243" s="1691" t="s">
        <v>560</v>
      </c>
      <c r="B243" s="1692">
        <v>2200</v>
      </c>
      <c r="C243" s="613"/>
      <c r="D243" s="1667">
        <f>SUM(D240:D242)</f>
        <v>9094</v>
      </c>
      <c r="E243" s="613"/>
      <c r="F243" s="613"/>
      <c r="G243" s="613"/>
      <c r="H243" s="613"/>
      <c r="I243" s="613"/>
      <c r="J243" s="613"/>
      <c r="K243" s="1667">
        <f>SUM(K240:K242)</f>
        <v>9094</v>
      </c>
      <c r="L243" s="1667">
        <f>SUM(L240:L242)</f>
        <v>10000</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501" t="s">
        <v>816</v>
      </c>
      <c r="B245" s="611">
        <v>2310</v>
      </c>
      <c r="C245" s="613"/>
      <c r="D245" s="479">
        <v>0</v>
      </c>
      <c r="E245" s="613"/>
      <c r="F245" s="613"/>
      <c r="G245" s="613"/>
      <c r="H245" s="613"/>
      <c r="I245" s="613"/>
      <c r="J245" s="613"/>
      <c r="K245" s="1669">
        <f>D245</f>
        <v>0</v>
      </c>
      <c r="L245" s="479">
        <v>0</v>
      </c>
    </row>
    <row r="246" spans="1:12" x14ac:dyDescent="0.2">
      <c r="A246" s="1501" t="s">
        <v>817</v>
      </c>
      <c r="B246" s="611">
        <v>2320</v>
      </c>
      <c r="C246" s="613"/>
      <c r="D246" s="466">
        <v>7254</v>
      </c>
      <c r="E246" s="613"/>
      <c r="F246" s="613"/>
      <c r="G246" s="613"/>
      <c r="H246" s="613"/>
      <c r="I246" s="613"/>
      <c r="J246" s="613"/>
      <c r="K246" s="1669">
        <f t="shared" ref="K246:K256" si="21">D246</f>
        <v>7254</v>
      </c>
      <c r="L246" s="466">
        <v>7700</v>
      </c>
    </row>
    <row r="247" spans="1:12" x14ac:dyDescent="0.2">
      <c r="A247" s="1501" t="s">
        <v>818</v>
      </c>
      <c r="B247" s="611">
        <v>2330</v>
      </c>
      <c r="C247" s="613"/>
      <c r="D247" s="466">
        <v>0</v>
      </c>
      <c r="E247" s="613"/>
      <c r="F247" s="613"/>
      <c r="G247" s="613"/>
      <c r="H247" s="613"/>
      <c r="I247" s="613"/>
      <c r="J247" s="613"/>
      <c r="K247" s="1669">
        <f t="shared" si="21"/>
        <v>0</v>
      </c>
      <c r="L247" s="466">
        <v>0</v>
      </c>
    </row>
    <row r="248" spans="1:12" x14ac:dyDescent="0.2">
      <c r="A248" s="1502" t="s">
        <v>298</v>
      </c>
      <c r="B248" s="599" t="s">
        <v>280</v>
      </c>
      <c r="C248" s="613"/>
      <c r="D248" s="473">
        <v>0</v>
      </c>
      <c r="E248" s="613"/>
      <c r="F248" s="613"/>
      <c r="G248" s="613"/>
      <c r="H248" s="613"/>
      <c r="I248" s="613"/>
      <c r="J248" s="613"/>
      <c r="K248" s="1669">
        <f t="shared" si="21"/>
        <v>0</v>
      </c>
      <c r="L248" s="466">
        <v>0</v>
      </c>
    </row>
    <row r="249" spans="1:12" x14ac:dyDescent="0.2">
      <c r="A249" s="1503" t="s">
        <v>1804</v>
      </c>
      <c r="B249" s="680" t="s">
        <v>281</v>
      </c>
      <c r="C249" s="613"/>
      <c r="D249" s="473">
        <v>0</v>
      </c>
      <c r="E249" s="613"/>
      <c r="F249" s="613"/>
      <c r="G249" s="613"/>
      <c r="H249" s="613"/>
      <c r="I249" s="613"/>
      <c r="J249" s="613"/>
      <c r="K249" s="1669">
        <f t="shared" si="21"/>
        <v>0</v>
      </c>
      <c r="L249" s="466">
        <v>0</v>
      </c>
    </row>
    <row r="250" spans="1:12" x14ac:dyDescent="0.2">
      <c r="A250" s="1502" t="s">
        <v>1805</v>
      </c>
      <c r="B250" s="599" t="s">
        <v>282</v>
      </c>
      <c r="C250" s="613"/>
      <c r="D250" s="473">
        <v>0</v>
      </c>
      <c r="E250" s="613"/>
      <c r="F250" s="613"/>
      <c r="G250" s="613"/>
      <c r="H250" s="613"/>
      <c r="I250" s="613"/>
      <c r="J250" s="613"/>
      <c r="K250" s="1669">
        <f t="shared" si="21"/>
        <v>0</v>
      </c>
      <c r="L250" s="466">
        <v>0</v>
      </c>
    </row>
    <row r="251" spans="1:12" x14ac:dyDescent="0.2">
      <c r="A251" s="1502" t="s">
        <v>238</v>
      </c>
      <c r="B251" s="599" t="s">
        <v>283</v>
      </c>
      <c r="C251" s="613"/>
      <c r="D251" s="473">
        <v>0</v>
      </c>
      <c r="E251" s="613"/>
      <c r="F251" s="613"/>
      <c r="G251" s="613"/>
      <c r="H251" s="613"/>
      <c r="I251" s="613"/>
      <c r="J251" s="613"/>
      <c r="K251" s="1669">
        <f t="shared" si="21"/>
        <v>0</v>
      </c>
      <c r="L251" s="466">
        <v>0</v>
      </c>
    </row>
    <row r="252" spans="1:12" x14ac:dyDescent="0.2">
      <c r="A252" s="1502" t="s">
        <v>701</v>
      </c>
      <c r="B252" s="599" t="s">
        <v>284</v>
      </c>
      <c r="C252" s="613"/>
      <c r="D252" s="473">
        <v>0</v>
      </c>
      <c r="E252" s="613"/>
      <c r="F252" s="613"/>
      <c r="G252" s="613"/>
      <c r="H252" s="613"/>
      <c r="I252" s="613"/>
      <c r="J252" s="613"/>
      <c r="K252" s="1669">
        <f t="shared" si="21"/>
        <v>0</v>
      </c>
      <c r="L252" s="466">
        <v>0</v>
      </c>
    </row>
    <row r="253" spans="1:12" x14ac:dyDescent="0.2">
      <c r="A253" s="1502" t="s">
        <v>239</v>
      </c>
      <c r="B253" s="599" t="s">
        <v>285</v>
      </c>
      <c r="C253" s="613"/>
      <c r="D253" s="473">
        <v>0</v>
      </c>
      <c r="E253" s="613"/>
      <c r="F253" s="613"/>
      <c r="G253" s="613"/>
      <c r="H253" s="613"/>
      <c r="I253" s="613"/>
      <c r="J253" s="613"/>
      <c r="K253" s="1669">
        <f t="shared" si="21"/>
        <v>0</v>
      </c>
      <c r="L253" s="466">
        <v>0</v>
      </c>
    </row>
    <row r="254" spans="1:12" ht="22.5" x14ac:dyDescent="0.2">
      <c r="A254" s="1502" t="s">
        <v>1028</v>
      </c>
      <c r="B254" s="680" t="s">
        <v>286</v>
      </c>
      <c r="C254" s="613"/>
      <c r="D254" s="473">
        <v>5836</v>
      </c>
      <c r="E254" s="613"/>
      <c r="F254" s="613"/>
      <c r="G254" s="613"/>
      <c r="H254" s="613"/>
      <c r="I254" s="613"/>
      <c r="J254" s="613"/>
      <c r="K254" s="1669">
        <f t="shared" si="21"/>
        <v>5836</v>
      </c>
      <c r="L254" s="466">
        <v>6550</v>
      </c>
    </row>
    <row r="255" spans="1:12" x14ac:dyDescent="0.2">
      <c r="A255" s="1502" t="s">
        <v>1029</v>
      </c>
      <c r="B255" s="599" t="s">
        <v>287</v>
      </c>
      <c r="C255" s="613"/>
      <c r="D255" s="473">
        <v>0</v>
      </c>
      <c r="E255" s="613"/>
      <c r="F255" s="613"/>
      <c r="G255" s="613"/>
      <c r="H255" s="613"/>
      <c r="I255" s="613"/>
      <c r="J255" s="613"/>
      <c r="K255" s="1669">
        <f t="shared" si="21"/>
        <v>0</v>
      </c>
      <c r="L255" s="466">
        <v>0</v>
      </c>
    </row>
    <row r="256" spans="1:12" x14ac:dyDescent="0.2">
      <c r="A256" s="1502" t="s">
        <v>970</v>
      </c>
      <c r="B256" s="611" t="s">
        <v>288</v>
      </c>
      <c r="C256" s="613"/>
      <c r="D256" s="473">
        <v>0</v>
      </c>
      <c r="E256" s="613"/>
      <c r="F256" s="613"/>
      <c r="G256" s="613"/>
      <c r="H256" s="613"/>
      <c r="I256" s="613"/>
      <c r="J256" s="613"/>
      <c r="K256" s="1669">
        <f t="shared" si="21"/>
        <v>0</v>
      </c>
      <c r="L256" s="466">
        <v>0</v>
      </c>
    </row>
    <row r="257" spans="1:14" ht="12.75" customHeight="1" thickBot="1" x14ac:dyDescent="0.25">
      <c r="A257" s="1665" t="s">
        <v>716</v>
      </c>
      <c r="B257" s="1693">
        <v>2300</v>
      </c>
      <c r="C257" s="613"/>
      <c r="D257" s="1667">
        <f>SUM(D245:D256)</f>
        <v>13090</v>
      </c>
      <c r="E257" s="613"/>
      <c r="F257" s="613"/>
      <c r="G257" s="613"/>
      <c r="H257" s="613"/>
      <c r="I257" s="613"/>
      <c r="J257" s="613"/>
      <c r="K257" s="1667">
        <f>SUM(K245:K256)</f>
        <v>13090</v>
      </c>
      <c r="L257" s="1667">
        <f>SUM(L245:L256)</f>
        <v>14250</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501" t="s">
        <v>1066</v>
      </c>
      <c r="B259" s="682">
        <v>2410</v>
      </c>
      <c r="C259" s="613"/>
      <c r="D259" s="479">
        <v>7145</v>
      </c>
      <c r="E259" s="613"/>
      <c r="F259" s="613"/>
      <c r="G259" s="613"/>
      <c r="H259" s="613"/>
      <c r="I259" s="613"/>
      <c r="J259" s="613"/>
      <c r="K259" s="1669">
        <f>D259</f>
        <v>7145</v>
      </c>
      <c r="L259" s="479">
        <v>7900</v>
      </c>
    </row>
    <row r="260" spans="1:14" s="594" customFormat="1" x14ac:dyDescent="0.2">
      <c r="A260" s="1519" t="s">
        <v>1803</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7145</v>
      </c>
      <c r="E261" s="613"/>
      <c r="F261" s="613"/>
      <c r="G261" s="613"/>
      <c r="H261" s="613"/>
      <c r="I261" s="613"/>
      <c r="J261" s="613"/>
      <c r="K261" s="1667">
        <f>SUM(K259:K260)</f>
        <v>7145</v>
      </c>
      <c r="L261" s="1667">
        <f>SUM(L259:L260)</f>
        <v>7900</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501" t="s">
        <v>1067</v>
      </c>
      <c r="B263" s="682">
        <v>2510</v>
      </c>
      <c r="C263" s="613"/>
      <c r="D263" s="466">
        <v>0</v>
      </c>
      <c r="E263" s="613"/>
      <c r="F263" s="613"/>
      <c r="G263" s="613"/>
      <c r="H263" s="613"/>
      <c r="I263" s="613"/>
      <c r="J263" s="613"/>
      <c r="K263" s="1669">
        <f>D263</f>
        <v>0</v>
      </c>
      <c r="L263" s="479">
        <v>0</v>
      </c>
    </row>
    <row r="264" spans="1:14" x14ac:dyDescent="0.2">
      <c r="A264" s="1501" t="s">
        <v>462</v>
      </c>
      <c r="B264" s="682">
        <v>2520</v>
      </c>
      <c r="C264" s="613"/>
      <c r="D264" s="466">
        <v>6275</v>
      </c>
      <c r="E264" s="613"/>
      <c r="F264" s="613"/>
      <c r="G264" s="613"/>
      <c r="H264" s="613"/>
      <c r="I264" s="613"/>
      <c r="J264" s="613"/>
      <c r="K264" s="1669">
        <f t="shared" ref="K264:K269" si="22">D264</f>
        <v>6275</v>
      </c>
      <c r="L264" s="466">
        <v>6700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29982</v>
      </c>
      <c r="E266" s="613"/>
      <c r="F266" s="613"/>
      <c r="G266" s="613"/>
      <c r="H266" s="613"/>
      <c r="I266" s="613"/>
      <c r="J266" s="613"/>
      <c r="K266" s="1669">
        <f t="shared" si="22"/>
        <v>29982</v>
      </c>
      <c r="L266" s="466">
        <v>32000</v>
      </c>
    </row>
    <row r="267" spans="1:14" x14ac:dyDescent="0.2">
      <c r="A267" s="1501" t="s">
        <v>952</v>
      </c>
      <c r="B267" s="611">
        <v>2550</v>
      </c>
      <c r="C267" s="613"/>
      <c r="D267" s="466">
        <v>16912</v>
      </c>
      <c r="E267" s="613"/>
      <c r="F267" s="613"/>
      <c r="G267" s="613"/>
      <c r="H267" s="613"/>
      <c r="I267" s="613"/>
      <c r="J267" s="613"/>
      <c r="K267" s="1669">
        <f t="shared" si="22"/>
        <v>16912</v>
      </c>
      <c r="L267" s="466">
        <v>18150</v>
      </c>
    </row>
    <row r="268" spans="1:14" x14ac:dyDescent="0.2">
      <c r="A268" s="1501" t="s">
        <v>100</v>
      </c>
      <c r="B268" s="611">
        <v>2560</v>
      </c>
      <c r="C268" s="613"/>
      <c r="D268" s="466">
        <v>14526</v>
      </c>
      <c r="E268" s="613"/>
      <c r="F268" s="613"/>
      <c r="G268" s="613"/>
      <c r="H268" s="613"/>
      <c r="I268" s="613"/>
      <c r="J268" s="613"/>
      <c r="K268" s="1669">
        <f t="shared" si="22"/>
        <v>14526</v>
      </c>
      <c r="L268" s="466">
        <v>16300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718</v>
      </c>
      <c r="B270" s="1672" t="s">
        <v>35</v>
      </c>
      <c r="C270" s="613"/>
      <c r="D270" s="1667">
        <f>SUM(D263:D269)</f>
        <v>67695</v>
      </c>
      <c r="E270" s="613"/>
      <c r="F270" s="613"/>
      <c r="G270" s="613"/>
      <c r="H270" s="613"/>
      <c r="I270" s="613"/>
      <c r="J270" s="613"/>
      <c r="K270" s="1667">
        <f>SUM(K263:K269)</f>
        <v>67695</v>
      </c>
      <c r="L270" s="1667">
        <f>SUM(L263:L269)</f>
        <v>73150</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501" t="s">
        <v>1059</v>
      </c>
      <c r="B272" s="611">
        <v>2610</v>
      </c>
      <c r="C272" s="613"/>
      <c r="D272" s="479">
        <v>0</v>
      </c>
      <c r="E272" s="613"/>
      <c r="F272" s="613"/>
      <c r="G272" s="613"/>
      <c r="H272" s="613"/>
      <c r="I272" s="613"/>
      <c r="J272" s="613"/>
      <c r="K272" s="1669">
        <f>D272</f>
        <v>0</v>
      </c>
      <c r="L272" s="479">
        <v>0</v>
      </c>
    </row>
    <row r="273" spans="1:12" x14ac:dyDescent="0.2">
      <c r="A273" s="1501" t="s">
        <v>606</v>
      </c>
      <c r="B273" s="625">
        <v>2620</v>
      </c>
      <c r="C273" s="613"/>
      <c r="D273" s="466">
        <v>0</v>
      </c>
      <c r="E273" s="613"/>
      <c r="F273" s="613"/>
      <c r="G273" s="613"/>
      <c r="H273" s="613"/>
      <c r="I273" s="613"/>
      <c r="J273" s="613"/>
      <c r="K273" s="1669">
        <f>D273</f>
        <v>0</v>
      </c>
      <c r="L273" s="466">
        <v>0</v>
      </c>
    </row>
    <row r="274" spans="1:12" ht="12" customHeight="1" x14ac:dyDescent="0.2">
      <c r="A274" s="1501" t="s">
        <v>1060</v>
      </c>
      <c r="B274" s="611">
        <v>2630</v>
      </c>
      <c r="C274" s="613"/>
      <c r="D274" s="466">
        <v>0</v>
      </c>
      <c r="E274" s="613"/>
      <c r="F274" s="613"/>
      <c r="G274" s="613"/>
      <c r="H274" s="613"/>
      <c r="I274" s="613"/>
      <c r="J274" s="613"/>
      <c r="K274" s="1669">
        <f>D274</f>
        <v>0</v>
      </c>
      <c r="L274" s="466">
        <v>0</v>
      </c>
    </row>
    <row r="275" spans="1:12" x14ac:dyDescent="0.2">
      <c r="A275" s="1501" t="s">
        <v>402</v>
      </c>
      <c r="B275" s="611">
        <v>2640</v>
      </c>
      <c r="C275" s="613"/>
      <c r="D275" s="466">
        <v>0</v>
      </c>
      <c r="E275" s="613"/>
      <c r="F275" s="613"/>
      <c r="G275" s="613"/>
      <c r="H275" s="613"/>
      <c r="I275" s="613"/>
      <c r="J275" s="613"/>
      <c r="K275" s="1669">
        <f>D275</f>
        <v>0</v>
      </c>
      <c r="L275" s="466">
        <v>0</v>
      </c>
    </row>
    <row r="276" spans="1:12" x14ac:dyDescent="0.2">
      <c r="A276" s="1501" t="s">
        <v>403</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979</v>
      </c>
      <c r="B278" s="652" t="s">
        <v>573</v>
      </c>
      <c r="C278" s="613"/>
      <c r="D278" s="653">
        <v>0</v>
      </c>
      <c r="E278" s="613"/>
      <c r="F278" s="613"/>
      <c r="G278" s="613"/>
      <c r="H278" s="613"/>
      <c r="I278" s="613"/>
      <c r="J278" s="613"/>
      <c r="K278" s="1682">
        <f>D278</f>
        <v>0</v>
      </c>
      <c r="L278" s="653">
        <v>0</v>
      </c>
    </row>
    <row r="279" spans="1:12" ht="12.75" customHeight="1" thickBot="1" x14ac:dyDescent="0.25">
      <c r="A279" s="1695" t="s">
        <v>810</v>
      </c>
      <c r="B279" s="1678">
        <v>2000</v>
      </c>
      <c r="C279" s="613"/>
      <c r="D279" s="1674">
        <f>SUM(D238,D243,D257,D261,D270,D277,D278)</f>
        <v>97659</v>
      </c>
      <c r="E279" s="613"/>
      <c r="F279" s="613"/>
      <c r="G279" s="613"/>
      <c r="H279" s="613"/>
      <c r="I279" s="613"/>
      <c r="J279" s="613"/>
      <c r="K279" s="1674">
        <f>SUM(K238,K243,K257,K261,K270,K277,K278)</f>
        <v>97659</v>
      </c>
      <c r="L279" s="1674">
        <f>SUM(L238,L243,L257,L261,L270,L277,L278)</f>
        <v>106000</v>
      </c>
    </row>
    <row r="280" spans="1:12" ht="15.75" customHeight="1" thickTop="1" thickBot="1" x14ac:dyDescent="0.25">
      <c r="A280" s="1621" t="s">
        <v>874</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859</v>
      </c>
      <c r="C281" s="613"/>
      <c r="D281" s="563"/>
      <c r="E281" s="613"/>
      <c r="F281" s="613"/>
      <c r="G281" s="613"/>
      <c r="H281" s="613"/>
      <c r="I281" s="613"/>
      <c r="J281" s="613"/>
      <c r="K281" s="613"/>
      <c r="L281" s="613"/>
    </row>
    <row r="282" spans="1:12" ht="15.75" customHeight="1" x14ac:dyDescent="0.2">
      <c r="A282" s="1827" t="s">
        <v>495</v>
      </c>
      <c r="B282" s="687" t="s">
        <v>1844</v>
      </c>
      <c r="C282" s="613"/>
      <c r="D282" s="467">
        <v>0</v>
      </c>
      <c r="E282" s="613"/>
      <c r="F282" s="613"/>
      <c r="G282" s="613"/>
      <c r="H282" s="613"/>
      <c r="I282" s="613"/>
      <c r="J282" s="613"/>
      <c r="K282" s="1668">
        <f>D282</f>
        <v>0</v>
      </c>
      <c r="L282" s="467">
        <v>0</v>
      </c>
    </row>
    <row r="283" spans="1:12" x14ac:dyDescent="0.2">
      <c r="A283" s="1501" t="s">
        <v>303</v>
      </c>
      <c r="B283" s="611">
        <v>4120</v>
      </c>
      <c r="C283" s="613"/>
      <c r="D283" s="466">
        <v>8344</v>
      </c>
      <c r="E283" s="613"/>
      <c r="F283" s="613"/>
      <c r="G283" s="613"/>
      <c r="H283" s="613"/>
      <c r="I283" s="613"/>
      <c r="J283" s="613"/>
      <c r="K283" s="1668">
        <f>D283</f>
        <v>8344</v>
      </c>
      <c r="L283" s="466">
        <v>10600</v>
      </c>
    </row>
    <row r="284" spans="1:12" x14ac:dyDescent="0.2">
      <c r="A284" s="1501" t="s">
        <v>696</v>
      </c>
      <c r="B284" s="611">
        <v>4140</v>
      </c>
      <c r="C284" s="613"/>
      <c r="D284" s="467">
        <v>0</v>
      </c>
      <c r="E284" s="613"/>
      <c r="F284" s="613"/>
      <c r="G284" s="613"/>
      <c r="H284" s="613"/>
      <c r="I284" s="613"/>
      <c r="J284" s="613"/>
      <c r="K284" s="1668">
        <f>D284</f>
        <v>0</v>
      </c>
      <c r="L284" s="466">
        <v>0</v>
      </c>
    </row>
    <row r="285" spans="1:12" ht="12.75" customHeight="1" thickBot="1" x14ac:dyDescent="0.25">
      <c r="A285" s="1665" t="s">
        <v>1486</v>
      </c>
      <c r="B285" s="1666" t="s">
        <v>859</v>
      </c>
      <c r="C285" s="613"/>
      <c r="D285" s="1667">
        <f>SUM(D282:D284)</f>
        <v>8344</v>
      </c>
      <c r="E285" s="613"/>
      <c r="F285" s="613"/>
      <c r="G285" s="613"/>
      <c r="H285" s="613"/>
      <c r="I285" s="613"/>
      <c r="J285" s="613"/>
      <c r="K285" s="1667">
        <f>SUM(K282:K284)</f>
        <v>8344</v>
      </c>
      <c r="L285" s="1667">
        <f>SUM(L282:L284)</f>
        <v>10600</v>
      </c>
    </row>
    <row r="286" spans="1:12" ht="15.75" customHeight="1" thickTop="1" x14ac:dyDescent="0.2">
      <c r="A286" s="1609" t="s">
        <v>875</v>
      </c>
      <c r="B286" s="1606"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1169</v>
      </c>
      <c r="B290" s="625" t="s">
        <v>616</v>
      </c>
      <c r="C290" s="613"/>
      <c r="D290" s="613"/>
      <c r="E290" s="613"/>
      <c r="F290" s="613"/>
      <c r="G290" s="613"/>
      <c r="H290" s="466">
        <v>0</v>
      </c>
      <c r="I290" s="613"/>
      <c r="J290" s="613"/>
      <c r="K290" s="1668">
        <f>H290</f>
        <v>0</v>
      </c>
      <c r="L290" s="466">
        <v>0</v>
      </c>
    </row>
    <row r="291" spans="1:14" x14ac:dyDescent="0.2">
      <c r="A291" s="1501" t="s">
        <v>89</v>
      </c>
      <c r="B291" s="611" t="s">
        <v>588</v>
      </c>
      <c r="C291" s="613"/>
      <c r="D291" s="613"/>
      <c r="E291" s="613"/>
      <c r="F291" s="613"/>
      <c r="G291" s="613"/>
      <c r="H291" s="466">
        <v>0</v>
      </c>
      <c r="I291" s="613"/>
      <c r="J291" s="613"/>
      <c r="K291" s="1668">
        <f>H291</f>
        <v>0</v>
      </c>
      <c r="L291" s="466">
        <v>0</v>
      </c>
    </row>
    <row r="292" spans="1:14" x14ac:dyDescent="0.2">
      <c r="A292" s="1501" t="s">
        <v>761</v>
      </c>
      <c r="B292" s="611" t="s">
        <v>617</v>
      </c>
      <c r="C292" s="613"/>
      <c r="D292" s="613"/>
      <c r="E292" s="613"/>
      <c r="F292" s="613"/>
      <c r="G292" s="613"/>
      <c r="H292" s="466">
        <v>0</v>
      </c>
      <c r="I292" s="613"/>
      <c r="J292" s="613"/>
      <c r="K292" s="1668">
        <f>H292</f>
        <v>0</v>
      </c>
      <c r="L292" s="466">
        <v>0</v>
      </c>
    </row>
    <row r="293" spans="1:14" ht="12.75" customHeight="1" thickBot="1" x14ac:dyDescent="0.25">
      <c r="A293" s="1665" t="s">
        <v>483</v>
      </c>
      <c r="B293" s="1666" t="s">
        <v>491</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876</v>
      </c>
      <c r="B294" s="1610" t="s">
        <v>860</v>
      </c>
      <c r="C294" s="613"/>
      <c r="D294" s="620"/>
      <c r="E294" s="613"/>
      <c r="F294" s="613"/>
      <c r="G294" s="613"/>
      <c r="H294" s="683"/>
      <c r="I294" s="613"/>
      <c r="J294" s="613"/>
      <c r="K294" s="683"/>
      <c r="L294" s="575">
        <v>0</v>
      </c>
    </row>
    <row r="295" spans="1:14" ht="12.75" customHeight="1" thickTop="1" thickBot="1" x14ac:dyDescent="0.25">
      <c r="A295" s="2190" t="s">
        <v>504</v>
      </c>
      <c r="B295" s="2191"/>
      <c r="C295" s="613"/>
      <c r="D295" s="1667">
        <f>SUM(D229,D279,D280,D285)</f>
        <v>159247</v>
      </c>
      <c r="E295" s="613"/>
      <c r="F295" s="613"/>
      <c r="G295" s="613"/>
      <c r="H295" s="1667">
        <f>H293</f>
        <v>0</v>
      </c>
      <c r="I295" s="613"/>
      <c r="J295" s="613"/>
      <c r="K295" s="1667">
        <f>SUM(K229,K279,K280,K285,K293,K294)</f>
        <v>159247</v>
      </c>
      <c r="L295" s="1667">
        <f>SUM(L229,L279,L280,L285,L293,L294)</f>
        <v>176650</v>
      </c>
    </row>
    <row r="296" spans="1:14" ht="13.5" thickTop="1" x14ac:dyDescent="0.2">
      <c r="A296" s="2172" t="s">
        <v>995</v>
      </c>
      <c r="B296" s="2173"/>
      <c r="C296" s="613"/>
      <c r="D296" s="615"/>
      <c r="E296" s="613"/>
      <c r="F296" s="613"/>
      <c r="G296" s="613"/>
      <c r="H296" s="684"/>
      <c r="I296" s="613"/>
      <c r="J296" s="613"/>
      <c r="K296" s="1681">
        <f>'Revenues 9-14'!G268-'Expenditures 15-22'!K295</f>
        <v>28060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4" t="s">
        <v>607</v>
      </c>
      <c r="B301" s="686">
        <v>2530</v>
      </c>
      <c r="C301" s="466">
        <v>0</v>
      </c>
      <c r="D301" s="466">
        <v>0</v>
      </c>
      <c r="E301" s="466">
        <v>58447</v>
      </c>
      <c r="F301" s="466">
        <v>1242</v>
      </c>
      <c r="G301" s="466">
        <v>352811</v>
      </c>
      <c r="H301" s="466">
        <v>0</v>
      </c>
      <c r="I301" s="467">
        <v>0</v>
      </c>
      <c r="J301" s="467">
        <v>0</v>
      </c>
      <c r="K301" s="1668">
        <f>SUM(C301:J301)</f>
        <v>412500</v>
      </c>
      <c r="L301" s="467">
        <v>445500</v>
      </c>
    </row>
    <row r="302" spans="1:14" ht="13.5" customHeight="1" x14ac:dyDescent="0.2">
      <c r="A302" s="1514" t="s">
        <v>979</v>
      </c>
      <c r="B302" s="611" t="s">
        <v>573</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58447</v>
      </c>
      <c r="F303" s="1674">
        <f t="shared" si="23"/>
        <v>1242</v>
      </c>
      <c r="G303" s="1674">
        <f t="shared" si="23"/>
        <v>352811</v>
      </c>
      <c r="H303" s="1674">
        <f t="shared" si="23"/>
        <v>0</v>
      </c>
      <c r="I303" s="1674">
        <f t="shared" si="23"/>
        <v>0</v>
      </c>
      <c r="J303" s="1674">
        <f t="shared" si="23"/>
        <v>0</v>
      </c>
      <c r="K303" s="1674">
        <f t="shared" si="23"/>
        <v>412500</v>
      </c>
      <c r="L303" s="1674">
        <f t="shared" si="23"/>
        <v>445500</v>
      </c>
    </row>
    <row r="304" spans="1:14" ht="15.75" customHeight="1" thickTop="1" x14ac:dyDescent="0.2">
      <c r="A304" s="1609" t="s">
        <v>145</v>
      </c>
      <c r="B304" s="1610"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5" t="s">
        <v>1849</v>
      </c>
      <c r="B306" s="687" t="s">
        <v>1844</v>
      </c>
      <c r="C306" s="613"/>
      <c r="D306" s="613"/>
      <c r="E306" s="467">
        <v>0</v>
      </c>
      <c r="F306" s="613"/>
      <c r="G306" s="613"/>
      <c r="H306" s="467">
        <v>0</v>
      </c>
      <c r="I306" s="613"/>
      <c r="J306" s="613"/>
      <c r="K306" s="1668">
        <f>SUM(E306,H306)</f>
        <v>0</v>
      </c>
      <c r="L306" s="467">
        <v>0</v>
      </c>
    </row>
    <row r="307" spans="1:14" x14ac:dyDescent="0.2">
      <c r="A307" s="1501" t="s">
        <v>303</v>
      </c>
      <c r="B307" s="611">
        <v>4120</v>
      </c>
      <c r="C307" s="613"/>
      <c r="D307" s="613"/>
      <c r="E307" s="467">
        <v>0</v>
      </c>
      <c r="F307" s="613"/>
      <c r="G307" s="613"/>
      <c r="H307" s="467">
        <v>0</v>
      </c>
      <c r="I307" s="475"/>
      <c r="J307" s="613"/>
      <c r="K307" s="1668">
        <f>SUM(E307,H307)</f>
        <v>0</v>
      </c>
      <c r="L307" s="466">
        <v>0</v>
      </c>
    </row>
    <row r="308" spans="1:14" x14ac:dyDescent="0.2">
      <c r="A308" s="1501" t="s">
        <v>696</v>
      </c>
      <c r="B308" s="611">
        <v>4140</v>
      </c>
      <c r="C308" s="613"/>
      <c r="D308" s="613"/>
      <c r="E308" s="467">
        <v>0</v>
      </c>
      <c r="F308" s="613"/>
      <c r="G308" s="613"/>
      <c r="H308" s="467">
        <v>0</v>
      </c>
      <c r="I308" s="475"/>
      <c r="J308" s="613"/>
      <c r="K308" s="1668">
        <f>SUM(E308,H308)</f>
        <v>0</v>
      </c>
      <c r="L308" s="466">
        <v>0</v>
      </c>
    </row>
    <row r="309" spans="1:14" ht="12.75" customHeight="1" x14ac:dyDescent="0.2">
      <c r="A309" s="1505" t="s">
        <v>697</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1486</v>
      </c>
      <c r="B310" s="1672" t="s">
        <v>859</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894</v>
      </c>
      <c r="B311" s="1608" t="s">
        <v>860</v>
      </c>
      <c r="C311" s="620"/>
      <c r="D311" s="620"/>
      <c r="E311" s="620"/>
      <c r="F311" s="620"/>
      <c r="G311" s="620"/>
      <c r="H311" s="620"/>
      <c r="I311" s="620"/>
      <c r="J311" s="613"/>
      <c r="K311" s="620"/>
      <c r="L311" s="573">
        <v>0</v>
      </c>
    </row>
    <row r="312" spans="1:14" s="671" customFormat="1" ht="12.75" customHeight="1" thickTop="1" thickBot="1" x14ac:dyDescent="0.25">
      <c r="A312" s="2187" t="s">
        <v>276</v>
      </c>
      <c r="B312" s="2188"/>
      <c r="C312" s="1667">
        <f>SUM(C303)</f>
        <v>0</v>
      </c>
      <c r="D312" s="1667">
        <f>SUM(D303)</f>
        <v>0</v>
      </c>
      <c r="E312" s="1667">
        <f>SUM(E303,E310)</f>
        <v>58447</v>
      </c>
      <c r="F312" s="1667">
        <f>SUM(F303)</f>
        <v>1242</v>
      </c>
      <c r="G312" s="1667">
        <f>SUM(G303)</f>
        <v>352811</v>
      </c>
      <c r="H312" s="1667">
        <f>SUM(H303,H310)</f>
        <v>0</v>
      </c>
      <c r="I312" s="1667">
        <f>SUM(I303)</f>
        <v>0</v>
      </c>
      <c r="J312" s="1667">
        <f>SUM(J303)</f>
        <v>0</v>
      </c>
      <c r="K312" s="1667">
        <f>SUM(K303,K310,K311)</f>
        <v>412500</v>
      </c>
      <c r="L312" s="1667">
        <f>SUM(L303,L310,L311)</f>
        <v>445500</v>
      </c>
      <c r="M312" s="662"/>
      <c r="N312" s="662"/>
    </row>
    <row r="313" spans="1:14" ht="13.5" thickTop="1" x14ac:dyDescent="0.2">
      <c r="A313" s="2183" t="s">
        <v>995</v>
      </c>
      <c r="B313" s="2184"/>
      <c r="C313" s="623"/>
      <c r="D313" s="623"/>
      <c r="E313" s="623"/>
      <c r="F313" s="623"/>
      <c r="G313" s="623"/>
      <c r="H313" s="623"/>
      <c r="I313" s="623"/>
      <c r="J313" s="623"/>
      <c r="K313" s="1682">
        <f>'Revenues 9-14'!H268-'Expenditures 15-22'!K312</f>
        <v>-221657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897</v>
      </c>
      <c r="B317" s="2197"/>
      <c r="C317" s="1553"/>
      <c r="D317" s="1554"/>
      <c r="E317" s="1554"/>
      <c r="F317" s="1554"/>
      <c r="G317" s="1554"/>
      <c r="H317" s="1554"/>
      <c r="I317" s="1554"/>
      <c r="J317" s="1554"/>
      <c r="K317" s="1554"/>
      <c r="L317" s="1555"/>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6" t="s">
        <v>298</v>
      </c>
      <c r="B319" s="694" t="s">
        <v>280</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1804</v>
      </c>
      <c r="B320" s="695" t="s">
        <v>281</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299</v>
      </c>
      <c r="B321" s="694" t="s">
        <v>282</v>
      </c>
      <c r="C321" s="467">
        <v>0</v>
      </c>
      <c r="D321" s="467">
        <v>0</v>
      </c>
      <c r="E321" s="467">
        <v>0</v>
      </c>
      <c r="F321" s="467">
        <v>0</v>
      </c>
      <c r="G321" s="467">
        <v>0</v>
      </c>
      <c r="H321" s="467">
        <v>0</v>
      </c>
      <c r="I321" s="467">
        <v>0</v>
      </c>
      <c r="J321" s="467">
        <v>0</v>
      </c>
      <c r="K321" s="1668">
        <f t="shared" si="24"/>
        <v>0</v>
      </c>
      <c r="L321" s="467">
        <v>200</v>
      </c>
      <c r="M321" s="662"/>
      <c r="N321" s="662"/>
    </row>
    <row r="322" spans="1:14" s="671" customFormat="1" x14ac:dyDescent="0.2">
      <c r="A322" s="1516" t="s">
        <v>238</v>
      </c>
      <c r="B322" s="694" t="s">
        <v>283</v>
      </c>
      <c r="C322" s="467">
        <v>0</v>
      </c>
      <c r="D322" s="467">
        <v>0</v>
      </c>
      <c r="E322" s="467">
        <v>44974</v>
      </c>
      <c r="F322" s="467">
        <v>0</v>
      </c>
      <c r="G322" s="467">
        <v>0</v>
      </c>
      <c r="H322" s="467">
        <v>0</v>
      </c>
      <c r="I322" s="467">
        <v>0</v>
      </c>
      <c r="J322" s="467">
        <v>0</v>
      </c>
      <c r="K322" s="1668">
        <f t="shared" si="24"/>
        <v>44974</v>
      </c>
      <c r="L322" s="467">
        <v>46000</v>
      </c>
      <c r="M322" s="662"/>
      <c r="N322" s="662"/>
    </row>
    <row r="323" spans="1:14" s="671" customFormat="1" x14ac:dyDescent="0.2">
      <c r="A323" s="1516" t="s">
        <v>701</v>
      </c>
      <c r="B323" s="694" t="s">
        <v>284</v>
      </c>
      <c r="C323" s="467">
        <v>0</v>
      </c>
      <c r="D323" s="467">
        <v>0</v>
      </c>
      <c r="E323" s="467">
        <v>31486</v>
      </c>
      <c r="F323" s="467">
        <v>0</v>
      </c>
      <c r="G323" s="467">
        <v>0</v>
      </c>
      <c r="H323" s="467">
        <v>0</v>
      </c>
      <c r="I323" s="467">
        <v>0</v>
      </c>
      <c r="J323" s="467">
        <v>0</v>
      </c>
      <c r="K323" s="1668">
        <f t="shared" si="24"/>
        <v>31486</v>
      </c>
      <c r="L323" s="467">
        <v>33000</v>
      </c>
      <c r="M323" s="662"/>
      <c r="N323" s="662"/>
    </row>
    <row r="324" spans="1:14" s="671" customFormat="1" x14ac:dyDescent="0.2">
      <c r="A324" s="1516" t="s">
        <v>239</v>
      </c>
      <c r="B324" s="694" t="s">
        <v>285</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1028</v>
      </c>
      <c r="B325" s="695" t="s">
        <v>286</v>
      </c>
      <c r="C325" s="467">
        <v>118533</v>
      </c>
      <c r="D325" s="467">
        <v>9965</v>
      </c>
      <c r="E325" s="467">
        <v>19663</v>
      </c>
      <c r="F325" s="467">
        <v>0</v>
      </c>
      <c r="G325" s="467">
        <v>0</v>
      </c>
      <c r="H325" s="467">
        <v>0</v>
      </c>
      <c r="I325" s="467">
        <v>0</v>
      </c>
      <c r="J325" s="467">
        <v>0</v>
      </c>
      <c r="K325" s="1668">
        <f t="shared" si="24"/>
        <v>148161</v>
      </c>
      <c r="L325" s="467">
        <v>141571</v>
      </c>
      <c r="M325" s="662"/>
      <c r="N325" s="662"/>
    </row>
    <row r="326" spans="1:14" s="671" customFormat="1" x14ac:dyDescent="0.2">
      <c r="A326" s="1516" t="s">
        <v>1029</v>
      </c>
      <c r="B326" s="694" t="s">
        <v>287</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970</v>
      </c>
      <c r="B327" s="694" t="s">
        <v>288</v>
      </c>
      <c r="C327" s="467">
        <v>0</v>
      </c>
      <c r="D327" s="467">
        <v>0</v>
      </c>
      <c r="E327" s="467">
        <v>4013</v>
      </c>
      <c r="F327" s="467">
        <v>0</v>
      </c>
      <c r="G327" s="467">
        <v>0</v>
      </c>
      <c r="H327" s="467">
        <v>0</v>
      </c>
      <c r="I327" s="467">
        <v>0</v>
      </c>
      <c r="J327" s="467">
        <v>0</v>
      </c>
      <c r="K327" s="1668">
        <f t="shared" si="24"/>
        <v>4013</v>
      </c>
      <c r="L327" s="467">
        <v>6100</v>
      </c>
      <c r="M327" s="662"/>
      <c r="N327" s="662"/>
    </row>
    <row r="328" spans="1:14" s="671" customFormat="1" x14ac:dyDescent="0.2">
      <c r="A328" s="1517" t="s">
        <v>471</v>
      </c>
      <c r="B328" s="687" t="s">
        <v>1131</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1132</v>
      </c>
      <c r="B329" s="687" t="s">
        <v>1133</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716</v>
      </c>
      <c r="B330" s="1666" t="s">
        <v>568</v>
      </c>
      <c r="C330" s="1667">
        <f>SUM(C319:C329)</f>
        <v>118533</v>
      </c>
      <c r="D330" s="1667">
        <f t="shared" ref="D330:J330" si="25">SUM(D319:D329)</f>
        <v>9965</v>
      </c>
      <c r="E330" s="1667">
        <f t="shared" si="25"/>
        <v>100136</v>
      </c>
      <c r="F330" s="1667">
        <f t="shared" si="25"/>
        <v>0</v>
      </c>
      <c r="G330" s="1667">
        <f t="shared" si="25"/>
        <v>0</v>
      </c>
      <c r="H330" s="1667">
        <f t="shared" si="25"/>
        <v>0</v>
      </c>
      <c r="I330" s="1667">
        <f t="shared" si="25"/>
        <v>0</v>
      </c>
      <c r="J330" s="1667">
        <f t="shared" si="25"/>
        <v>0</v>
      </c>
      <c r="K330" s="1667">
        <f>SUM(K319:K329)</f>
        <v>228634</v>
      </c>
      <c r="L330" s="1667">
        <f>SUM(L319:L329)</f>
        <v>226871</v>
      </c>
      <c r="M330" s="662"/>
      <c r="N330" s="662"/>
    </row>
    <row r="331" spans="1:14" s="671" customFormat="1" ht="12.75" customHeight="1" thickTop="1" x14ac:dyDescent="0.2">
      <c r="A331" s="1828" t="s">
        <v>1850</v>
      </c>
      <c r="B331" s="644" t="s">
        <v>859</v>
      </c>
      <c r="C331" s="1830"/>
      <c r="D331" s="1830"/>
      <c r="E331" s="1830"/>
      <c r="F331" s="1830"/>
      <c r="G331" s="1830"/>
      <c r="H331" s="1830"/>
      <c r="I331" s="1830"/>
      <c r="J331" s="1830"/>
      <c r="K331" s="1830"/>
      <c r="L331" s="1830"/>
      <c r="M331" s="662"/>
      <c r="N331" s="662"/>
    </row>
    <row r="332" spans="1:14" s="671" customFormat="1" ht="12.75" customHeight="1" x14ac:dyDescent="0.2">
      <c r="A332" s="1829" t="s">
        <v>495</v>
      </c>
      <c r="B332" s="1824" t="s">
        <v>1844</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303</v>
      </c>
      <c r="B333" s="1824" t="s">
        <v>1846</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898</v>
      </c>
      <c r="B335" s="1604"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5" t="s">
        <v>87</v>
      </c>
      <c r="B337" s="687" t="s">
        <v>899</v>
      </c>
      <c r="C337" s="635"/>
      <c r="D337" s="635"/>
      <c r="E337" s="635"/>
      <c r="F337" s="635"/>
      <c r="G337" s="635"/>
      <c r="H337" s="476">
        <v>0</v>
      </c>
      <c r="I337" s="635"/>
      <c r="J337" s="635"/>
      <c r="K337" s="1668">
        <f>H337</f>
        <v>0</v>
      </c>
      <c r="L337" s="476">
        <v>0</v>
      </c>
    </row>
    <row r="338" spans="1:14" ht="12.75" customHeight="1" x14ac:dyDescent="0.2">
      <c r="A338" s="1515" t="s">
        <v>1169</v>
      </c>
      <c r="B338" s="687" t="s">
        <v>616</v>
      </c>
      <c r="C338" s="635"/>
      <c r="D338" s="635"/>
      <c r="E338" s="635"/>
      <c r="F338" s="635"/>
      <c r="G338" s="635"/>
      <c r="H338" s="476">
        <v>0</v>
      </c>
      <c r="I338" s="635"/>
      <c r="J338" s="635"/>
      <c r="K338" s="1668">
        <f>H338</f>
        <v>0</v>
      </c>
      <c r="L338" s="476">
        <v>0</v>
      </c>
    </row>
    <row r="339" spans="1:14" x14ac:dyDescent="0.2">
      <c r="A339" s="1501" t="s">
        <v>900</v>
      </c>
      <c r="B339" s="625">
        <v>5150</v>
      </c>
      <c r="C339" s="635"/>
      <c r="D339" s="635"/>
      <c r="E339" s="635"/>
      <c r="F339" s="635"/>
      <c r="G339" s="635"/>
      <c r="H339" s="467">
        <v>0</v>
      </c>
      <c r="I339" s="635"/>
      <c r="J339" s="635"/>
      <c r="K339" s="1668">
        <f>H339</f>
        <v>0</v>
      </c>
      <c r="L339" s="467">
        <v>0</v>
      </c>
    </row>
    <row r="340" spans="1:14" ht="13.5" thickBot="1" x14ac:dyDescent="0.25">
      <c r="A340" s="1691" t="s">
        <v>901</v>
      </c>
      <c r="B340" s="1666" t="s">
        <v>491</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902</v>
      </c>
      <c r="B341" s="1608" t="s">
        <v>860</v>
      </c>
      <c r="C341" s="613"/>
      <c r="D341" s="613"/>
      <c r="E341" s="475"/>
      <c r="F341" s="468"/>
      <c r="G341" s="468"/>
      <c r="H341" s="475"/>
      <c r="I341" s="475"/>
      <c r="J341" s="468"/>
      <c r="K341" s="475"/>
      <c r="L341" s="573">
        <v>0</v>
      </c>
    </row>
    <row r="342" spans="1:14" ht="12.75" customHeight="1" thickTop="1" thickBot="1" x14ac:dyDescent="0.25">
      <c r="A342" s="1683" t="s">
        <v>504</v>
      </c>
      <c r="B342" s="1698"/>
      <c r="C342" s="1667">
        <f>SUM(C330)</f>
        <v>118533</v>
      </c>
      <c r="D342" s="1667">
        <f>SUM(D330)</f>
        <v>9965</v>
      </c>
      <c r="E342" s="1667">
        <f>SUM(E330)</f>
        <v>100136</v>
      </c>
      <c r="F342" s="1667">
        <f>SUM(F330)</f>
        <v>0</v>
      </c>
      <c r="G342" s="1667">
        <f>SUM(G330)</f>
        <v>0</v>
      </c>
      <c r="H342" s="1667">
        <f>SUM(H330,H334,H340)</f>
        <v>0</v>
      </c>
      <c r="I342" s="1667">
        <f>SUM(I330)</f>
        <v>0</v>
      </c>
      <c r="J342" s="1667">
        <f>SUM(J330)</f>
        <v>0</v>
      </c>
      <c r="K342" s="1667">
        <f>SUM(K330,K334,K340)</f>
        <v>228634</v>
      </c>
      <c r="L342" s="1674">
        <f>SUM(L330,L340,L341)</f>
        <v>226871</v>
      </c>
    </row>
    <row r="343" spans="1:14" ht="12.75" customHeight="1" thickTop="1" x14ac:dyDescent="0.2">
      <c r="A343" s="2185" t="s">
        <v>995</v>
      </c>
      <c r="B343" s="2186"/>
      <c r="C343" s="613"/>
      <c r="D343" s="613"/>
      <c r="E343" s="613"/>
      <c r="F343" s="613"/>
      <c r="G343" s="613"/>
      <c r="H343" s="613"/>
      <c r="I343" s="613"/>
      <c r="J343" s="613"/>
      <c r="K343" s="1681">
        <f>'Revenues 9-14'!J268-'Expenditures 15-22'!K342</f>
        <v>-1290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965</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843</v>
      </c>
      <c r="B346" s="1612"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400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400</v>
      </c>
    </row>
    <row r="351" spans="1:14" ht="12.75" customHeight="1" thickTop="1" x14ac:dyDescent="0.2">
      <c r="A351" s="1507"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623</v>
      </c>
      <c r="B352" s="1672" t="s">
        <v>568</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400</v>
      </c>
    </row>
    <row r="353" spans="1:14" s="343" customFormat="1" ht="15.75" customHeight="1" thickTop="1" x14ac:dyDescent="0.2">
      <c r="A353" s="1609" t="s">
        <v>624</v>
      </c>
      <c r="B353" s="1606" t="s">
        <v>859</v>
      </c>
      <c r="C353" s="613"/>
      <c r="D353" s="613"/>
      <c r="E353" s="613"/>
      <c r="F353" s="613"/>
      <c r="G353" s="613"/>
      <c r="H353" s="613"/>
      <c r="I353" s="613"/>
      <c r="J353" s="613"/>
      <c r="K353" s="613"/>
      <c r="L353" s="613"/>
      <c r="M353" s="606"/>
      <c r="N353" s="606"/>
    </row>
    <row r="354" spans="1:14" x14ac:dyDescent="0.2">
      <c r="A354" s="1831" t="s">
        <v>1852</v>
      </c>
      <c r="B354" s="680" t="s">
        <v>1844</v>
      </c>
      <c r="C354" s="613"/>
      <c r="D354" s="613"/>
      <c r="E354" s="613"/>
      <c r="F354" s="613"/>
      <c r="G354" s="613"/>
      <c r="H354" s="473">
        <v>0</v>
      </c>
      <c r="I354" s="698"/>
      <c r="J354" s="613"/>
      <c r="K354" s="1696">
        <f>H354</f>
        <v>0</v>
      </c>
      <c r="L354" s="471">
        <v>0</v>
      </c>
    </row>
    <row r="355" spans="1:14" ht="12.75" customHeight="1" x14ac:dyDescent="0.2">
      <c r="A355" s="1510" t="s">
        <v>1853</v>
      </c>
      <c r="B355" s="687" t="s">
        <v>1846</v>
      </c>
      <c r="C355" s="613"/>
      <c r="D355" s="613"/>
      <c r="E355" s="613"/>
      <c r="F355" s="613"/>
      <c r="G355" s="613"/>
      <c r="H355" s="467">
        <v>0</v>
      </c>
      <c r="I355" s="698"/>
      <c r="J355" s="613"/>
      <c r="K355" s="1740">
        <f>H355</f>
        <v>0</v>
      </c>
      <c r="L355" s="467">
        <v>0</v>
      </c>
    </row>
    <row r="356" spans="1:14" ht="12.75" customHeight="1" x14ac:dyDescent="0.2">
      <c r="A356" s="1831" t="s">
        <v>697</v>
      </c>
      <c r="B356" s="680" t="s">
        <v>557</v>
      </c>
      <c r="C356" s="613"/>
      <c r="D356" s="613"/>
      <c r="E356" s="613"/>
      <c r="F356" s="613"/>
      <c r="G356" s="613"/>
      <c r="H356" s="477">
        <v>0</v>
      </c>
      <c r="I356" s="698"/>
      <c r="J356" s="613"/>
      <c r="K356" s="1737">
        <f>H356</f>
        <v>0</v>
      </c>
      <c r="L356" s="477">
        <v>0</v>
      </c>
    </row>
    <row r="357" spans="1:14" ht="12.75" customHeight="1" thickBot="1" x14ac:dyDescent="0.25">
      <c r="A357" s="1665" t="s">
        <v>1486</v>
      </c>
      <c r="B357" s="1666" t="s">
        <v>859</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947</v>
      </c>
      <c r="B358" s="1606"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618</v>
      </c>
      <c r="B361" s="599" t="s">
        <v>617</v>
      </c>
      <c r="C361" s="613"/>
      <c r="D361" s="613"/>
      <c r="E361" s="613"/>
      <c r="F361" s="613"/>
      <c r="G361" s="613"/>
      <c r="H361" s="467">
        <v>0</v>
      </c>
      <c r="I361" s="613"/>
      <c r="J361" s="613"/>
      <c r="K361" s="1668">
        <f>SUM(C361:J361)</f>
        <v>0</v>
      </c>
      <c r="L361" s="466">
        <v>0</v>
      </c>
    </row>
    <row r="362" spans="1:14" ht="12.75" customHeight="1" thickBot="1" x14ac:dyDescent="0.25">
      <c r="A362" s="1665" t="s">
        <v>625</v>
      </c>
      <c r="B362" s="1666" t="s">
        <v>717</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589</v>
      </c>
      <c r="B365" s="656" t="s">
        <v>491</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948</v>
      </c>
      <c r="B366" s="1610" t="s">
        <v>860</v>
      </c>
      <c r="C366" s="620"/>
      <c r="D366" s="620"/>
      <c r="E366" s="620"/>
      <c r="F366" s="620"/>
      <c r="G366" s="620"/>
      <c r="H366" s="620"/>
      <c r="I366" s="620"/>
      <c r="J366" s="613"/>
      <c r="K366" s="620"/>
      <c r="L366" s="570">
        <v>0</v>
      </c>
      <c r="M366" s="606"/>
      <c r="N366" s="606"/>
    </row>
    <row r="367" spans="1:14" ht="12.75" customHeight="1" thickTop="1" thickBot="1" x14ac:dyDescent="0.25">
      <c r="A367" s="1689" t="s">
        <v>504</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400</v>
      </c>
    </row>
    <row r="368" spans="1:14" ht="13.5" thickTop="1" x14ac:dyDescent="0.2">
      <c r="A368" s="2172" t="s">
        <v>995</v>
      </c>
      <c r="B368" s="2173"/>
      <c r="C368" s="651"/>
      <c r="D368" s="651"/>
      <c r="E368" s="623"/>
      <c r="F368" s="623"/>
      <c r="G368" s="623"/>
      <c r="H368" s="623"/>
      <c r="I368" s="623"/>
      <c r="J368" s="620"/>
      <c r="K368" s="1668">
        <f>'Revenues 9-14'!K268-'Expenditures 15-22'!K367</f>
        <v>78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office/infopath/2007/PartnerControls"/>
    <ds:schemaRef ds:uri="http://purl.org/dc/elements/1.1/"/>
    <ds:schemaRef ds:uri="http://purl.org/dc/terms/"/>
    <ds:schemaRef ds:uri="http://schemas.microsoft.com/office/2006/documentManagement/types"/>
    <ds:schemaRef ds:uri="6ce3111e-7420-4802-b50a-75d4e9a0b980"/>
    <ds:schemaRef ds:uri="http://schemas.microsoft.com/office/2006/metadata/properties"/>
    <ds:schemaRef ds:uri="http://schemas.openxmlformats.org/package/2006/metadata/core-properties"/>
    <ds:schemaRef ds:uri="d21dc803-237d-4c68-8692-8d731fd29118"/>
    <ds:schemaRef ds:uri="http://schemas.microsoft.com/sharepoint/v3"/>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2019-09-23T20:05:21Z</cp:lastPrinted>
  <dcterms:created xsi:type="dcterms:W3CDTF">2003-10-29T19:06:34Z</dcterms:created>
  <dcterms:modified xsi:type="dcterms:W3CDTF">2019-11-19T15:43:40Z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