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0EF3560-CE97-44EF-A866-73EB29A72B9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AC32" sheetId="145" r:id="rId17"/>
    <sheet name="Itemization 33" sheetId="127" r:id="rId18"/>
    <sheet name="REF 34" sheetId="117" r:id="rId19"/>
    <sheet name="Shared Outsourced Services 31" sheetId="182"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79" r:id="rId28"/>
    <sheet name="SEFA 19" sheetId="184" r:id="rId29"/>
    <sheet name="SEFA NOTES" sheetId="173" r:id="rId30"/>
    <sheet name="SF&amp;QC Sec-1" sheetId="174" r:id="rId31"/>
    <sheet name="SF&amp;QC Sec-2" sheetId="175" r:id="rId32"/>
    <sheet name="SF&amp;QC Sec-3 1 finding 2019-001" sheetId="176" r:id="rId33"/>
    <sheet name="SF&amp;QC Sec-3 2 Finding 2019-002" sheetId="185" r:id="rId34"/>
    <sheet name="SSPAF" sheetId="177" r:id="rId35"/>
    <sheet name="CAP 2019-001" sheetId="183" r:id="rId36"/>
    <sheet name="CAP 2019-002" sheetId="186" r:id="rId37"/>
  </sheets>
  <definedNames>
    <definedName name="goof">#REF!</definedName>
    <definedName name="oops">#REF!</definedName>
    <definedName name="pass">#REF!</definedName>
    <definedName name="pass1">#REF!</definedName>
    <definedName name="pass2">#REF!</definedName>
    <definedName name="pass3">#REF!</definedName>
    <definedName name="pass4">#REF!</definedName>
    <definedName name="_xlnm.Print_Area" localSheetId="27">SEFA!$B$1:$M$46</definedName>
    <definedName name="_xlnm.Print_Area" localSheetId="28">'SEFA 19'!$A$2:$X$119</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 1 finding 2019-001'!$A$1:$K$48</definedName>
    <definedName name="_xlnm.Print_Area" localSheetId="33">'SF&amp;QC Sec-3 2 Finding 2019-002'!$A$1:$K$48</definedName>
    <definedName name="_xlnm.Print_Area" localSheetId="25">'Single Audit Checklist'!$A$1:$D$124</definedName>
    <definedName name="_xlnm.Print_Area" localSheetId="24">'Single Audit Cover'!$A$1:$L$51</definedName>
    <definedName name="Print_Area_MI" localSheetId="28">'SEFA 19'!$B$20:$Z$97</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19'!$A:$B,'SEFA 19'!$1:$14</definedName>
    <definedName name="_xlnm.Print_Titles" localSheetId="19">'Shared Outsourced Services 31'!$5:$5</definedName>
    <definedName name="_xlnm.Print_Titles" localSheetId="25">'Single Audit Checklist'!$1:$4</definedName>
    <definedName name="SCHADDRS" localSheetId="16">#REF!</definedName>
    <definedName name="SCHADDRS" localSheetId="35">#REF!</definedName>
    <definedName name="SCHADDRS" localSheetId="36">#REF!</definedName>
    <definedName name="SCHADDRS" localSheetId="21">#REF!</definedName>
    <definedName name="SCHADDRS" localSheetId="4">#REF!</definedName>
    <definedName name="SCHADDRS" localSheetId="27">#REF!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16">#REF!</definedName>
    <definedName name="SCHCTY" localSheetId="35">#REF!</definedName>
    <definedName name="SCHCTY" localSheetId="36">#REF!</definedName>
    <definedName name="SCHCTY" localSheetId="21">#REF!</definedName>
    <definedName name="SCHCTY" localSheetId="4">#REF!</definedName>
    <definedName name="SCHCTY" localSheetId="27">#REF!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16">#REF!</definedName>
    <definedName name="SCHNMBR" localSheetId="35">#REF!</definedName>
    <definedName name="SCHNMBR" localSheetId="36">#REF!</definedName>
    <definedName name="SCHNMBR" localSheetId="21">#REF!</definedName>
    <definedName name="SCHNMBR" localSheetId="4">#REF!</definedName>
    <definedName name="SCHNMBR" localSheetId="27">#REF!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16">#REF!</definedName>
    <definedName name="SCHNME" localSheetId="35">#REF!</definedName>
    <definedName name="SCHNME" localSheetId="36">#REF!</definedName>
    <definedName name="SCHNME" localSheetId="21">#REF!</definedName>
    <definedName name="SCHNME" localSheetId="4">#REF!</definedName>
    <definedName name="SCHNME" localSheetId="27">#REF!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16">#REF!</definedName>
    <definedName name="SUPT" localSheetId="35">#REF!</definedName>
    <definedName name="SUPT" localSheetId="36">#REF!</definedName>
    <definedName name="SUPT" localSheetId="21">#REF!</definedName>
    <definedName name="SUPT" localSheetId="4">#REF!</definedName>
    <definedName name="SUPT" localSheetId="27">#REF!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G38" i="174"/>
  <c r="M32" i="184"/>
  <c r="I32" i="184"/>
  <c r="B11" i="186" l="1"/>
  <c r="B4" i="185"/>
  <c r="B11" i="183"/>
  <c r="O104" i="184" l="1"/>
  <c r="K104" i="184"/>
  <c r="G104" i="184"/>
  <c r="O99" i="184"/>
  <c r="M99" i="184"/>
  <c r="K99" i="184"/>
  <c r="I99" i="184"/>
  <c r="G99" i="184"/>
  <c r="Y96" i="184"/>
  <c r="Q96" i="184"/>
  <c r="Y95" i="184"/>
  <c r="Q95" i="184"/>
  <c r="Q99" i="184" s="1"/>
  <c r="O88" i="184"/>
  <c r="M88" i="184"/>
  <c r="K88" i="184"/>
  <c r="I88" i="184"/>
  <c r="G88" i="184"/>
  <c r="Y87" i="184"/>
  <c r="Q87" i="184"/>
  <c r="Y85" i="184"/>
  <c r="Q85" i="184"/>
  <c r="Q84" i="184"/>
  <c r="O78" i="184"/>
  <c r="O106" i="184" s="1"/>
  <c r="O108" i="184" s="1"/>
  <c r="M78" i="184"/>
  <c r="K78" i="184"/>
  <c r="K106" i="184" s="1"/>
  <c r="I78" i="184"/>
  <c r="G78" i="184"/>
  <c r="Y77" i="184"/>
  <c r="Q77" i="184"/>
  <c r="Q78" i="184" s="1"/>
  <c r="O73" i="184"/>
  <c r="M73" i="184"/>
  <c r="M106" i="184" s="1"/>
  <c r="K73" i="184"/>
  <c r="I73" i="184"/>
  <c r="G73" i="184"/>
  <c r="Y72" i="184"/>
  <c r="Q72" i="184"/>
  <c r="Y71" i="184"/>
  <c r="Q71" i="184"/>
  <c r="O65" i="184"/>
  <c r="O90" i="184" s="1"/>
  <c r="K65" i="184"/>
  <c r="K90" i="184" s="1"/>
  <c r="G65" i="184"/>
  <c r="Y63" i="184"/>
  <c r="Q63" i="184"/>
  <c r="Y62" i="184"/>
  <c r="Q62" i="184"/>
  <c r="Y60" i="184"/>
  <c r="Q60" i="184"/>
  <c r="M59" i="184"/>
  <c r="Q59" i="184" s="1"/>
  <c r="I59" i="184"/>
  <c r="Y59" i="184" s="1"/>
  <c r="Q57" i="184"/>
  <c r="Y56" i="184"/>
  <c r="Q56" i="184"/>
  <c r="Q54" i="184"/>
  <c r="M53" i="184"/>
  <c r="I53" i="184"/>
  <c r="Y51" i="184"/>
  <c r="Q51" i="184"/>
  <c r="Y49" i="184"/>
  <c r="Q49" i="184"/>
  <c r="M48" i="184"/>
  <c r="I48" i="184"/>
  <c r="Q46" i="184"/>
  <c r="O40" i="184"/>
  <c r="M40" i="184"/>
  <c r="K40" i="184"/>
  <c r="K101" i="184" s="1"/>
  <c r="G40" i="184"/>
  <c r="Y38" i="184"/>
  <c r="V38" i="184"/>
  <c r="Q38" i="184"/>
  <c r="Q37" i="184"/>
  <c r="Y35" i="184"/>
  <c r="Q35" i="184"/>
  <c r="V33" i="184"/>
  <c r="Q33" i="184"/>
  <c r="V32" i="184"/>
  <c r="Q32" i="184"/>
  <c r="Y31" i="184"/>
  <c r="V30" i="184"/>
  <c r="Q30" i="184"/>
  <c r="V29" i="184"/>
  <c r="Q29" i="184"/>
  <c r="I29" i="184"/>
  <c r="Y27" i="184"/>
  <c r="V27" i="184"/>
  <c r="Q27" i="184"/>
  <c r="Y26" i="184"/>
  <c r="V26" i="184"/>
  <c r="Q26" i="184"/>
  <c r="Y24" i="184"/>
  <c r="V24" i="184"/>
  <c r="Q24" i="184"/>
  <c r="Y23" i="184"/>
  <c r="V23" i="184"/>
  <c r="Q23" i="184"/>
  <c r="Y21" i="184"/>
  <c r="V21" i="184"/>
  <c r="Q21" i="184"/>
  <c r="V20" i="184"/>
  <c r="Q20" i="184"/>
  <c r="I20" i="184"/>
  <c r="I40" i="184" s="1"/>
  <c r="Y14" i="184"/>
  <c r="M13" i="184"/>
  <c r="K13" i="184"/>
  <c r="M12" i="184"/>
  <c r="O101" i="184" l="1"/>
  <c r="M104" i="184"/>
  <c r="M108" i="184" s="1"/>
  <c r="V106" i="184" s="1"/>
  <c r="Q73" i="184"/>
  <c r="Q106" i="184" s="1"/>
  <c r="Y53" i="184"/>
  <c r="I65" i="184"/>
  <c r="I90" i="184" s="1"/>
  <c r="I101" i="184" s="1"/>
  <c r="Q88" i="184"/>
  <c r="Y20" i="184"/>
  <c r="G106" i="184"/>
  <c r="G108" i="184" s="1"/>
  <c r="V101" i="184"/>
  <c r="V104" i="184" s="1"/>
  <c r="G90" i="184"/>
  <c r="G101" i="184" s="1"/>
  <c r="M65" i="184"/>
  <c r="M90" i="184" s="1"/>
  <c r="M101" i="184" s="1"/>
  <c r="I106" i="184"/>
  <c r="Q48" i="184"/>
  <c r="K108" i="184"/>
  <c r="Q40" i="184"/>
  <c r="Y101" i="184"/>
  <c r="Q53" i="184"/>
  <c r="Q104" i="184" s="1"/>
  <c r="I104" i="184"/>
  <c r="Y48" i="184"/>
  <c r="Q108" i="184" l="1"/>
  <c r="I108" i="184"/>
  <c r="Q65" i="184"/>
  <c r="Q90" i="184" s="1"/>
  <c r="Q101" i="184"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3"/>
  <c r="B2" i="179"/>
  <c r="B2" i="186"/>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B6997" i="106" s="1"/>
  <c r="D6997" i="106" s="1"/>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7" i="108"/>
  <c r="G27"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D24" i="37"/>
  <c r="B4270" i="106" s="1"/>
  <c r="D4270" i="106" s="1"/>
  <c r="L5" i="11"/>
  <c r="B2056" i="106" s="1"/>
  <c r="D2056" i="106" s="1"/>
  <c r="H33" i="118" l="1"/>
  <c r="D68" i="36"/>
  <c r="D54" i="36"/>
  <c r="G33" i="108"/>
  <c r="G30" i="108"/>
  <c r="E30" i="108"/>
  <c r="B7074" i="106"/>
  <c r="D7074" i="106" s="1"/>
  <c r="F36" i="34"/>
  <c r="H28" i="118"/>
  <c r="B1868" i="106"/>
  <c r="D1868" i="106" s="1"/>
  <c r="J23" i="12"/>
  <c r="B7730" i="106" s="1"/>
  <c r="D7730" i="106" s="1"/>
  <c r="F71" i="34"/>
  <c r="G14" i="4"/>
  <c r="B2609" i="106" s="1"/>
  <c r="D2609" i="106" s="1"/>
  <c r="F49" i="34"/>
  <c r="H112" i="29"/>
  <c r="B7018" i="106" s="1"/>
  <c r="D7018" i="106" s="1"/>
  <c r="F50" i="34"/>
  <c r="F37" i="34"/>
  <c r="F26" i="108"/>
  <c r="B1126" i="106"/>
  <c r="D1126" i="106" s="1"/>
  <c r="D26" i="108"/>
  <c r="F64" i="34"/>
  <c r="F42" i="34"/>
  <c r="H76" i="4"/>
  <c r="B3298" i="106" s="1"/>
  <c r="D3298" i="106" s="1"/>
  <c r="F69" i="34"/>
  <c r="F46" i="34"/>
  <c r="J210" i="29"/>
  <c r="B7072" i="106" s="1"/>
  <c r="D7072" i="106" s="1"/>
  <c r="B1124" i="106"/>
  <c r="D1124" i="106" s="1"/>
  <c r="F36" i="108"/>
  <c r="I210" i="29"/>
  <c r="B7071" i="106" s="1"/>
  <c r="D7071"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B7270" i="106"/>
  <c r="D7250" i="106" l="1"/>
  <c r="D7254" i="106"/>
  <c r="D7251" i="106"/>
  <c r="D7256" i="106"/>
  <c r="J16" i="4"/>
  <c r="B6226" i="106" s="1"/>
  <c r="D6226" i="106" s="1"/>
  <c r="I7" i="4"/>
  <c r="B4444" i="106" s="1"/>
  <c r="D4444" i="106" s="1"/>
  <c r="D7252" i="106"/>
  <c r="D7255" i="106"/>
  <c r="J24" i="12"/>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3678" i="106" s="1"/>
  <c r="D3678"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<sst xmlns="http://schemas.openxmlformats.org/spreadsheetml/2006/main" count="5580" uniqueCount="2291">
  <si>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</si>
  <si>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</si>
  <si>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</si>
  <si>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</si>
  <si>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</si>
  <si>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</si>
  <si>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</si>
  <si>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</si>
  <si>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</si>
  <si>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</si>
  <si>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</si>
  <si>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</si>
  <si>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</si>
  <si>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</si>
  <si>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</si>
  <si>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</si>
  <si>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</si>
  <si>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</si>
  <si>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</si>
  <si>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</si>
  <si>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</si>
  <si>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</si>
  <si>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</si>
  <si>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</si>
  <si>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</si>
  <si>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</si>
  <si>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</si>
  <si>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</si>
  <si>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</si>
  <si>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</si>
  <si>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</si>
  <si>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</si>
  <si>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</si>
  <si>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</si>
  <si>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</si>
  <si>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</si>
  <si>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</si>
  <si>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</si>
  <si>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</si>
  <si>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</si>
  <si>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</si>
  <si>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</si>
  <si>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</si>
  <si>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</si>
  <si>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</si>
  <si>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</si>
  <si>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</si>
  <si>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</si>
  <si>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</si>
  <si>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</si>
  <si>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</si>
  <si>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</si>
  <si>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</si>
  <si>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</si>
  <si>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</si>
  <si>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</si>
  <si>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</si>
  <si>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</si>
  <si>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</si>
  <si>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</si>
  <si>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</si>
  <si>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</si>
  <si>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</si>
  <si>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</si>
  <si>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</si>
  <si>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</si>
  <si>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</si>
  <si>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</si>
  <si>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</si>
  <si>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</si>
  <si>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</si>
  <si>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</si>
  <si>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</si>
  <si>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</si>
  <si>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</si>
  <si>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</si>
  <si>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</si>
  <si>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</si>
  <si>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</si>
  <si>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</si>
  <si>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</si>
  <si>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</si>
  <si>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</si>
  <si>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</si>
  <si>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</si>
  <si>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</si>
  <si>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</si>
  <si>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</si>
  <si>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</si>
  <si>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</si>
  <si>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</si>
  <si>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</si>
  <si>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</si>
  <si>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</si>
  <si>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</si>
  <si>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</si>
  <si>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</si>
  <si>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</si>
  <si>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</si>
  <si>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</si>
  <si>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</si>
  <si>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</si>
  <si>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</si>
  <si>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</si>
  <si>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</si>
  <si>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</si>
  <si>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</si>
  <si>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</si>
  <si>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</si>
  <si>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</si>
  <si>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</si>
  <si>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</si>
  <si>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</si>
  <si>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</si>
  <si>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</si>
  <si>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</si>
  <si>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</si>
  <si>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</si>
  <si>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</si>
  <si>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</si>
  <si>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</si>
  <si>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</si>
  <si>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</si>
  <si>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</si>
  <si>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</si>
  <si>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</si>
  <si>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</si>
  <si>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</si>
  <si>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</si>
  <si>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</si>
  <si>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</si>
  <si>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</si>
  <si>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</si>
  <si>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</si>
  <si>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</si>
  <si>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</si>
  <si>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</si>
  <si>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</si>
  <si>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</si>
  <si>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</si>
  <si>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</si>
  <si>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</si>
  <si>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</si>
  <si>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</si>
  <si>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</si>
  <si>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</si>
  <si>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</si>
  <si>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</si>
  <si>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</si>
  <si>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</si>
  <si>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</si>
  <si>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</si>
  <si>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</si>
  <si>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</si>
  <si>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</si>
  <si>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</si>
  <si>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</si>
  <si>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</si>
  <si>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</si>
  <si>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</si>
  <si>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</si>
  <si>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</si>
  <si>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</si>
  <si>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</si>
  <si>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</si>
  <si>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</si>
  <si>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</si>
  <si>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</si>
  <si>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</si>
  <si>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</si>
  <si>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</si>
  <si>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</si>
  <si>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</si>
  <si>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</si>
  <si>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</si>
  <si>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</si>
  <si>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</si>
  <si>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</si>
  <si>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</si>
  <si>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</si>
  <si>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</si>
  <si>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</si>
  <si>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</si>
  <si>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</si>
  <si>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</si>
  <si>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</si>
  <si>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</si>
  <si>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</si>
  <si>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</si>
  <si>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</si>
  <si>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</si>
  <si>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</si>
  <si>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</si>
  <si>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</si>
  <si>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</si>
  <si>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</si>
  <si>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</si>
  <si>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</si>
  <si>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</si>
  <si>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</si>
  <si>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</si>
  <si>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</si>
  <si>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</si>
  <si>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</si>
  <si>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</si>
  <si>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</si>
  <si>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</si>
  <si>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</si>
  <si>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</si>
  <si>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</si>
  <si>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</si>
  <si>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</si>
  <si>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</si>
  <si>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</si>
  <si>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</si>
  <si>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</si>
  <si>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</si>
  <si>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</si>
  <si>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</si>
  <si>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</si>
  <si>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</si>
  <si>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</si>
  <si>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</si>
  <si>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</si>
  <si>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</si>
  <si>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</si>
  <si>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</si>
  <si>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</si>
  <si>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</si>
  <si>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</si>
  <si>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</si>
  <si>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</si>
  <si>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</si>
  <si>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</si>
  <si>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</si>
  <si>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</si>
  <si>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</si>
  <si>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</si>
  <si>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</si>
  <si>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</si>
  <si>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</si>
  <si>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</si>
  <si>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</si>
  <si>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</si>
  <si>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</si>
  <si>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</si>
  <si>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</si>
  <si>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</si>
  <si>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</si>
  <si>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</si>
  <si>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</si>
  <si>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</si>
  <si>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</si>
  <si>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</si>
  <si>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</si>
  <si>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</si>
  <si>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</si>
  <si>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</si>
  <si>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</si>
  <si>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</si>
  <si>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</si>
  <si>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</si>
  <si>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</si>
  <si>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</si>
  <si>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</si>
  <si>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</si>
  <si>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</si>
  <si>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</si>
  <si>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</si>
  <si>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</si>
  <si>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</si>
  <si>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</si>
  <si>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</si>
  <si>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</si>
  <si>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</si>
  <si>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</si>
  <si>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</si>
  <si>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</si>
  <si>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</si>
  <si>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</si>
  <si>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</si>
  <si>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</si>
  <si>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</si>
  <si>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</si>
  <si>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</si>
  <si>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</si>
  <si>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</si>
  <si>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</si>
  <si>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</si>
  <si>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</si>
  <si>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</si>
  <si>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</si>
  <si>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</si>
  <si>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</si>
  <si>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</si>
  <si>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</si>
  <si>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</si>
  <si>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</si>
  <si>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</si>
  <si>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</si>
  <si>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</si>
  <si>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</si>
  <si>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</si>
  <si>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</si>
  <si>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</si>
  <si>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</si>
  <si>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</si>
  <si>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</si>
  <si>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</si>
  <si>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</si>
  <si>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</si>
  <si>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</si>
  <si>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</si>
  <si>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</si>
  <si>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</si>
  <si>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</si>
  <si>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</si>
  <si>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</si>
  <si>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</si>
  <si>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</si>
  <si>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</si>
  <si>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</si>
  <si>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</si>
  <si>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</si>
  <si>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</si>
  <si>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</si>
  <si>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</si>
  <si>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</si>
  <si>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</si>
  <si>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</si>
  <si>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</si>
  <si>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</si>
  <si>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</si>
  <si>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</si>
  <si>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</si>
  <si>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</si>
  <si>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</si>
  <si>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</si>
  <si>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</si>
  <si>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</si>
  <si>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</si>
  <si>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</si>
  <si>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</si>
  <si>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</si>
  <si>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</si>
  <si>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</si>
  <si>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</si>
  <si>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</si>
  <si>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</si>
  <si>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</si>
  <si>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</si>
  <si>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</si>
  <si>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</si>
  <si>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</si>
  <si>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</si>
  <si>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</si>
  <si>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</si>
  <si>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</si>
  <si>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</si>
  <si>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</si>
  <si>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</si>
  <si>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</si>
  <si>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</si>
  <si>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</si>
  <si>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</si>
  <si>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</si>
  <si>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</si>
  <si>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</si>
  <si>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</si>
  <si>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</si>
  <si>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</si>
  <si>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</si>
  <si>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</si>
  <si>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</si>
  <si>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</si>
  <si>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</si>
  <si>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</si>
  <si>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</si>
  <si>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</si>
  <si>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</si>
  <si>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</si>
  <si>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</si>
  <si>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</si>
  <si>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</si>
  <si>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</si>
  <si>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</si>
  <si>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</si>
  <si>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</si>
  <si>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</si>
  <si>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</si>
  <si>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</si>
  <si>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</si>
  <si>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</si>
  <si>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</si>
  <si>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</si>
  <si>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</si>
  <si>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</si>
  <si>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</si>
  <si>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</si>
  <si>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</si>
  <si>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</si>
  <si>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</si>
  <si>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</si>
  <si>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</si>
  <si>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</si>
  <si>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</si>
  <si>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</si>
  <si>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</si>
  <si>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</si>
  <si>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</si>
  <si>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</si>
  <si>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</si>
  <si>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</si>
  <si>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</si>
  <si>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</si>
  <si>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</si>
  <si>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</si>
  <si>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</si>
  <si>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</si>
  <si>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</si>
  <si>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</si>
  <si>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</si>
  <si>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</si>
  <si>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</si>
  <si>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</si>
  <si>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</si>
  <si>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</si>
  <si>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</si>
  <si>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</si>
  <si>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</si>
  <si>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</si>
  <si>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</si>
  <si>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</si>
  <si>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</si>
  <si>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</si>
  <si>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</si>
  <si>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</si>
  <si>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</si>
  <si>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</si>
  <si>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</si>
  <si>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</si>
  <si>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</si>
  <si>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</si>
  <si>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</si>
  <si>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</si>
  <si>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</si>
  <si>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</si>
  <si>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</si>
  <si>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</si>
  <si>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</si>
  <si>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</si>
  <si>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</si>
  <si>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</si>
  <si>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</si>
  <si>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</si>
  <si>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</si>
  <si>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</si>
  <si>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</si>
  <si>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</si>
  <si>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</si>
  <si>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</si>
  <si>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</si>
  <si>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</si>
  <si>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</si>
  <si>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</si>
  <si>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</si>
  <si>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</si>
  <si>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</si>
  <si>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</si>
  <si>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</si>
  <si>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</si>
  <si>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</si>
  <si>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</si>
  <si>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</si>
  <si>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</si>
  <si>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</si>
  <si>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</si>
  <si>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</si>
  <si>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</si>
  <si>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</si>
  <si>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</si>
  <si>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</si>
  <si>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</si>
  <si>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</si>
  <si>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</si>
  <si>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</si>
  <si>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</si>
  <si>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</si>
  <si>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</si>
  <si>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</si>
  <si>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</si>
  <si>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</si>
  <si>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</si>
  <si>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</si>
  <si>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</si>
  <si>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</si>
  <si>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</si>
  <si>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</si>
  <si>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</si>
  <si>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</si>
  <si>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</si>
  <si>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</si>
  <si>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</si>
  <si>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</si>
  <si>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</si>
  <si>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</si>
  <si>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</si>
  <si>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</si>
  <si>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</si>
  <si>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</si>
  <si>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</si>
  <si>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</si>
  <si>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</si>
  <si>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</si>
  <si>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</si>
  <si>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</si>
  <si>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</si>
  <si>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</si>
  <si>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</si>
  <si>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</si>
  <si>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</si>
  <si>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</si>
  <si>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</si>
  <si>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</si>
  <si>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</si>
  <si>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</si>
  <si>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</si>
  <si>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</si>
  <si>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</si>
  <si>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</si>
  <si>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</si>
  <si>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</si>
  <si>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</si>
  <si>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</si>
  <si>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</si>
  <si>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</si>
  <si>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</si>
  <si>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</si>
  <si>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</si>
  <si>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</si>
  <si>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</si>
  <si>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</si>
  <si>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</si>
  <si>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</si>
  <si>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</si>
  <si>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</si>
  <si>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</si>
  <si>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</si>
  <si>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</si>
  <si>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</si>
  <si>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</si>
  <si>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</si>
  <si>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</si>
  <si>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</si>
  <si>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</si>
  <si>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</si>
  <si>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</si>
  <si>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</si>
  <si>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</si>
  <si>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</si>
  <si>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</si>
  <si>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</si>
  <si>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</si>
  <si>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</si>
  <si>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</si>
  <si>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</si>
  <si>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</si>
  <si>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</si>
  <si>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</si>
  <si>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</si>
  <si>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</si>
  <si>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</si>
  <si>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</si>
  <si>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</si>
  <si>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</si>
  <si>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</si>
  <si>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</si>
  <si>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</si>
  <si>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</si>
  <si>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</si>
  <si>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</si>
  <si>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</si>
  <si>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</si>
  <si>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</si>
  <si>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</si>
  <si>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</si>
  <si>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</si>
  <si>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</si>
  <si>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</si>
  <si>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</si>
  <si>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</si>
  <si>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</si>
  <si>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</si>
  <si>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</si>
  <si>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</si>
  <si>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</si>
  <si>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</si>
  <si>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</si>
  <si>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</si>
  <si>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</si>
  <si>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</si>
  <si>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</si>
  <si>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</si>
  <si>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</si>
  <si>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</si>
  <si>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</si>
  <si>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</si>
  <si>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</si>
  <si>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</si>
  <si>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</si>
  <si>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</si>
  <si>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</si>
  <si>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</si>
  <si>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</si>
  <si>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</si>
  <si>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</si>
  <si>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</si>
  <si>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</si>
  <si>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</si>
  <si>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</si>
  <si>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</si>
  <si>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</si>
  <si>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</si>
  <si>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</si>
  <si>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</si>
  <si>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</si>
  <si>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</si>
  <si>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</si>
  <si>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</si>
  <si>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</si>
  <si>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</si>
  <si>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</si>
  <si>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</si>
  <si>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</si>
  <si>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</si>
  <si>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</si>
  <si>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</si>
  <si>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</si>
  <si>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</si>
  <si>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</si>
  <si>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</si>
  <si>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</si>
  <si>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</si>
  <si>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</si>
  <si>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</si>
  <si>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</si>
  <si>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</si>
  <si>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</si>
  <si>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</si>
  <si>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</si>
  <si>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</si>
  <si>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</si>
  <si>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</si>
  <si>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</si>
  <si>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</si>
  <si>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</si>
  <si>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</si>
  <si>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</si>
  <si>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</si>
  <si>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</si>
  <si>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</si>
  <si>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</si>
  <si>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</si>
  <si>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</si>
  <si>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</si>
  <si>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</si>
  <si>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</si>
  <si>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</si>
  <si>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</si>
  <si>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</si>
  <si>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</si>
  <si>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</si>
  <si>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</si>
  <si>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</si>
  <si>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</si>
  <si>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</si>
  <si>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</si>
  <si>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</si>
  <si>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</si>
  <si>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</si>
  <si>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</si>
  <si>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</si>
  <si>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</si>
  <si>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</si>
  <si>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</si>
  <si>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</si>
  <si>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</si>
  <si>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</si>
  <si>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</si>
  <si>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</si>
  <si>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</si>
  <si>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</si>
  <si>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</si>
  <si>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</si>
  <si>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</si>
  <si>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</si>
  <si>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</si>
  <si>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</si>
  <si>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</si>
  <si>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</si>
  <si>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</si>
  <si>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</si>
  <si>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</si>
  <si>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</si>
  <si>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</si>
  <si>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</si>
  <si>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</si>
  <si>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</si>
  <si>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</si>
  <si>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</si>
  <si>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</si>
  <si>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</si>
  <si>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</si>
  <si>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</si>
  <si>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</si>
  <si>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</si>
  <si>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</si>
  <si>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</si>
  <si>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</si>
  <si>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</si>
  <si>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</si>
  <si>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</si>
  <si>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</si>
  <si>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</si>
  <si>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</si>
  <si>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</si>
  <si>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</si>
  <si>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</si>
  <si>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</si>
  <si>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</si>
  <si>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</si>
  <si>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</si>
  <si>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</si>
  <si>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</si>
  <si>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</si>
  <si>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</si>
  <si>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</si>
  <si>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</si>
  <si>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</si>
  <si>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</si>
  <si>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</si>
  <si>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</si>
  <si>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</si>
  <si>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</si>
  <si>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</si>
  <si>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</si>
  <si>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</si>
  <si>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</si>
  <si>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</si>
  <si>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</si>
  <si>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</si>
  <si>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</si>
  <si>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</si>
  <si>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</si>
  <si>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</si>
  <si>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</si>
  <si>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</si>
  <si>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</si>
  <si>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</si>
  <si>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</si>
  <si>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</si>
  <si>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</si>
  <si>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</si>
  <si>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</si>
  <si>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</si>
  <si>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</si>
  <si>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</si>
  <si>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</si>
  <si>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</si>
  <si>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</si>
  <si>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</si>
  <si>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</si>
  <si>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</si>
  <si>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</si>
  <si>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</si>
  <si>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</si>
  <si>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</si>
  <si>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</si>
  <si>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</si>
  <si>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</si>
  <si>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</si>
  <si>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</si>
  <si>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</si>
  <si>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</si>
  <si>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</si>
  <si>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</si>
  <si>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</si>
  <si>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</si>
  <si>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</si>
  <si>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</si>
  <si>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</si>
  <si>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</si>
  <si>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</si>
  <si>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</si>
  <si>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</si>
  <si>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</si>
  <si>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</si>
  <si>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</si>
  <si>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</si>
  <si>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</si>
  <si>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</si>
  <si>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</si>
  <si>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</si>
  <si>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</si>
  <si>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</si>
  <si>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</si>
  <si>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</si>
  <si>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</si>
  <si>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</si>
  <si>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</si>
  <si>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</si>
  <si>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</si>
  <si>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</si>
  <si>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</si>
  <si>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</si>
  <si>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</si>
  <si>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</si>
  <si>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</si>
  <si>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</si>
  <si>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</si>
  <si>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</si>
  <si>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</si>
  <si>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</si>
  <si>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</si>
  <si>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</si>
  <si>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</si>
  <si>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</si>
  <si>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</si>
  <si>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</si>
  <si>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</si>
  <si>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</si>
  <si>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</si>
  <si>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</si>
  <si>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</si>
  <si>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</si>
  <si>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</si>
  <si>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</si>
  <si>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</si>
  <si>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</si>
  <si>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</si>
  <si>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</si>
  <si>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</si>
  <si>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</si>
  <si>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</si>
  <si>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</si>
  <si>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</si>
  <si>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</si>
  <si>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</si>
  <si>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</si>
  <si>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</si>
  <si>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</si>
  <si>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</si>
  <si>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</si>
  <si>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</si>
  <si>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</si>
  <si>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</si>
  <si>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</si>
  <si>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</si>
  <si>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</si>
  <si>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</si>
  <si>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</si>
  <si>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</si>
  <si>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</si>
  <si>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</si>
  <si>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</si>
  <si>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</si>
  <si>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</si>
  <si>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</si>
  <si>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</si>
  <si>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</si>
  <si>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</si>
  <si>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</si>
  <si>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</si>
  <si>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</si>
  <si>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</si>
  <si>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</si>
  <si>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</si>
  <si>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</si>
  <si>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</si>
  <si>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</si>
  <si>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</si>
  <si>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</si>
  <si>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</si>
  <si>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</si>
  <si>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</si>
  <si>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</si>
  <si>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</si>
  <si>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</si>
  <si>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</si>
  <si>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</si>
  <si>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</si>
  <si>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</si>
  <si>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</si>
  <si>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</si>
  <si>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</si>
  <si>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</si>
  <si>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</si>
  <si>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</si>
  <si>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</si>
  <si>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</si>
  <si>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</si>
  <si>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</si>
  <si>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</si>
  <si>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</si>
  <si>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</si>
  <si>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</si>
  <si>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</si>
  <si>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</si>
  <si>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</si>
  <si>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</si>
  <si>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</si>
  <si>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</si>
  <si>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</si>
  <si>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</si>
  <si>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</si>
  <si>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</si>
  <si>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</si>
  <si>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</si>
  <si>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</si>
  <si>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</si>
  <si>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</si>
  <si>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</si>
  <si>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</si>
  <si>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</si>
  <si>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</si>
  <si>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</si>
  <si>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</si>
  <si>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</si>
  <si>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</si>
  <si>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</si>
  <si>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</si>
  <si>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</si>
  <si>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</si>
  <si>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</si>
  <si>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</si>
  <si>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</si>
  <si>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</si>
  <si>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</si>
  <si>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</si>
  <si>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</si>
  <si>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</si>
  <si>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</si>
  <si>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</si>
  <si>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</si>
  <si>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</si>
  <si>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</si>
  <si>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</si>
  <si>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</si>
  <si>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</si>
  <si>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</si>
  <si>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</si>
  <si>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</si>
  <si>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</si>
  <si>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</si>
  <si>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</si>
  <si>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</si>
  <si>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</si>
  <si>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</si>
  <si>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</si>
  <si>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</si>
  <si>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</si>
  <si>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</si>
  <si>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</si>
  <si>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</si>
  <si>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</si>
  <si>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</si>
  <si>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</si>
  <si>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</si>
  <si>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</si>
  <si>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</si>
  <si>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</si>
  <si>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</si>
  <si>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</si>
  <si>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</si>
  <si>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</si>
  <si>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</si>
  <si>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</si>
  <si>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</si>
  <si>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</si>
  <si>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</si>
  <si>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</si>
  <si>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</si>
  <si>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</si>
  <si>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</si>
  <si>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</si>
  <si>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</si>
  <si>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</si>
  <si>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</si>
  <si>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</si>
  <si>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</si>
  <si>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</si>
  <si>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</si>
  <si>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</si>
  <si>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</si>
  <si>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</si>
  <si>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</si>
  <si>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</si>
  <si>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</si>
  <si>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</si>
  <si>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</si>
  <si>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</si>
  <si>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</si>
  <si>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</si>
  <si>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</si>
  <si>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</si>
  <si>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</si>
  <si>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</si>
  <si>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</si>
  <si>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</si>
  <si>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</si>
  <si>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</si>
  <si>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</si>
  <si>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</si>
  <si>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</si>
  <si>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</si>
  <si>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</si>
  <si>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</si>
  <si>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</si>
  <si>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</si>
  <si>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</si>
  <si>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</si>
  <si>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</si>
  <si>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</si>
  <si>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</si>
  <si>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</si>
  <si>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</si>
  <si>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</si>
  <si>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</si>
  <si>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</si>
  <si>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</si>
  <si>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</si>
  <si>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</si>
  <si>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</si>
  <si>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</si>
  <si>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</si>
  <si>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</si>
  <si>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</si>
  <si>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</si>
  <si>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</si>
  <si>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</si>
  <si>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</si>
  <si>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</si>
  <si>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</si>
  <si>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</si>
  <si>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</si>
  <si>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</si>
  <si>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</si>
  <si>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</si>
  <si>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</si>
  <si>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</si>
  <si>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</si>
  <si>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</si>
  <si>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</si>
  <si>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</si>
  <si>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</si>
  <si>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</si>
  <si>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</si>
  <si>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</si>
  <si>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</si>
  <si>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</si>
  <si>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</si>
  <si>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</si>
  <si>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</si>
  <si>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</si>
  <si>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</si>
  <si>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</si>
  <si>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</si>
  <si>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</si>
  <si>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</si>
  <si>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</si>
  <si>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</si>
  <si>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</si>
  <si>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</si>
  <si>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</si>
  <si>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</si>
  <si>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</si>
  <si>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</si>
  <si>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</si>
  <si>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</si>
  <si>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</si>
  <si>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</si>
  <si>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</si>
  <si>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</si>
  <si>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</si>
  <si>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</si>
  <si>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</si>
  <si>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</si>
  <si>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</si>
  <si>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</si>
  <si>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</si>
  <si>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</si>
  <si>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</si>
  <si>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</si>
  <si>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</si>
  <si>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</si>
  <si>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</si>
  <si>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</si>
  <si>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</si>
  <si>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</si>
  <si>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</si>
  <si>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</si>
  <si>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</si>
  <si>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</si>
  <si>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</si>
  <si>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</si>
  <si>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</si>
  <si>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</si>
  <si>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</si>
  <si>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</si>
  <si>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</si>
  <si>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</si>
  <si>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</si>
  <si>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</si>
  <si>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</si>
  <si>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</si>
  <si>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</si>
  <si>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</si>
  <si>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</si>
  <si>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</si>
  <si>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</si>
  <si>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</si>
  <si>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</si>
  <si>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</si>
  <si>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</si>
  <si>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</si>
  <si>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</si>
  <si>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</si>
  <si>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</si>
  <si>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</si>
  <si>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</si>
  <si>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</si>
  <si>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</si>
  <si>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</si>
  <si>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</si>
  <si>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</si>
  <si>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</si>
  <si>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</si>
  <si>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</si>
  <si>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</si>
  <si>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</si>
  <si>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</si>
  <si>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</si>
  <si>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</si>
  <si>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</si>
  <si>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</si>
  <si>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</si>
  <si>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</si>
  <si>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</si>
  <si>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</si>
  <si>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</si>
  <si>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</si>
  <si>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</si>
  <si>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</si>
  <si>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</si>
  <si>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</si>
  <si>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</si>
  <si>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</si>
  <si>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</si>
  <si>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</si>
  <si>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</si>
  <si>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</si>
  <si>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</si>
  <si>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</si>
  <si>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</si>
  <si>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</si>
  <si>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</si>
  <si>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</si>
  <si>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</si>
  <si>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</si>
  <si>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</si>
  <si>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</si>
  <si>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</si>
  <si>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</si>
  <si>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</si>
  <si>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</si>
  <si>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</si>
  <si>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</si>
  <si>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</si>
  <si>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</si>
  <si>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</si>
  <si>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</si>
  <si>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</si>
  <si>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</si>
  <si>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</si>
  <si>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</si>
  <si>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</si>
  <si>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</si>
  <si>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</si>
  <si>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</si>
  <si>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</si>
  <si>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</si>
  <si>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</si>
  <si>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</si>
  <si>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</si>
  <si>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</si>
  <si>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</si>
  <si>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</si>
  <si>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</si>
  <si>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</si>
  <si>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</si>
  <si>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</si>
  <si>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</si>
  <si>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</si>
  <si>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</si>
  <si>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</si>
  <si>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</si>
  <si>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</si>
  <si>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</si>
  <si>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</si>
  <si>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</si>
  <si>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</si>
  <si>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</si>
  <si>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</si>
  <si>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</si>
  <si>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</si>
  <si>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</si>
  <si>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</si>
  <si>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</si>
  <si>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</si>
  <si>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</si>
  <si>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</si>
  <si>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</si>
  <si>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</si>
  <si>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</si>
  <si>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</si>
  <si>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</si>
  <si>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</si>
  <si>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</si>
  <si>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</si>
  <si>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</si>
  <si>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</si>
  <si>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</si>
  <si>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</si>
  <si>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</si>
  <si>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</si>
  <si>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</si>
  <si>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</si>
  <si>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</si>
  <si>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</si>
  <si>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</si>
  <si>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</si>
  <si>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</si>
  <si>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</si>
  <si>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</si>
  <si>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</si>
  <si>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</si>
  <si>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</si>
  <si>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</si>
  <si>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</si>
  <si>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</si>
  <si>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</si>
  <si>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</si>
  <si>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</si>
  <si>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</si>
  <si>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</si>
  <si>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</si>
  <si>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</si>
  <si>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</si>
  <si>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</si>
  <si>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</si>
  <si>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</si>
  <si>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</si>
  <si>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</si>
  <si>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</si>
  <si>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</si>
  <si>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</si>
  <si>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</si>
  <si>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</si>
  <si>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</si>
  <si>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</si>
  <si>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</si>
  <si>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</si>
  <si>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</si>
  <si>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</si>
  <si>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</si>
  <si>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</si>
  <si>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</si>
  <si>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</si>
  <si>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</si>
  <si>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</si>
  <si>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</si>
  <si>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</si>
  <si>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</si>
  <si>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</si>
  <si>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</si>
  <si>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</si>
  <si>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</si>
  <si>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</si>
  <si>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</si>
  <si>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</si>
  <si>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</si>
  <si>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</si>
  <si>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</si>
  <si>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</si>
  <si>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</si>
  <si>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</si>
  <si>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</si>
  <si>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</si>
  <si>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</si>
  <si>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</si>
  <si>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</si>
  <si>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</si>
  <si>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</si>
  <si>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</si>
  <si>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</si>
  <si>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</si>
  <si>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</si>
  <si>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</si>
  <si>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</si>
  <si>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</si>
  <si>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</si>
  <si>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</si>
  <si>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</si>
  <si>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</si>
  <si>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</si>
  <si>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</si>
  <si>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</si>
  <si>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</si>
  <si>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</si>
  <si>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</si>
  <si>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</si>
  <si>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</si>
  <si>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</si>
  <si>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</si>
  <si>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</si>
  <si>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</si>
  <si>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</si>
  <si>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</si>
  <si>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</si>
  <si>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</si>
  <si>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</si>
  <si>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</si>
  <si>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</si>
  <si>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</si>
  <si>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</si>
  <si>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</si>
  <si>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</si>
  <si>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</si>
  <si>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</si>
  <si>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</si>
  <si>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</si>
  <si>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</si>
  <si>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</si>
  <si>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</si>
  <si>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</si>
  <si>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</si>
  <si>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</si>
  <si>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</si>
  <si>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</si>
  <si>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</si>
  <si>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</si>
  <si>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</si>
  <si>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</si>
  <si>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</si>
  <si>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</si>
  <si>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</si>
  <si>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</si>
  <si>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</si>
  <si>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</si>
  <si>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</si>
  <si>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</si>
  <si>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</si>
  <si>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</si>
  <si>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</si>
  <si>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</si>
  <si>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</si>
  <si>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</si>
  <si>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</si>
  <si>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</si>
  <si>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</si>
  <si>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</si>
  <si>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</si>
  <si>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</si>
  <si>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</si>
  <si>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</si>
  <si>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</si>
  <si>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</si>
  <si>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</si>
  <si>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</si>
  <si>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</si>
  <si>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</si>
  <si>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</si>
  <si>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</si>
  <si>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</si>
  <si>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</si>
  <si>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</si>
  <si>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</si>
  <si>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</si>
  <si>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</si>
  <si>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</si>
  <si>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</si>
  <si>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</si>
  <si>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</si>
  <si>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</si>
  <si>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</si>
  <si>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</si>
  <si>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</si>
  <si>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</si>
  <si>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</si>
  <si>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</si>
  <si>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</si>
  <si>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</si>
  <si>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</si>
  <si>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</si>
  <si>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</si>
  <si>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</si>
  <si>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</si>
  <si>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</si>
  <si>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</si>
  <si>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</si>
  <si>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</si>
  <si>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</si>
  <si>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</si>
  <si>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</si>
  <si>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</si>
  <si>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</si>
  <si>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</si>
  <si>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</si>
  <si>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</si>
  <si>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</si>
  <si>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</si>
  <si>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</si>
  <si>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</si>
  <si>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</si>
  <si>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</si>
  <si>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</si>
  <si>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</si>
  <si>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</si>
  <si>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</si>
  <si>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</si>
  <si>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</si>
  <si>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</si>
  <si>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</si>
  <si>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</si>
  <si>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</si>
  <si>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</si>
  <si>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</si>
  <si>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</si>
  <si>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</si>
  <si>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</si>
  <si>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</si>
  <si>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</si>
  <si>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</si>
  <si>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</si>
  <si>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</si>
  <si>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</si>
  <si>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</si>
  <si>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</si>
  <si>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</si>
  <si>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</si>
  <si>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</si>
  <si>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</si>
  <si>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</si>
  <si>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</si>
  <si>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</si>
  <si>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</si>
  <si>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</si>
  <si>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</si>
  <si>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</si>
  <si>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</si>
  <si>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</si>
  <si>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</si>
  <si>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</si>
  <si>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</si>
  <si>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</si>
  <si>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</si>
  <si>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</si>
  <si>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</si>
  <si>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</si>
  <si>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</si>
  <si>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</si>
  <si>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</si>
  <si>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</si>
  <si>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</si>
  <si>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</si>
  <si>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</si>
  <si>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</si>
  <si>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</si>
  <si>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</si>
  <si>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</si>
  <si>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</si>
  <si>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</si>
  <si>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</si>
  <si>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</si>
  <si>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</si>
  <si>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</si>
  <si>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</si>
  <si>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</si>
  <si>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</si>
  <si>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</si>
  <si>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</si>
  <si>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</si>
  <si>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</si>
  <si>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</si>
  <si>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</si>
  <si>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</si>
  <si>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</si>
  <si>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</si>
  <si>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</si>
  <si>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</si>
  <si>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</si>
  <si>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</si>
  <si>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</si>
  <si>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</si>
  <si>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</si>
  <si>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</si>
  <si>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</si>
  <si>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</si>
  <si>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</si>
  <si>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</si>
  <si>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</si>
  <si>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</si>
  <si>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</si>
  <si>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</si>
  <si>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</si>
  <si>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</si>
  <si>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</si>
  <si>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</si>
  <si>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</si>
  <si>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</si>
  <si>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</si>
  <si>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</si>
  <si>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</si>
  <si>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</si>
  <si>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</si>
  <si>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</si>
  <si>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</si>
  <si>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</si>
  <si>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</si>
  <si>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</si>
  <si>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</si>
  <si>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</si>
  <si>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</si>
  <si>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</si>
  <si>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</si>
  <si>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</si>
  <si>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</si>
  <si>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</si>
  <si>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</si>
  <si>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</si>
  <si>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</si>
  <si>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</si>
  <si>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</si>
  <si>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</si>
  <si>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</si>
  <si>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</si>
  <si>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</si>
  <si>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</si>
  <si>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</si>
  <si>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</si>
  <si>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</si>
  <si>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</si>
  <si>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</si>
  <si>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</si>
  <si>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</si>
  <si>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</si>
  <si>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</si>
  <si>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</si>
  <si>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</si>
  <si>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</si>
  <si>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</si>
  <si>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</si>
  <si>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</si>
  <si>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</si>
  <si>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</si>
  <si>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</si>
  <si>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</si>
  <si>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</si>
  <si>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</si>
  <si>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</si>
  <si>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</si>
  <si>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</si>
  <si>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</si>
  <si>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</si>
  <si>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</si>
  <si>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</si>
  <si>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</si>
  <si>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</si>
  <si>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</si>
  <si>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</si>
  <si>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</si>
  <si>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</si>
  <si>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</si>
  <si>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</si>
  <si>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</si>
  <si>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</si>
  <si>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</si>
  <si>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</si>
  <si>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</si>
  <si>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</si>
  <si>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</si>
  <si>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</si>
  <si>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</si>
  <si>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</si>
  <si>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</si>
  <si>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</si>
  <si>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</si>
  <si>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</si>
  <si>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</si>
  <si>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</si>
  <si>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</si>
  <si>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</si>
  <si>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</si>
  <si>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</si>
  <si>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</si>
  <si>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</si>
  <si>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</si>
  <si>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</si>
  <si>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</si>
  <si>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</si>
  <si>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</si>
  <si>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</si>
  <si>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</si>
  <si>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</si>
  <si>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</si>
  <si>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</si>
  <si>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</si>
  <si>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</si>
  <si>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</si>
  <si>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</si>
  <si>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</si>
  <si>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</si>
  <si>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</si>
  <si>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</si>
  <si>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</si>
  <si>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</si>
  <si>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</si>
  <si>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</si>
  <si>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</si>
  <si>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</si>
  <si>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</si>
  <si>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</si>
  <si>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</si>
  <si>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</si>
  <si>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</si>
  <si>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</si>
  <si>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</si>
  <si>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</si>
  <si>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</si>
  <si>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</si>
  <si>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</si>
  <si>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</si>
  <si>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</si>
  <si>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</si>
  <si>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</si>
  <si>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</si>
  <si>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</si>
  <si>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</si>
  <si>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</si>
  <si>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</si>
  <si>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</si>
  <si>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</si>
  <si>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</si>
  <si>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</si>
  <si>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</si>
  <si>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</si>
  <si>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</si>
  <si>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</si>
  <si>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</si>
  <si>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</si>
  <si>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</si>
  <si>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</si>
  <si>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</si>
  <si>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</si>
  <si>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</si>
  <si>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</si>
  <si>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</si>
  <si>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</si>
  <si>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</si>
  <si>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</si>
  <si>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</si>
  <si>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</si>
  <si>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</si>
  <si>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</si>
  <si>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</si>
  <si>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</si>
  <si>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</si>
  <si>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</si>
  <si>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</si>
  <si>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</si>
  <si>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</si>
  <si>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</si>
  <si>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</si>
  <si>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</si>
  <si>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</si>
  <si>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</si>
  <si>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</si>
  <si>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</si>
  <si>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</si>
  <si>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</si>
  <si>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</si>
  <si>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</si>
  <si>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</si>
  <si>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</si>
  <si>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</si>
  <si>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</si>
  <si>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</si>
  <si>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</si>
  <si>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</si>
  <si>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</si>
  <si>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</si>
  <si>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</si>
  <si>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</si>
  <si>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</si>
  <si>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</si>
  <si>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</si>
  <si>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</si>
  <si>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</si>
  <si>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</si>
  <si>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</si>
  <si>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</si>
  <si>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</si>
  <si>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</si>
  <si>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</si>
  <si>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</si>
  <si>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</si>
  <si>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</si>
  <si>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</si>
  <si>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</si>
  <si>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</si>
  <si>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</si>
  <si>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</si>
  <si>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</si>
  <si>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</si>
  <si>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</si>
  <si>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</si>
  <si>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</si>
  <si>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</si>
  <si>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</si>
  <si>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</si>
  <si>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</si>
  <si>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</si>
  <si>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</si>
  <si>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</si>
  <si>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</si>
  <si>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</si>
  <si>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</si>
  <si>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</si>
  <si>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</si>
  <si>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</si>
  <si>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</si>
  <si>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</si>
  <si>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</si>
  <si>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</si>
  <si>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</si>
  <si>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</si>
  <si>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</si>
  <si>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</si>
  <si>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</si>
  <si>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</si>
  <si>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</si>
  <si>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</si>
  <si>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</si>
  <si>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</si>
  <si>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</si>
  <si>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</si>
  <si>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</si>
  <si>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</si>
  <si>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</si>
  <si>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</si>
  <si>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</si>
  <si>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</si>
  <si>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</si>
  <si>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</si>
  <si>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</si>
  <si>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</si>
  <si>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</si>
  <si>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</si>
  <si>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</si>
  <si>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</si>
  <si>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</si>
  <si>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</si>
  <si>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</si>
  <si>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</si>
  <si>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</si>
  <si>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</si>
  <si>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</si>
  <si>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</si>
  <si>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</si>
  <si>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</si>
  <si>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</si>
  <si>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</si>
  <si>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</si>
  <si>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</si>
  <si>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</si>
  <si>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</si>
  <si>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</si>
  <si>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</si>
  <si>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</si>
  <si>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</si>
  <si>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</si>
  <si>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</si>
  <si>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</si>
  <si>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</si>
  <si>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</si>
  <si>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</si>
  <si>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</si>
  <si>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</si>
  <si>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</si>
  <si>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</si>
  <si>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</si>
  <si>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</si>
  <si>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</si>
  <si>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</si>
  <si>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</si>
  <si>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</si>
  <si>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</si>
  <si>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</si>
  <si>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</si>
  <si>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</si>
  <si>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</si>
  <si>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</si>
  <si>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</si>
  <si>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</si>
  <si>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</si>
  <si>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</si>
  <si>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</si>
  <si>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</si>
  <si>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</si>
  <si>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</si>
  <si>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</si>
  <si>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</si>
  <si>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</si>
  <si>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</si>
  <si>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</si>
  <si>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</si>
  <si>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</si>
  <si>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</si>
  <si>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</si>
  <si>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</si>
  <si>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</si>
  <si>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</si>
  <si>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</si>
  <si>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</si>
  <si>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</si>
  <si>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</si>
  <si>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</si>
  <si>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</si>
  <si>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</si>
  <si>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</si>
  <si>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</si>
  <si>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</si>
  <si>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</si>
  <si>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</si>
  <si>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</si>
  <si>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</si>
  <si>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</si>
  <si>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</si>
  <si>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</si>
  <si>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</si>
  <si>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</si>
  <si>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</si>
  <si>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</si>
  <si>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</si>
  <si>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</si>
  <si>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</si>
  <si>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</si>
  <si>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</si>
  <si>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</si>
  <si>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</si>
  <si>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</si>
  <si>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</si>
  <si>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</si>
  <si>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</si>
  <si>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</si>
  <si>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</si>
  <si>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</si>
  <si>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</si>
  <si>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</si>
  <si>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</si>
  <si>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</si>
  <si>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</si>
  <si>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</si>
  <si>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</si>
  <si>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</si>
  <si>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</si>
  <si>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</si>
  <si>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</si>
  <si>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</si>
  <si>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</si>
  <si>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</si>
  <si>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</si>
  <si>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</si>
  <si>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</si>
  <si>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</si>
  <si>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</si>
  <si>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</si>
  <si>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</si>
  <si>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</si>
  <si>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</si>
  <si>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</si>
  <si>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</si>
  <si>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</si>
  <si>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</si>
  <si>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</si>
  <si>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</si>
  <si>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</si>
  <si>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</si>
  <si>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</si>
  <si>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</si>
  <si>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</si>
  <si>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</si>
  <si>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</si>
  <si>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</si>
  <si>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</si>
  <si>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</si>
  <si>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</si>
  <si>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</si>
  <si>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</si>
  <si>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</si>
  <si>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</si>
  <si>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</si>
  <si>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</si>
  <si>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</si>
  <si>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</si>
  <si>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</si>
  <si>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</si>
  <si>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</si>
  <si>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</si>
  <si>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</si>
  <si>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</si>
  <si>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</si>
  <si>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</si>
  <si>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</si>
  <si>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</si>
  <si>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</si>
  <si>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</si>
  <si>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</si>
  <si>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</si>
  <si>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</si>
  <si>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</si>
  <si>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</si>
  <si>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</si>
  <si>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</si>
  <si>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</si>
  <si>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</si>
  <si>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</si>
  <si>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</si>
  <si>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</si>
  <si>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</si>
  <si>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</si>
  <si>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</si>
  <si>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</si>
  <si>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</si>
  <si>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</si>
  <si>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</si>
  <si>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</si>
  <si>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</si>
  <si>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</si>
  <si>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</si>
  <si>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</si>
  <si>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</si>
  <si>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</si>
  <si>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</si>
  <si>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</si>
  <si>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</si>
  <si>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</si>
  <si>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</si>
  <si>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</si>
  <si>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</si>
  <si>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</si>
  <si>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</si>
  <si>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</si>
  <si>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</si>
  <si>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</si>
  <si>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</si>
  <si>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</si>
  <si>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</si>
  <si>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</si>
  <si>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</si>
  <si>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</si>
  <si>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</si>
  <si>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</si>
  <si>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</si>
  <si>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</si>
  <si>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</si>
  <si>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</si>
  <si>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</si>
  <si>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</si>
  <si>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</si>
  <si>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</si>
  <si>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</si>
  <si>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</si>
  <si>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</si>
  <si>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</si>
  <si>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</si>
  <si>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</si>
  <si>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</si>
  <si>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</si>
  <si>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</si>
  <si>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</si>
  <si>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</si>
  <si>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</si>
  <si>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</si>
  <si>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</si>
  <si>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</si>
  <si>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</si>
  <si>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</si>
  <si>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</si>
  <si>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</si>
  <si>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</si>
  <si>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</si>
  <si>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</si>
  <si>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</si>
  <si>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</si>
  <si>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</si>
  <si>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</si>
  <si>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</si>
  <si>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</si>
  <si>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</si>
  <si>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</si>
  <si>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</si>
  <si>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</si>
  <si>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</si>
  <si>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</si>
  <si>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</si>
  <si>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</si>
  <si>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</si>
  <si>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</si>
  <si>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</si>
  <si>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</si>
  <si>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</si>
  <si>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</si>
  <si>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</si>
  <si>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</si>
  <si>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</si>
  <si>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</si>
  <si>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</si>
  <si>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</si>
  <si>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</si>
  <si>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</si>
  <si>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</si>
  <si>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</si>
  <si>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</si>
  <si>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</si>
  <si>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</si>
  <si>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</si>
  <si>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</si>
  <si>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</si>
  <si>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</si>
  <si>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</si>
  <si>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</si>
  <si>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</si>
  <si>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</si>
  <si>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</si>
  <si>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</si>
  <si>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</si>
  <si>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</si>
  <si>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</si>
  <si>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</si>
  <si>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</si>
  <si>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</si>
  <si>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</si>
  <si>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</si>
  <si>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</si>
  <si>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</si>
  <si>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</si>
  <si>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</si>
  <si>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</si>
  <si>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</si>
  <si>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</si>
  <si>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</si>
  <si>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</si>
  <si>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</si>
  <si>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</si>
  <si>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</si>
  <si>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</si>
  <si>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</si>
  <si>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</si>
  <si>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</si>
  <si>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28-037-2290-26</t>
  </si>
  <si>
    <t>Henry</t>
  </si>
  <si>
    <t>Kewanee Community Unit School District No. 229</t>
  </si>
  <si>
    <t>1001 N. Main</t>
  </si>
  <si>
    <t>Kewanee</t>
  </si>
  <si>
    <t>csullens@kcud229.org</t>
  </si>
  <si>
    <t>Russell J. Rumbold II, CPA</t>
  </si>
  <si>
    <t>rrumbold@gornezcpa.com</t>
  </si>
  <si>
    <t xml:space="preserve">Dr. Chris Sullens </t>
  </si>
  <si>
    <t>309-853-3341</t>
  </si>
  <si>
    <t>309-852-5504</t>
  </si>
  <si>
    <t>Qzab Bonds</t>
  </si>
  <si>
    <t>2013 Alternate Revenue Bond</t>
  </si>
  <si>
    <t>2015 GO Bond</t>
  </si>
  <si>
    <t>2018 Alternative Revenue Bond</t>
  </si>
  <si>
    <t>Alternate Revenue</t>
  </si>
  <si>
    <t>QZAB Bonds</t>
  </si>
  <si>
    <t>YMCA/Field Trips and Blackhawk College/Bridgeway Counseling</t>
  </si>
  <si>
    <t>Visitation TIT and II</t>
  </si>
  <si>
    <t>QCCTEC-East Moline, IL</t>
  </si>
  <si>
    <t>Annawan &amp; Wethersfield College for Kids Transportation</t>
  </si>
  <si>
    <t>Bureau Henry Stark ROE (copy paper)</t>
  </si>
  <si>
    <t xml:space="preserve">Henry- Stark Special Education Association </t>
  </si>
  <si>
    <t>Burera Henry Stark Regional Office of Education/WIU</t>
  </si>
  <si>
    <t>BHS ROE</t>
  </si>
  <si>
    <t>IL. Association of School Boards</t>
  </si>
  <si>
    <t xml:space="preserve">Visitation Catholic/YMCA/Headstart/Geneseo &amp; Other Sch Dists </t>
  </si>
  <si>
    <t>ABCD w/ Wetherfield Schools and the Stepladder After School Tutoring Program</t>
  </si>
  <si>
    <t>There were no findings for the prior year ending June 30, 2018.</t>
  </si>
  <si>
    <t>x</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</si>
  <si>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</si>
  <si>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</si>
  <si>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</si>
  <si>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</si>
  <si>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</si>
  <si>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</si>
  <si>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</si>
  <si>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</si>
  <si>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</si>
  <si>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Dr. Chris Sullens, Superintendent</t>
  </si>
  <si>
    <r>
      <t xml:space="preserve">The accompanying Schedule of Expenditures of Federal Awards includes the federal grant activity of </t>
    </r>
    <r>
      <rPr>
        <b/>
        <sz val="9"/>
        <rFont val="Calibri"/>
        <family val="2"/>
        <scheme val="minor"/>
      </rPr>
      <t>Kewanee CUSD #229</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</si>
  <si>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Kewanee CUSD #229</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</si>
  <si>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Kewanee CUSD #229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</si>
  <si>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Prior Year Figure</t>
  </si>
  <si>
    <t>Child Nutrition Cluster</t>
  </si>
  <si>
    <t>Estimated as of May/June</t>
  </si>
  <si>
    <t>IDEA Cluster</t>
  </si>
  <si>
    <t>Unhighlighted figures should be final</t>
  </si>
  <si>
    <t>Year Ended June 30, 2019</t>
  </si>
  <si>
    <t>Restricted</t>
  </si>
  <si>
    <t>ISBE</t>
  </si>
  <si>
    <t xml:space="preserve">          Receipts/Revenues          </t>
  </si>
  <si>
    <t xml:space="preserve">  Expenditures/Disbursements  </t>
  </si>
  <si>
    <t>Major Program Determination</t>
  </si>
  <si>
    <t>Balance</t>
  </si>
  <si>
    <t>Project</t>
  </si>
  <si>
    <t>Prior to</t>
  </si>
  <si>
    <t>7/01/18 -</t>
  </si>
  <si>
    <t>Final</t>
  </si>
  <si>
    <t>Federal Grantor/Pass-Through Grantor,</t>
  </si>
  <si>
    <t>Number</t>
  </si>
  <si>
    <t>6/30/18</t>
  </si>
  <si>
    <t>6/30/19</t>
  </si>
  <si>
    <t>Encumbrances</t>
  </si>
  <si>
    <t>Type A/B</t>
  </si>
  <si>
    <t>Risk</t>
  </si>
  <si>
    <t>Audited as a</t>
  </si>
  <si>
    <t>Program Title &amp; Major Program Designation</t>
  </si>
  <si>
    <t xml:space="preserve">        (A)        </t>
  </si>
  <si>
    <t xml:space="preserve">         (B)         </t>
  </si>
  <si>
    <t xml:space="preserve">         (C)         </t>
  </si>
  <si>
    <t xml:space="preserve">         (D)         </t>
  </si>
  <si>
    <t xml:space="preserve">         (E)         </t>
  </si>
  <si>
    <t xml:space="preserve">         (F)         </t>
  </si>
  <si>
    <t xml:space="preserve">         (G)         </t>
  </si>
  <si>
    <t>***</t>
  </si>
  <si>
    <t xml:space="preserve">         (H)         </t>
  </si>
  <si>
    <t xml:space="preserve">         (I)         </t>
  </si>
  <si>
    <t>Program</t>
  </si>
  <si>
    <t>Low./High</t>
  </si>
  <si>
    <t>Major Program</t>
  </si>
  <si>
    <t xml:space="preserve">U.S. Department of Agriculture - </t>
  </si>
  <si>
    <t xml:space="preserve">   Pass-through program from</t>
  </si>
  <si>
    <t xml:space="preserve">   Illinois State Board of Education</t>
  </si>
  <si>
    <t xml:space="preserve">(M) </t>
  </si>
  <si>
    <t>School Lunch - Regular, Free &amp; Reduced</t>
  </si>
  <si>
    <t>10.555</t>
  </si>
  <si>
    <t>18-4210-00</t>
  </si>
  <si>
    <t>N/A</t>
  </si>
  <si>
    <t>A - Cluster</t>
  </si>
  <si>
    <t>LOW</t>
  </si>
  <si>
    <t>19-4210-00</t>
  </si>
  <si>
    <t>(2)</t>
  </si>
  <si>
    <t>Food Donation</t>
  </si>
  <si>
    <t>FY18</t>
  </si>
  <si>
    <t>FY19</t>
  </si>
  <si>
    <t>DOD - Fresh Fruits &amp; Vegetables</t>
  </si>
  <si>
    <t>18-4220-00</t>
  </si>
  <si>
    <t>19-4220-00</t>
  </si>
  <si>
    <t>18-4225-00</t>
  </si>
  <si>
    <t>19-4225-00</t>
  </si>
  <si>
    <t>NSLP Equipment Assistance</t>
  </si>
  <si>
    <t>19-4260-16</t>
  </si>
  <si>
    <t>B</t>
  </si>
  <si>
    <t>Below Floor</t>
  </si>
  <si>
    <t>Fresh Fruits and Vegetables</t>
  </si>
  <si>
    <t>14-4240-12</t>
  </si>
  <si>
    <t>14-4240-13</t>
  </si>
  <si>
    <t xml:space="preserve">Total U.S. Department of Agriculture - Pass-through programs  </t>
  </si>
  <si>
    <t xml:space="preserve">U.S . Department of Education - </t>
  </si>
  <si>
    <t>Title V - Rural Education Initiative</t>
  </si>
  <si>
    <t>84.358B</t>
  </si>
  <si>
    <t>19-4107-00</t>
  </si>
  <si>
    <t>84.010</t>
  </si>
  <si>
    <t>18-4300-00</t>
  </si>
  <si>
    <t>B - Cluster</t>
  </si>
  <si>
    <t>Low</t>
  </si>
  <si>
    <t>19-4300-00</t>
  </si>
  <si>
    <t>Title I - School Imp and Accountability</t>
  </si>
  <si>
    <t>19-4331-19</t>
  </si>
  <si>
    <t>IDEA - Room &amp; Board</t>
  </si>
  <si>
    <t>18-4625-00</t>
  </si>
  <si>
    <t>19-4625-00</t>
  </si>
  <si>
    <t>12-4625-XC</t>
  </si>
  <si>
    <t>13-4625-XC</t>
  </si>
  <si>
    <t>Title II - Teacher Qualtity</t>
  </si>
  <si>
    <t>18-4932-00</t>
  </si>
  <si>
    <t>19-4932-00</t>
  </si>
  <si>
    <t>Title III - Lang Inst. Program - Ltd English</t>
  </si>
  <si>
    <t>18-4909-00</t>
  </si>
  <si>
    <t>19-4909-00</t>
  </si>
  <si>
    <t>Total U.S. Department of Education - Pass-through programs from ISBE</t>
  </si>
  <si>
    <t xml:space="preserve">   Flow-through program from</t>
  </si>
  <si>
    <t>Henry-Stark Special Education Cooperative</t>
  </si>
  <si>
    <t>IDEA Flow Through</t>
  </si>
  <si>
    <t>16-4620-00</t>
  </si>
  <si>
    <t>17-4620-00</t>
  </si>
  <si>
    <t>Total U.S. Department of Education - Pass-through programs from Henry Stark SEA</t>
  </si>
  <si>
    <t>Direct grant to Neponset CCSD 307 -</t>
  </si>
  <si>
    <t>Small Rural School Acheivement Grant</t>
  </si>
  <si>
    <t>S358A112779</t>
  </si>
  <si>
    <t>Total U.S. Department of Education - Direct</t>
  </si>
  <si>
    <t xml:space="preserve">   Quad City Career and Technicl Education Consortium</t>
  </si>
  <si>
    <t>Title II - Perkins Secondary</t>
  </si>
  <si>
    <t>84.048A</t>
  </si>
  <si>
    <t>06-4745-00</t>
  </si>
  <si>
    <t>07-4745-00</t>
  </si>
  <si>
    <t>Title III E- Tech Prep</t>
  </si>
  <si>
    <t>11-4770-00</t>
  </si>
  <si>
    <t>Total U.S. Department of Education - Pass-through programs from QCCTEC</t>
  </si>
  <si>
    <t>Total U.S. Department of Education</t>
  </si>
  <si>
    <t xml:space="preserve">U.S . Department of Health and Human Services - </t>
  </si>
  <si>
    <t xml:space="preserve">   Illinois Department of Healthcare &amp; Family Services</t>
  </si>
  <si>
    <t>Medicaid-Administrative Outreach</t>
  </si>
  <si>
    <t>18-4991-00</t>
  </si>
  <si>
    <t>19-4991-00</t>
  </si>
  <si>
    <t>Total U. S. Department of Health and Human Services - Pass-through program</t>
  </si>
  <si>
    <t>Total Federal Awards</t>
  </si>
  <si>
    <t>Percent of</t>
  </si>
  <si>
    <t>Coverage</t>
  </si>
  <si>
    <t>Total Federal Awards Passed Through Illinois State Board of Education</t>
  </si>
  <si>
    <t>Total Federal Awards Passed Through Other Entites</t>
  </si>
  <si>
    <t>(M) Indicates Major Federal Financial Assistance Program.</t>
  </si>
  <si>
    <t>(1) Carryover from prior year project per ISBE.</t>
  </si>
  <si>
    <t>(2) Project not complete as of June 30, 2019</t>
  </si>
  <si>
    <t>(3) Nonmonetary assistance is reported in the schedule at the fair market value of the commodities received and disbursed</t>
  </si>
  <si>
    <t>*** - No Subrecipients</t>
  </si>
  <si>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</si>
  <si>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</si>
  <si>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</si>
  <si>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</si>
  <si>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D</t>
  </si>
  <si>
    <t>10.553, 10.555, 10.559</t>
  </si>
  <si>
    <t>Unmodified</t>
  </si>
  <si>
    <t>No subrecipients during FY19</t>
  </si>
  <si>
    <t>None</t>
  </si>
  <si>
    <t>Child Nutrition Cluster - 2019</t>
  </si>
  <si>
    <t>U.S. Department of Agriculture</t>
  </si>
  <si>
    <t>18 &amp; 19-4210, 4220, 4225-00</t>
  </si>
  <si>
    <t>None.</t>
  </si>
  <si>
    <t>The District did not verify that selected vendors were not suspended or debarred.</t>
  </si>
  <si>
    <t>Noncompliance with the federal award program's suspension and debarment compliance requirements could occur and not be detected and corrected timely.</t>
  </si>
  <si>
    <t>Procedures need to be implemented to ensure all vendors contracted with have not been suspended or debarred or otherwise excluded from doing business, prior to procuring their services.</t>
  </si>
  <si>
    <t>There is no disagreement with this finding and procedures will be implemented to ensure all vendors contracted with have not been suspended or debarred or otherwise excluded from doing business, prior to procuring their services.</t>
  </si>
  <si>
    <t>Procedures will be implemented to ensure all vendors contracted with have not been suspended or debarred or otherwise excluded from doing business, prior to procuring their services.</t>
  </si>
  <si>
    <t>The Code of Federal Regulations (CFR) Title 2, part 180.220 states that non-Federal entities are prohibited from contracting with or making sub-awards under covered transactions to parties that are suspended or disbarred.</t>
  </si>
  <si>
    <t>The District did not obtain debarment certification or check the System for Award Management website for vendors contracted in excess of $25,000 related to the grant program.  Upon further review, it was determined that the vendors were not suspended or debarred.</t>
  </si>
  <si>
    <t>Procedures are not in place to verify if vendors contracted with in excess of $25,000 related to the Child Nutrition Cluster program are not suspended, debarred, or otherwise excluded from doing business.</t>
  </si>
  <si>
    <t>There is no disagreement with the finding and the corrective action plan will be implemented.</t>
  </si>
  <si>
    <t>The District did not calculate the net cash resources of the nonprofit school food service.</t>
  </si>
  <si>
    <t>Management had not developed a system of internal controls to ensure compliance with the Cash Management compliance requirement.</t>
  </si>
  <si>
    <t>Noncompliance with the federal award program's resource (cash) management requirements could occur and not be detected and corrected timely.</t>
  </si>
  <si>
    <t>The Code of Federal Regulations (CFR) Title 7, part 210.14(b) states the school food authority shall limit its net cash resources to an amount that does not exceed 3 months average expenditures for its nonprofit school food service.</t>
  </si>
  <si>
    <t>The District has not monitored the net cash resources of the child nutrition program.  Upon further review, it was determined that the net cash resources of the nonprofit school food service did not exceed 3 months average expenditures.</t>
  </si>
  <si>
    <t>We recommend that the management establish internal controls related to the cash management compliance requirement to ensure that the net cash resources of the nonprofit school food service does not exceed 3 months average expenditures.</t>
  </si>
  <si>
    <t>There is no disagreement with this finding and internal controls will be developed to monitor the net cash resources of the nonprofit school food services.</t>
  </si>
  <si>
    <t>Internal controls will be established and implemented related to the cash management compliance requirement.</t>
  </si>
  <si>
    <t>GORENZ AND ASSOCIATES, LTD.</t>
  </si>
  <si>
    <t>Part C, Number 20 - See Findings 2019-001 &amp; 2019-002</t>
  </si>
  <si>
    <t>2019 Working Cash Bond</t>
  </si>
  <si>
    <t>NORTHERN ILLINOIS ACADEMY</t>
  </si>
  <si>
    <t>THE HOPE INSTITUTE</t>
  </si>
  <si>
    <t>CAMALOT CHG ALTERNATIVE ED</t>
  </si>
  <si>
    <t>THE HOPE SCHOOL</t>
  </si>
  <si>
    <t>KEWANEE PARK DISTRICT</t>
  </si>
  <si>
    <t>20-2540-300</t>
  </si>
  <si>
    <t>JOHNSON CONTROLS</t>
  </si>
  <si>
    <t>Commodities</t>
  </si>
  <si>
    <t>Page 9, Line 17 - Housing Authority Receipts</t>
  </si>
  <si>
    <t>Page 10, Line 72 - Milk Sales</t>
  </si>
  <si>
    <t>Page 10, Line 74 - Food Sales &amp; Rebates</t>
  </si>
  <si>
    <t>Page 12, Line 168 - Healthy Community Investment Grant</t>
  </si>
  <si>
    <t>CUNNINGHAM CHILDREN'S HOME</t>
  </si>
  <si>
    <t>KEMMERER VILLAGE</t>
  </si>
  <si>
    <t>ALLENDALE ASSOCIATION</t>
  </si>
  <si>
    <t>OPER/BLDG-MAINT-PURCHASED SERVICES</t>
  </si>
  <si>
    <t>ED-INSTRUCTION-PURCHASED SERVICES</t>
  </si>
  <si>
    <t>ED-INSTRUCTION-OTHER</t>
  </si>
  <si>
    <t>See PDF version</t>
  </si>
  <si>
    <t>10-1000-300</t>
  </si>
  <si>
    <t>Kewanee CUSD 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</si>
</sst>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_(* #,##0_);_(* \(#,##0\);_(* &quot;0&quot;_);_(@_)"/>
    <numFmt numFmtId="185" formatCode="#,##0.000_);\(#,##0.000\)"/>
    <numFmt numFmtId="186" formatCode="0.0%"/>
  </numFmts>
  <fonts count="1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ont>
    <font>
      <b/>
      <sz val="12"/>
      <name val="Times New Roman"/>
      <family val="1"/>
    </font>
    <font>
      <sz val="11"/>
      <name val="Times New Roman"/>
      <family val="1"/>
    </font>
    <font>
      <sz val="10"/>
      <name val="Courier"/>
      <family val="3"/>
    </font>
    <font>
      <b/>
      <sz val="10"/>
      <name val="Times New Roman"/>
      <family val="1"/>
    </font>
    <font>
      <b/>
      <sz val="11"/>
      <name val="Times New Roman"/>
      <family val="1"/>
    </font>
    <font>
      <u/>
      <sz val="10"/>
      <name val="Times New Roman"/>
      <family val="1"/>
    </font>
    <font>
      <u val="singleAccounting"/>
      <sz val="10"/>
      <name val="Times New Roman"/>
      <family val="1"/>
    </font>
    <font>
      <b/>
      <u val="singleAccounting"/>
      <sz val="10"/>
      <name val="Times New Roman"/>
      <family val="1"/>
    </font>
    <font>
      <b/>
      <u val="singleAccounting"/>
      <sz val="10"/>
      <name val="Garamond"/>
      <family val="1"/>
    </font>
    <font>
      <b/>
      <sz val="10"/>
      <name val="Garamond"/>
      <family val="1"/>
    </font>
    <font>
      <u val="doubleAccounting"/>
      <sz val="10"/>
      <name val="Times New Roman"/>
      <family val="1"/>
    </font>
  </fonts>
  <fills count="31">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00B0F0"/>
        <bgColor indexed="64"/>
      </patternFill>
    </fill>
    <fill>
      <patternFill patternType="solid">
        <fgColor rgb="FFFFC000"/>
        <bgColor indexed="64"/>
      </patternFill>
    </fill>
    <fill>
      <patternFill patternType="solid">
        <fgColor indexed="29"/>
        <bgColor indexed="64"/>
      </patternFill>
    </fill>
    <fill>
      <patternFill patternType="solid">
        <fgColor theme="6" tint="0.39997558519241921"/>
        <bgColor indexed="64"/>
      </patternFill>
    </fill>
  </fills>
  <borders count="17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thin">
        <color indexed="64"/>
      </top>
      <bottom style="double">
        <color indexed="64"/>
      </bottom>
      <diagonal/>
    </border>
  </borders>
  <cellStyleXfs count="23">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37" fontId="144" fillId="0" borderId="0"/>
    <xf numFmtId="37" fontId="147" fillId="0" borderId="0" applyProtection="0"/>
    <xf numFmtId="43" fontId="47" fillId="0" borderId="0" applyFont="0" applyFill="0" applyBorder="0" applyAlignment="0" applyProtection="0"/>
    <xf numFmtId="9" fontId="47" fillId="0" borderId="0" applyFont="0" applyFill="0" applyBorder="0" applyAlignment="0" applyProtection="0"/>
  </cellStyleXfs>
  <cellXfs count="263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0" borderId="127" xfId="0" applyNumberFormat="1" applyFont="1" applyBorder="1" applyAlignment="1" applyProtection="1">
      <alignment horizontal="right"/>
      <protection locked="0"/>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3"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0" borderId="127"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49" fontId="15" fillId="0" borderId="0" xfId="3" applyNumberFormat="1" applyFont="1" applyAlignment="1">
      <alignment horizontal="center" vertical="center"/>
    </xf>
    <xf numFmtId="0" fontId="12" fillId="0" borderId="0" xfId="3"/>
    <xf numFmtId="166" fontId="15" fillId="0" borderId="0" xfId="3" applyNumberFormat="1" applyFont="1" applyAlignment="1">
      <alignment horizontal="center" vertical="center"/>
    </xf>
    <xf numFmtId="0" fontId="15" fillId="0" borderId="0" xfId="3" applyFont="1" applyAlignment="1">
      <alignment horizontal="center" vertical="center"/>
    </xf>
    <xf numFmtId="171" fontId="15" fillId="0" borderId="0" xfId="3" applyNumberFormat="1" applyFont="1" applyAlignment="1">
      <alignment horizontal="center" vertical="center"/>
    </xf>
    <xf numFmtId="0" fontId="141" fillId="0" borderId="0" xfId="3" applyFont="1" applyAlignment="1">
      <alignment horizontal="left"/>
    </xf>
    <xf numFmtId="0" fontId="36" fillId="0" borderId="0" xfId="3" applyFont="1" applyAlignment="1">
      <alignment horizontal="left"/>
    </xf>
    <xf numFmtId="0" fontId="36" fillId="0" borderId="0" xfId="3" applyFont="1"/>
    <xf numFmtId="0" fontId="15" fillId="0" borderId="0" xfId="3" applyFont="1" applyAlignment="1">
      <alignment horizontal="left"/>
    </xf>
    <xf numFmtId="0" fontId="13" fillId="0" borderId="0" xfId="3" applyFont="1"/>
    <xf numFmtId="0" fontId="15" fillId="0" borderId="0" xfId="3" applyFont="1" applyAlignment="1">
      <alignment horizontal="center"/>
    </xf>
    <xf numFmtId="178" fontId="15" fillId="0" borderId="9" xfId="3" applyNumberFormat="1" applyFont="1" applyBorder="1" applyAlignment="1" applyProtection="1">
      <alignment horizontal="center"/>
      <protection locked="0"/>
    </xf>
    <xf numFmtId="0" fontId="142" fillId="0" borderId="0" xfId="3" applyFont="1" applyAlignment="1">
      <alignment horizontal="left"/>
    </xf>
    <xf numFmtId="14" fontId="12" fillId="0" borderId="0" xfId="3" applyNumberFormat="1" applyAlignment="1" applyProtection="1">
      <alignment horizontal="left" indent="2"/>
      <protection locked="0"/>
    </xf>
    <xf numFmtId="0" fontId="12" fillId="0" borderId="0" xfId="3" applyProtection="1">
      <protection locked="0"/>
    </xf>
    <xf numFmtId="0" fontId="14" fillId="0" borderId="0" xfId="3" applyFont="1"/>
    <xf numFmtId="0" fontId="12" fillId="0" borderId="0" xfId="3" applyAlignment="1">
      <alignment horizontal="left"/>
    </xf>
    <xf numFmtId="0" fontId="12" fillId="0" borderId="78" xfId="3" applyBorder="1"/>
    <xf numFmtId="0" fontId="143" fillId="0" borderId="0" xfId="3" applyFont="1" applyAlignment="1">
      <alignment horizontal="left"/>
    </xf>
    <xf numFmtId="0" fontId="13" fillId="0" borderId="0" xfId="3" applyFont="1" applyAlignment="1">
      <alignment horizontal="left"/>
    </xf>
    <xf numFmtId="0" fontId="38" fillId="0" borderId="0" xfId="3" applyFont="1"/>
    <xf numFmtId="0" fontId="143" fillId="0" borderId="0" xfId="3" applyFont="1"/>
    <xf numFmtId="37" fontId="47" fillId="0" borderId="0" xfId="19" applyFont="1" applyAlignment="1">
      <alignment horizontal="center"/>
    </xf>
    <xf numFmtId="37" fontId="47" fillId="0" borderId="0" xfId="19" applyFont="1"/>
    <xf numFmtId="37" fontId="47" fillId="0" borderId="0" xfId="19" applyFont="1" applyAlignment="1">
      <alignment horizontal="right"/>
    </xf>
    <xf numFmtId="37" fontId="144" fillId="0" borderId="0" xfId="19"/>
    <xf numFmtId="37" fontId="47" fillId="0" borderId="0" xfId="19" applyFont="1" applyAlignment="1">
      <alignment horizontal="centerContinuous" vertical="center"/>
    </xf>
    <xf numFmtId="37" fontId="145" fillId="0" borderId="0" xfId="19" applyFont="1" applyAlignment="1">
      <alignment horizontal="centerContinuous" vertical="center"/>
    </xf>
    <xf numFmtId="37" fontId="47" fillId="0" borderId="0" xfId="19" applyFont="1" applyAlignment="1">
      <alignment vertical="center"/>
    </xf>
    <xf numFmtId="37" fontId="47" fillId="0" borderId="0" xfId="19" applyFont="1" applyAlignment="1">
      <alignment horizontal="center" vertical="center"/>
    </xf>
    <xf numFmtId="37" fontId="144" fillId="0" borderId="0" xfId="19" applyAlignment="1">
      <alignment vertical="center"/>
    </xf>
    <xf numFmtId="37" fontId="146" fillId="0" borderId="0" xfId="19" applyFont="1" applyAlignment="1">
      <alignment vertical="center"/>
    </xf>
    <xf numFmtId="37" fontId="147" fillId="0" borderId="0" xfId="20" applyAlignment="1">
      <alignment vertical="center"/>
    </xf>
    <xf numFmtId="37" fontId="146" fillId="0" borderId="0" xfId="19" applyFont="1" applyAlignment="1">
      <alignment horizontal="centerContinuous" vertical="center"/>
    </xf>
    <xf numFmtId="37" fontId="47" fillId="20" borderId="165" xfId="20" applyFont="1" applyFill="1" applyBorder="1" applyAlignment="1">
      <alignment vertical="center"/>
    </xf>
    <xf numFmtId="37" fontId="47" fillId="20" borderId="166" xfId="20" applyFont="1" applyFill="1" applyBorder="1" applyAlignment="1">
      <alignment vertical="center"/>
    </xf>
    <xf numFmtId="37" fontId="47" fillId="20" borderId="167" xfId="19" applyFont="1" applyFill="1" applyBorder="1" applyAlignment="1">
      <alignment vertical="center"/>
    </xf>
    <xf numFmtId="37" fontId="47" fillId="27" borderId="0" xfId="19" applyFont="1" applyFill="1" applyAlignment="1">
      <alignment vertical="center"/>
    </xf>
    <xf numFmtId="37" fontId="148" fillId="0" borderId="0" xfId="19" applyFont="1" applyAlignment="1">
      <alignment vertical="center"/>
    </xf>
    <xf numFmtId="37" fontId="47" fillId="21" borderId="168" xfId="20" applyFont="1" applyFill="1" applyBorder="1" applyAlignment="1">
      <alignment vertical="center"/>
    </xf>
    <xf numFmtId="37" fontId="47" fillId="21" borderId="0" xfId="20" applyFont="1" applyFill="1" applyAlignment="1">
      <alignment vertical="center"/>
    </xf>
    <xf numFmtId="37" fontId="47" fillId="21" borderId="169" xfId="19" applyFont="1" applyFill="1" applyBorder="1" applyAlignment="1">
      <alignment vertical="center"/>
    </xf>
    <xf numFmtId="37" fontId="47" fillId="28" borderId="0" xfId="19" applyFont="1" applyFill="1" applyAlignment="1">
      <alignment vertical="center"/>
    </xf>
    <xf numFmtId="37" fontId="144" fillId="28" borderId="0" xfId="19" applyFill="1" applyAlignment="1">
      <alignment vertical="center"/>
    </xf>
    <xf numFmtId="37" fontId="47" fillId="0" borderId="170" xfId="20" applyFont="1" applyBorder="1" applyAlignment="1">
      <alignment vertical="center"/>
    </xf>
    <xf numFmtId="37" fontId="47" fillId="0" borderId="171" xfId="20" applyFont="1" applyBorder="1" applyAlignment="1">
      <alignment vertical="center"/>
    </xf>
    <xf numFmtId="37" fontId="47" fillId="0" borderId="172" xfId="19" applyFont="1" applyBorder="1" applyAlignment="1">
      <alignment vertical="center"/>
    </xf>
    <xf numFmtId="37" fontId="47" fillId="0" borderId="0" xfId="20" applyFont="1" applyAlignment="1">
      <alignment vertical="center"/>
    </xf>
    <xf numFmtId="37" fontId="47" fillId="0" borderId="0" xfId="19" applyFont="1" applyAlignment="1">
      <alignment horizontal="left" vertical="center"/>
    </xf>
    <xf numFmtId="37" fontId="47" fillId="0" borderId="141" xfId="19" applyFont="1" applyBorder="1" applyAlignment="1">
      <alignment horizontal="centerContinuous" vertical="center"/>
    </xf>
    <xf numFmtId="37" fontId="47" fillId="0" borderId="141" xfId="19" applyFont="1" applyBorder="1" applyAlignment="1">
      <alignment horizontal="left" vertical="center"/>
    </xf>
    <xf numFmtId="37" fontId="47" fillId="0" borderId="141" xfId="19" applyFont="1" applyBorder="1" applyAlignment="1">
      <alignment vertical="center"/>
    </xf>
    <xf numFmtId="37" fontId="47" fillId="0" borderId="141" xfId="19" applyFont="1" applyBorder="1" applyAlignment="1">
      <alignment horizontal="center" vertical="center"/>
    </xf>
    <xf numFmtId="37" fontId="148" fillId="0" borderId="0" xfId="19" applyFont="1" applyAlignment="1">
      <alignment horizontal="center"/>
    </xf>
    <xf numFmtId="37" fontId="150" fillId="0" borderId="0" xfId="19" applyFont="1" applyAlignment="1">
      <alignment horizontal="centerContinuous" vertical="center"/>
    </xf>
    <xf numFmtId="43" fontId="152" fillId="0" borderId="0" xfId="21" applyFont="1" applyAlignment="1">
      <alignment horizontal="center"/>
    </xf>
    <xf numFmtId="37" fontId="47" fillId="0" borderId="0" xfId="19" quotePrefix="1" applyFont="1" applyAlignment="1">
      <alignment horizontal="center" vertical="center"/>
    </xf>
    <xf numFmtId="14" fontId="154" fillId="0" borderId="0" xfId="19" applyNumberFormat="1" applyFont="1" applyAlignment="1">
      <alignment horizontal="center"/>
    </xf>
    <xf numFmtId="37" fontId="47" fillId="0" borderId="0" xfId="20" applyFont="1" applyAlignment="1">
      <alignment horizontal="left" vertical="center"/>
    </xf>
    <xf numFmtId="14" fontId="47" fillId="0" borderId="0" xfId="19" quotePrefix="1" applyNumberFormat="1" applyFont="1" applyAlignment="1">
      <alignment horizontal="center" vertical="center"/>
    </xf>
    <xf numFmtId="14" fontId="47" fillId="0" borderId="0" xfId="19" applyNumberFormat="1" applyFont="1" applyAlignment="1">
      <alignment horizontal="center" vertical="center"/>
    </xf>
    <xf numFmtId="37" fontId="47" fillId="0" borderId="0" xfId="20" applyFont="1" applyAlignment="1">
      <alignment horizontal="center" vertical="center"/>
    </xf>
    <xf numFmtId="37" fontId="154" fillId="0" borderId="0" xfId="19" applyFont="1" applyAlignment="1">
      <alignment horizontal="center"/>
    </xf>
    <xf numFmtId="37" fontId="150" fillId="0" borderId="0" xfId="19" applyFont="1" applyAlignment="1">
      <alignment horizontal="left" vertical="center"/>
    </xf>
    <xf numFmtId="37" fontId="150" fillId="0" borderId="0" xfId="19" applyFont="1" applyAlignment="1">
      <alignment horizontal="center" vertical="center"/>
    </xf>
    <xf numFmtId="37" fontId="150" fillId="0" borderId="0" xfId="20" applyFont="1" applyAlignment="1">
      <alignment horizontal="center" vertical="center"/>
    </xf>
    <xf numFmtId="43" fontId="153" fillId="0" borderId="0" xfId="21" applyFont="1" applyAlignment="1">
      <alignment horizontal="center"/>
    </xf>
    <xf numFmtId="14" fontId="152" fillId="0" borderId="0" xfId="21" applyNumberFormat="1" applyFont="1" applyAlignment="1">
      <alignment horizontal="center"/>
    </xf>
    <xf numFmtId="37" fontId="148" fillId="0" borderId="0" xfId="19" applyFont="1" applyAlignment="1">
      <alignment horizontal="left" vertical="center"/>
    </xf>
    <xf numFmtId="37" fontId="47" fillId="0" borderId="0" xfId="19" applyFont="1" applyAlignment="1">
      <alignment horizontal="right" vertical="center"/>
    </xf>
    <xf numFmtId="181" fontId="47" fillId="0" borderId="0" xfId="19" applyNumberFormat="1" applyFont="1" applyAlignment="1">
      <alignment horizontal="center" vertical="center"/>
    </xf>
    <xf numFmtId="182" fontId="47" fillId="0" borderId="0" xfId="19" applyNumberFormat="1" applyFont="1" applyAlignment="1">
      <alignment vertical="center"/>
    </xf>
    <xf numFmtId="182" fontId="47" fillId="0" borderId="0" xfId="19" applyNumberFormat="1" applyFont="1" applyAlignment="1">
      <alignment horizontal="center" vertical="center"/>
    </xf>
    <xf numFmtId="183" fontId="47" fillId="0" borderId="0" xfId="19" applyNumberFormat="1" applyFont="1" applyAlignment="1">
      <alignment vertical="center"/>
    </xf>
    <xf numFmtId="182" fontId="47" fillId="0" borderId="0" xfId="19" applyNumberFormat="1" applyFont="1" applyAlignment="1">
      <alignment horizontal="right" vertical="center"/>
    </xf>
    <xf numFmtId="182" fontId="47" fillId="27" borderId="0" xfId="20" applyNumberFormat="1" applyFont="1" applyFill="1" applyAlignment="1">
      <alignment horizontal="center" vertical="center"/>
    </xf>
    <xf numFmtId="182" fontId="47" fillId="20" borderId="0" xfId="20" applyNumberFormat="1" applyFont="1" applyFill="1" applyAlignment="1">
      <alignment horizontal="center" vertical="center"/>
    </xf>
    <xf numFmtId="182" fontId="47" fillId="0" borderId="0" xfId="19" quotePrefix="1" applyNumberFormat="1" applyFont="1" applyAlignment="1">
      <alignment horizontal="center" vertical="center"/>
    </xf>
    <xf numFmtId="183" fontId="47" fillId="0" borderId="78" xfId="19" applyNumberFormat="1" applyFont="1" applyBorder="1" applyAlignment="1">
      <alignment vertical="center"/>
    </xf>
    <xf numFmtId="182" fontId="47" fillId="0" borderId="0" xfId="19" quotePrefix="1" applyNumberFormat="1" applyFont="1" applyAlignment="1">
      <alignment vertical="center"/>
    </xf>
    <xf numFmtId="182" fontId="47" fillId="0" borderId="0" xfId="20" applyNumberFormat="1" applyFont="1" applyAlignment="1">
      <alignment horizontal="center" vertical="center"/>
    </xf>
    <xf numFmtId="182" fontId="47" fillId="0" borderId="78" xfId="19" applyNumberFormat="1" applyFont="1" applyBorder="1" applyAlignment="1">
      <alignment vertical="center"/>
    </xf>
    <xf numFmtId="183" fontId="151" fillId="0" borderId="0" xfId="19" applyNumberFormat="1" applyFont="1" applyAlignment="1">
      <alignment vertical="center"/>
    </xf>
    <xf numFmtId="182" fontId="151" fillId="0" borderId="0" xfId="19" applyNumberFormat="1" applyFont="1" applyAlignment="1">
      <alignment vertical="center"/>
    </xf>
    <xf numFmtId="182" fontId="150" fillId="0" borderId="0" xfId="19" applyNumberFormat="1" applyFont="1" applyAlignment="1">
      <alignment vertical="center"/>
    </xf>
    <xf numFmtId="183" fontId="150" fillId="0" borderId="0" xfId="19" applyNumberFormat="1" applyFont="1" applyAlignment="1">
      <alignment vertical="center"/>
    </xf>
    <xf numFmtId="182" fontId="47" fillId="29" borderId="0" xfId="20" applyNumberFormat="1" applyFont="1" applyFill="1" applyAlignment="1">
      <alignment horizontal="center" vertical="center"/>
    </xf>
    <xf numFmtId="182" fontId="47" fillId="5" borderId="0" xfId="20" applyNumberFormat="1" applyFont="1" applyFill="1" applyAlignment="1">
      <alignment horizontal="center" vertical="center"/>
    </xf>
    <xf numFmtId="37" fontId="147" fillId="5" borderId="0" xfId="20" applyFill="1" applyAlignment="1">
      <alignment horizontal="center" vertical="center"/>
    </xf>
    <xf numFmtId="37" fontId="147" fillId="20" borderId="0" xfId="20" applyFill="1" applyAlignment="1">
      <alignment horizontal="center" vertical="center"/>
    </xf>
    <xf numFmtId="37" fontId="144" fillId="0" borderId="0" xfId="19" applyAlignment="1">
      <alignment horizontal="center" vertical="center"/>
    </xf>
    <xf numFmtId="43" fontId="47" fillId="28" borderId="0" xfId="21" applyFill="1" applyAlignment="1">
      <alignment horizontal="center" vertical="center"/>
    </xf>
    <xf numFmtId="184" fontId="47" fillId="0" borderId="0" xfId="19" applyNumberFormat="1" applyFont="1" applyAlignment="1">
      <alignment vertical="center"/>
    </xf>
    <xf numFmtId="43" fontId="47" fillId="20" borderId="0" xfId="21" applyFill="1" applyAlignment="1">
      <alignment horizontal="center" vertical="center"/>
    </xf>
    <xf numFmtId="43" fontId="47" fillId="0" borderId="0" xfId="21" applyAlignment="1">
      <alignment horizontal="center" vertical="center"/>
    </xf>
    <xf numFmtId="182" fontId="47" fillId="20" borderId="0" xfId="19" applyNumberFormat="1" applyFont="1" applyFill="1" applyAlignment="1">
      <alignment vertical="center"/>
    </xf>
    <xf numFmtId="182" fontId="47" fillId="20" borderId="0" xfId="19" applyNumberFormat="1" applyFont="1" applyFill="1" applyAlignment="1">
      <alignment horizontal="center" vertical="center"/>
    </xf>
    <xf numFmtId="184" fontId="47" fillId="20" borderId="0" xfId="19" applyNumberFormat="1" applyFont="1" applyFill="1" applyAlignment="1">
      <alignment vertical="center"/>
    </xf>
    <xf numFmtId="43" fontId="47" fillId="30" borderId="0" xfId="21" applyFill="1" applyAlignment="1">
      <alignment horizontal="center" vertical="center"/>
    </xf>
    <xf numFmtId="182" fontId="47" fillId="0" borderId="0" xfId="19" applyNumberFormat="1" applyFont="1" applyAlignment="1">
      <alignment horizontal="left" vertical="center"/>
    </xf>
    <xf numFmtId="185" fontId="47" fillId="0" borderId="0" xfId="19" applyNumberFormat="1" applyFont="1" applyAlignment="1">
      <alignment vertical="center"/>
    </xf>
    <xf numFmtId="186" fontId="47" fillId="0" borderId="0" xfId="19" applyNumberFormat="1" applyFont="1" applyAlignment="1">
      <alignment vertical="center"/>
    </xf>
    <xf numFmtId="182" fontId="47" fillId="28" borderId="0" xfId="20" applyNumberFormat="1" applyFont="1" applyFill="1" applyAlignment="1">
      <alignment horizontal="center" vertical="center"/>
    </xf>
    <xf numFmtId="182" fontId="151" fillId="21" borderId="0" xfId="19" applyNumberFormat="1" applyFont="1" applyFill="1" applyAlignment="1">
      <alignment vertical="center"/>
    </xf>
    <xf numFmtId="182" fontId="47" fillId="8" borderId="0" xfId="19" applyNumberFormat="1" applyFont="1" applyFill="1" applyAlignment="1">
      <alignment vertical="center"/>
    </xf>
    <xf numFmtId="182" fontId="151" fillId="0" borderId="78" xfId="19" applyNumberFormat="1" applyFont="1" applyBorder="1" applyAlignment="1">
      <alignment vertical="center"/>
    </xf>
    <xf numFmtId="182" fontId="47" fillId="0" borderId="78" xfId="19" applyNumberFormat="1" applyFont="1" applyBorder="1" applyAlignment="1">
      <alignment horizontal="center" vertical="center"/>
    </xf>
    <xf numFmtId="181" fontId="47" fillId="0" borderId="0" xfId="19" applyNumberFormat="1" applyFont="1" applyAlignment="1">
      <alignment vertical="center"/>
    </xf>
    <xf numFmtId="183" fontId="155" fillId="0" borderId="0" xfId="19" applyNumberFormat="1" applyFont="1" applyAlignment="1">
      <alignment vertical="center"/>
    </xf>
    <xf numFmtId="182" fontId="155" fillId="0" borderId="0" xfId="19" applyNumberFormat="1" applyFont="1" applyAlignment="1">
      <alignment vertical="center"/>
    </xf>
    <xf numFmtId="37" fontId="47" fillId="0" borderId="76" xfId="19" applyFont="1" applyBorder="1" applyAlignment="1">
      <alignment vertical="center"/>
    </xf>
    <xf numFmtId="37" fontId="47" fillId="0" borderId="173" xfId="19" applyFont="1" applyBorder="1" applyAlignment="1">
      <alignment vertical="center"/>
    </xf>
    <xf numFmtId="182" fontId="47" fillId="0" borderId="0" xfId="19" applyNumberFormat="1" applyFont="1" applyAlignment="1">
      <alignment horizontal="fill" vertical="center"/>
    </xf>
    <xf numFmtId="182" fontId="147" fillId="5" borderId="0" xfId="20" applyNumberFormat="1" applyFill="1" applyAlignment="1">
      <alignment horizontal="center" vertical="center"/>
    </xf>
    <xf numFmtId="9" fontId="0" fillId="0" borderId="0" xfId="22" applyFont="1" applyAlignment="1">
      <alignment vertical="center"/>
    </xf>
    <xf numFmtId="37" fontId="144" fillId="0" borderId="78" xfId="19" applyBorder="1" applyAlignment="1">
      <alignment vertical="center"/>
    </xf>
    <xf numFmtId="37" fontId="144" fillId="0" borderId="0" xfId="19" applyAlignment="1">
      <alignment horizontal="left"/>
    </xf>
    <xf numFmtId="37" fontId="47" fillId="0" borderId="0" xfId="19" quotePrefix="1" applyFont="1" applyAlignment="1">
      <alignment horizontal="left" vertical="center"/>
    </xf>
    <xf numFmtId="37" fontId="47" fillId="0" borderId="0" xfId="19" applyFont="1" applyAlignment="1">
      <alignment horizontal="left"/>
    </xf>
    <xf numFmtId="182" fontId="47" fillId="0" borderId="0" xfId="19" applyNumberFormat="1" applyFont="1"/>
    <xf numFmtId="182" fontId="47" fillId="0" borderId="0" xfId="19" applyNumberFormat="1" applyFont="1" applyAlignment="1">
      <alignment horizontal="center"/>
    </xf>
    <xf numFmtId="37" fontId="143" fillId="0" borderId="0" xfId="19" applyFont="1" applyAlignment="1">
      <alignment horizontal="left"/>
    </xf>
    <xf numFmtId="169" fontId="13" fillId="0" borderId="0" xfId="19" applyNumberFormat="1" applyFont="1" applyAlignment="1">
      <alignment horizontal="left"/>
    </xf>
    <xf numFmtId="1" fontId="13" fillId="0" borderId="0" xfId="19" applyNumberFormat="1" applyFont="1" applyAlignment="1">
      <alignment horizontal="left"/>
    </xf>
    <xf numFmtId="37" fontId="13" fillId="0" borderId="0" xfId="19" applyFont="1" applyAlignment="1">
      <alignment horizontal="left"/>
    </xf>
    <xf numFmtId="169" fontId="144" fillId="0" borderId="0" xfId="19" applyNumberFormat="1" applyAlignment="1">
      <alignment horizontal="left"/>
    </xf>
    <xf numFmtId="1" fontId="144" fillId="0" borderId="0" xfId="19" applyNumberFormat="1" applyAlignment="1">
      <alignment horizontal="left"/>
    </xf>
    <xf numFmtId="182" fontId="144" fillId="5" borderId="0" xfId="19" applyNumberFormat="1" applyFill="1" applyAlignment="1">
      <alignment horizontal="center" vertical="center"/>
    </xf>
    <xf numFmtId="37" fontId="144" fillId="0" borderId="0" xfId="19" applyProtection="1">
      <protection locked="0"/>
    </xf>
    <xf numFmtId="169" fontId="144" fillId="0" borderId="0" xfId="19" applyNumberFormat="1" applyProtection="1">
      <protection locked="0"/>
    </xf>
    <xf numFmtId="1" fontId="144" fillId="0" borderId="0" xfId="19" applyNumberFormat="1" applyProtection="1">
      <protection locked="0"/>
    </xf>
    <xf numFmtId="37" fontId="144" fillId="0" borderId="0" xfId="19" applyAlignment="1" applyProtection="1">
      <alignment horizontal="center"/>
      <protection locked="0"/>
    </xf>
    <xf numFmtId="37" fontId="15" fillId="0" borderId="0" xfId="19" applyFont="1" applyAlignment="1">
      <alignment vertical="center"/>
    </xf>
    <xf numFmtId="181" fontId="47" fillId="0" borderId="0" xfId="19" applyNumberFormat="1" applyFont="1" applyAlignment="1">
      <alignment horizontal="center"/>
    </xf>
    <xf numFmtId="37" fontId="47" fillId="0" borderId="0" xfId="19" quotePrefix="1" applyFont="1" applyAlignment="1">
      <alignment horizontal="center"/>
    </xf>
    <xf numFmtId="183" fontId="47" fillId="0" borderId="0" xfId="19" applyNumberFormat="1" applyFont="1"/>
    <xf numFmtId="0" fontId="56" fillId="0" borderId="0" xfId="3" applyFont="1" applyAlignment="1" applyProtection="1">
      <alignment horizontal="center" vertical="center"/>
    </xf>
    <xf numFmtId="49" fontId="4" fillId="0" borderId="157" xfId="17" applyNumberFormat="1" applyFont="1" applyBorder="1" applyAlignment="1" applyProtection="1">
      <alignment horizontal="center" vertical="top"/>
      <protection locked="0"/>
    </xf>
    <xf numFmtId="0" fontId="4" fillId="0" borderId="157" xfId="17" applyFont="1" applyBorder="1" applyAlignment="1" applyProtection="1">
      <alignment vertical="top"/>
      <protection locked="0"/>
    </xf>
    <xf numFmtId="49" fontId="4" fillId="0" borderId="157" xfId="17" applyNumberFormat="1" applyFont="1" applyBorder="1" applyAlignment="1" applyProtection="1">
      <alignment horizontal="center" vertical="center"/>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3" fillId="0" borderId="157" xfId="17" applyNumberFormat="1" applyFont="1" applyBorder="1" applyAlignment="1" applyProtection="1">
      <alignment horizontal="center" vertical="center"/>
      <protection locked="0"/>
    </xf>
    <xf numFmtId="49" fontId="2" fillId="0" borderId="157" xfId="17" applyNumberFormat="1" applyFont="1" applyBorder="1" applyAlignment="1" applyProtection="1">
      <alignment horizontal="center" vertical="top"/>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14" fontId="153" fillId="0" borderId="0" xfId="19" applyNumberFormat="1" applyFont="1" applyAlignment="1">
      <alignment horizontal="center"/>
    </xf>
    <xf numFmtId="37" fontId="145" fillId="0" borderId="0" xfId="19" applyFont="1" applyAlignment="1">
      <alignment horizontal="center" vertical="center"/>
    </xf>
    <xf numFmtId="37" fontId="149" fillId="0" borderId="0" xfId="19" applyFont="1" applyAlignment="1">
      <alignment horizontal="center" vertical="center"/>
    </xf>
    <xf numFmtId="41" fontId="151" fillId="0" borderId="0" xfId="20" applyNumberFormat="1" applyFont="1" applyAlignment="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xf numFmtId="0" fontId="12" fillId="0" borderId="0" xfId="3" applyAlignment="1" applyProtection="1">
      <alignment horizontal="left" vertical="top" wrapText="1"/>
      <protection locked="0"/>
    </xf>
    <xf numFmtId="0" fontId="15" fillId="0" borderId="0" xfId="3" applyFont="1" applyAlignment="1">
      <alignment horizontal="center" vertical="center" wrapText="1"/>
    </xf>
    <xf numFmtId="165" fontId="15" fillId="0" borderId="0" xfId="3" applyNumberFormat="1" applyFont="1" applyAlignment="1">
      <alignment horizontal="center" vertical="center" wrapText="1"/>
    </xf>
    <xf numFmtId="0" fontId="22" fillId="0" borderId="0" xfId="3" applyFont="1" applyAlignment="1">
      <alignment horizontal="center" vertical="center" wrapText="1"/>
    </xf>
    <xf numFmtId="171" fontId="22" fillId="0" borderId="0" xfId="3" applyNumberFormat="1" applyFont="1" applyAlignment="1">
      <alignment horizontal="center" vertical="center" wrapText="1"/>
    </xf>
    <xf numFmtId="49" fontId="1" fillId="0" borderId="157" xfId="17" applyNumberFormat="1" applyFont="1" applyBorder="1" applyAlignment="1" applyProtection="1">
      <alignment horizontal="center" vertical="top"/>
      <protection locked="0"/>
    </xf>
  </cellXfs>
  <cellStyles count="23">
    <cellStyle name="Comma" xfId="1" builtinId="3"/>
    <cellStyle name="Comma 2" xfId="21"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Federal" xfId="20" xr:uid="{00000000-0005-0000-0000-000014000000}"/>
    <cellStyle name="Normal_THRESHOLD CALCULATOR v3" xfId="13" xr:uid="{00000000-0005-0000-0000-000015000000}"/>
    <cellStyle name="Percent 2" xfId="22"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B0453F56-1C41-4BBC-B825-7A6880F211CF}"/>
            </a:ext>
          </a:extLst>
        </xdr:cNvPr>
        <xdr:cNvSpPr txBox="1">
          <a:spLocks noChangeArrowheads="1"/>
        </xdr:cNvSpPr>
      </xdr:nvSpPr>
      <xdr:spPr bwMode="auto">
        <a:xfrm>
          <a:off x="1727200"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776F5450-08D5-465C-B14D-72842501950F}"/>
            </a:ext>
          </a:extLst>
        </xdr:cNvPr>
        <xdr:cNvSpPr>
          <a:spLocks noChangeArrowheads="1"/>
        </xdr:cNvSpPr>
      </xdr:nvSpPr>
      <xdr:spPr bwMode="auto">
        <a:xfrm>
          <a:off x="1346200"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277091</xdr:colOff>
          <xdr:row>2</xdr:row>
          <xdr:rowOff>51956</xdr:rowOff>
        </xdr:from>
        <xdr:to>
          <xdr:col>1</xdr:col>
          <xdr:colOff>1191491</xdr:colOff>
          <xdr:row>6</xdr:row>
          <xdr:rowOff>90056</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1420091</xdr:colOff>
          <xdr:row>2</xdr:row>
          <xdr:rowOff>51955</xdr:rowOff>
        </xdr:from>
        <xdr:to>
          <xdr:col>1</xdr:col>
          <xdr:colOff>2331027</xdr:colOff>
          <xdr:row>6</xdr:row>
          <xdr:rowOff>90055</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3E92466D-117F-46EA-A937-2C24B0289AAC}"/>
            </a:ext>
          </a:extLst>
        </xdr:cNvPr>
        <xdr:cNvSpPr txBox="1">
          <a:spLocks noChangeArrowheads="1"/>
        </xdr:cNvSpPr>
      </xdr:nvSpPr>
      <xdr:spPr bwMode="auto">
        <a:xfrm>
          <a:off x="2489200" y="25273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E5A5EBB7-0AFF-4506-80C3-E6DA62599C49}"/>
            </a:ext>
          </a:extLst>
        </xdr:cNvPr>
        <xdr:cNvSpPr>
          <a:spLocks noChangeArrowheads="1"/>
        </xdr:cNvSpPr>
      </xdr:nvSpPr>
      <xdr:spPr bwMode="auto">
        <a:xfrm>
          <a:off x="4032250" y="15430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2E27BAF0-5E78-4705-AAC3-3A982DD319A7}"/>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4C3C92B5-5608-4627-97F1-EAD14F25E0EB}"/>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53" t="s">
        <v>405</v>
      </c>
      <c r="J1" s="2154"/>
      <c r="K1" s="2154"/>
      <c r="L1" s="2154"/>
      <c r="M1" s="2154"/>
      <c r="N1" s="2154"/>
      <c r="O1" s="2154"/>
      <c r="P1" s="2154"/>
      <c r="Q1" s="2154"/>
      <c r="R1" s="2154"/>
      <c r="S1" s="2154"/>
    </row>
    <row r="2" spans="1:28" ht="12" customHeight="1" x14ac:dyDescent="0.2">
      <c r="A2" s="47" t="s">
        <v>1990</v>
      </c>
      <c r="D2" s="48"/>
      <c r="I2" s="2155" t="s">
        <v>979</v>
      </c>
      <c r="J2" s="2154"/>
      <c r="K2" s="2154"/>
      <c r="L2" s="2154"/>
      <c r="M2" s="2154"/>
      <c r="N2" s="2154"/>
      <c r="O2" s="2154"/>
      <c r="P2" s="2154"/>
      <c r="Q2" s="2154"/>
      <c r="R2" s="2154"/>
      <c r="S2" s="2154"/>
    </row>
    <row r="3" spans="1:28" ht="12" customHeight="1" x14ac:dyDescent="0.2">
      <c r="A3" s="155" t="s">
        <v>1942</v>
      </c>
      <c r="B3" s="156"/>
      <c r="C3" s="156"/>
      <c r="D3" s="157"/>
      <c r="I3" s="2155" t="s">
        <v>52</v>
      </c>
      <c r="J3" s="2154"/>
      <c r="K3" s="2154"/>
      <c r="L3" s="2154"/>
      <c r="M3" s="2154"/>
      <c r="N3" s="2154"/>
      <c r="O3" s="2154"/>
      <c r="P3" s="2154"/>
      <c r="Q3" s="2154"/>
      <c r="R3" s="2154"/>
      <c r="S3" s="2154"/>
    </row>
    <row r="4" spans="1:28" ht="12" customHeight="1" x14ac:dyDescent="0.2">
      <c r="A4" s="37"/>
      <c r="I4" s="2155" t="s">
        <v>524</v>
      </c>
      <c r="J4" s="2154"/>
      <c r="K4" s="2154"/>
      <c r="L4" s="2154"/>
      <c r="M4" s="2154"/>
      <c r="N4" s="2154"/>
      <c r="O4" s="2154"/>
      <c r="P4" s="2154"/>
      <c r="Q4" s="2154"/>
      <c r="R4" s="2154"/>
      <c r="S4" s="2154"/>
    </row>
    <row r="5" spans="1:28" ht="14.1" customHeight="1" x14ac:dyDescent="0.2">
      <c r="B5" s="104" t="s">
        <v>2067</v>
      </c>
      <c r="C5" s="26" t="s">
        <v>910</v>
      </c>
      <c r="D5" s="84"/>
      <c r="E5" s="84"/>
      <c r="H5" s="38"/>
      <c r="I5" s="2162" t="s">
        <v>680</v>
      </c>
      <c r="J5" s="2107"/>
      <c r="K5" s="2107"/>
      <c r="L5" s="2107"/>
      <c r="M5" s="2107"/>
      <c r="N5" s="2107"/>
      <c r="O5" s="2107"/>
      <c r="P5" s="2107"/>
      <c r="Q5" s="2107"/>
      <c r="R5" s="2107"/>
      <c r="S5" s="2107"/>
    </row>
    <row r="6" spans="1:28" ht="14.1" customHeight="1" x14ac:dyDescent="0.2">
      <c r="B6" s="104"/>
      <c r="C6" s="26" t="s">
        <v>911</v>
      </c>
      <c r="D6" s="84"/>
      <c r="E6" s="84"/>
      <c r="I6" s="2161" t="s">
        <v>883</v>
      </c>
      <c r="J6" s="2107"/>
      <c r="K6" s="2107"/>
      <c r="L6" s="2107"/>
      <c r="M6" s="2107"/>
      <c r="N6" s="2107"/>
      <c r="O6" s="2107"/>
      <c r="P6" s="2107"/>
      <c r="Q6" s="2107"/>
      <c r="R6" s="2107"/>
      <c r="S6" s="2107"/>
    </row>
    <row r="7" spans="1:28" ht="12.2" customHeight="1" x14ac:dyDescent="0.2">
      <c r="I7" s="2156">
        <v>43646</v>
      </c>
      <c r="J7" s="2157"/>
      <c r="K7" s="2157"/>
      <c r="L7" s="2157"/>
      <c r="M7" s="2157"/>
      <c r="N7" s="2157"/>
      <c r="O7" s="2157"/>
      <c r="P7" s="2157"/>
      <c r="Q7" s="2157"/>
      <c r="R7" s="2157"/>
      <c r="S7" s="215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58" t="s">
        <v>674</v>
      </c>
      <c r="J9" s="2159"/>
      <c r="K9" s="2159"/>
      <c r="L9" s="2159"/>
      <c r="M9" s="2159"/>
      <c r="N9" s="2159"/>
      <c r="O9" s="2159"/>
      <c r="P9" s="2159"/>
      <c r="Q9" s="2159"/>
      <c r="R9" s="2159"/>
      <c r="S9" s="2160"/>
      <c r="T9" s="2103" t="s">
        <v>533</v>
      </c>
      <c r="U9" s="2104"/>
      <c r="V9" s="2104"/>
      <c r="W9" s="2104"/>
      <c r="X9" s="2104"/>
      <c r="Y9" s="2104"/>
      <c r="Z9" s="2104"/>
      <c r="AA9" s="2105"/>
    </row>
    <row r="10" spans="1:28" ht="13.5" customHeight="1" x14ac:dyDescent="0.2">
      <c r="A10" s="2112" t="s">
        <v>675</v>
      </c>
      <c r="B10" s="2113"/>
      <c r="C10" s="2113"/>
      <c r="D10" s="2113"/>
      <c r="E10" s="2113"/>
      <c r="F10" s="2113"/>
      <c r="G10" s="2113"/>
      <c r="H10" s="2114"/>
      <c r="I10" s="29"/>
      <c r="J10" s="30"/>
      <c r="K10" s="28"/>
      <c r="R10" s="30"/>
      <c r="S10" s="30"/>
      <c r="T10" s="2106"/>
      <c r="U10" s="2107"/>
      <c r="V10" s="2107"/>
      <c r="W10" s="2107"/>
      <c r="X10" s="2107"/>
      <c r="Y10" s="2107"/>
      <c r="Z10" s="2107"/>
      <c r="AA10" s="2108"/>
    </row>
    <row r="11" spans="1:28" ht="14.25" customHeight="1" x14ac:dyDescent="0.2">
      <c r="A11" s="2115" t="s">
        <v>955</v>
      </c>
      <c r="B11" s="2116"/>
      <c r="C11" s="2116"/>
      <c r="D11" s="2116"/>
      <c r="E11" s="2116"/>
      <c r="F11" s="2116"/>
      <c r="G11" s="2116"/>
      <c r="H11" s="2117"/>
      <c r="I11" s="27"/>
      <c r="J11" s="74"/>
      <c r="K11" s="27"/>
      <c r="O11" s="148" t="s">
        <v>2067</v>
      </c>
      <c r="P11" s="100" t="s">
        <v>201</v>
      </c>
      <c r="Q11" s="30"/>
      <c r="R11" s="28"/>
      <c r="S11" s="27"/>
      <c r="T11" s="2109"/>
      <c r="U11" s="2110"/>
      <c r="V11" s="2110"/>
      <c r="W11" s="2110"/>
      <c r="X11" s="2110"/>
      <c r="Y11" s="2110"/>
      <c r="Z11" s="2110"/>
      <c r="AA11" s="21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23">
        <v>28037229026</v>
      </c>
      <c r="B13" s="2124"/>
      <c r="C13" s="2124"/>
      <c r="D13" s="2124"/>
      <c r="E13" s="2124"/>
      <c r="F13" s="2124"/>
      <c r="G13" s="2124"/>
      <c r="H13" s="2125"/>
      <c r="I13" s="31"/>
      <c r="J13" s="30"/>
      <c r="K13" s="28"/>
      <c r="L13" s="30"/>
      <c r="M13" s="30"/>
      <c r="N13" s="30"/>
      <c r="O13" s="30"/>
      <c r="P13" s="30"/>
      <c r="Q13" s="30"/>
      <c r="R13" s="30"/>
      <c r="S13" s="30"/>
      <c r="T13" s="2128" t="s">
        <v>2069</v>
      </c>
      <c r="U13" s="2129"/>
      <c r="V13" s="2129"/>
      <c r="W13" s="2129"/>
      <c r="X13" s="2129"/>
      <c r="Y13" s="2130"/>
      <c r="Z13" s="2130"/>
      <c r="AA13" s="213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21" t="s">
        <v>2071</v>
      </c>
      <c r="B15" s="2126"/>
      <c r="C15" s="2126"/>
      <c r="D15" s="2126"/>
      <c r="E15" s="2126"/>
      <c r="F15" s="2126"/>
      <c r="G15" s="2126"/>
      <c r="H15" s="2127"/>
      <c r="T15" s="2089" t="s">
        <v>2076</v>
      </c>
      <c r="U15" s="2090"/>
      <c r="V15" s="2090"/>
      <c r="W15" s="2090"/>
      <c r="X15" s="2090"/>
      <c r="Y15" s="2132"/>
      <c r="Z15" s="2132"/>
      <c r="AA15" s="21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81" t="s">
        <v>2290</v>
      </c>
      <c r="B17" s="2151"/>
      <c r="C17" s="2151"/>
      <c r="D17" s="2151"/>
      <c r="E17" s="2151"/>
      <c r="F17" s="2151"/>
      <c r="G17" s="2151"/>
      <c r="H17" s="2152"/>
      <c r="T17" s="2138" t="s">
        <v>2061</v>
      </c>
      <c r="U17" s="2139"/>
      <c r="V17" s="2139"/>
      <c r="W17" s="2139"/>
      <c r="X17" s="2139"/>
      <c r="Y17" s="2139"/>
      <c r="Z17" s="2139"/>
      <c r="AA17" s="2140"/>
    </row>
    <row r="18" spans="1:27" ht="13.5" customHeight="1" x14ac:dyDescent="0.2">
      <c r="A18" s="85" t="s">
        <v>530</v>
      </c>
      <c r="B18" s="76"/>
      <c r="C18" s="72"/>
      <c r="D18" s="76"/>
      <c r="E18" s="76"/>
      <c r="F18" s="76"/>
      <c r="G18" s="76"/>
      <c r="H18" s="56"/>
      <c r="I18" s="2148" t="s">
        <v>676</v>
      </c>
      <c r="J18" s="2149"/>
      <c r="K18" s="2149"/>
      <c r="L18" s="2149"/>
      <c r="M18" s="2149"/>
      <c r="N18" s="2149"/>
      <c r="O18" s="2149"/>
      <c r="P18" s="2149"/>
      <c r="Q18" s="2149"/>
      <c r="R18" s="2149"/>
      <c r="S18" s="2150"/>
      <c r="T18" s="85" t="s">
        <v>711</v>
      </c>
      <c r="U18" s="51"/>
      <c r="V18" s="72"/>
      <c r="W18" s="50"/>
      <c r="X18" s="85" t="s">
        <v>266</v>
      </c>
      <c r="Y18" s="81"/>
      <c r="Z18" s="159" t="s">
        <v>677</v>
      </c>
      <c r="AA18" s="46"/>
    </row>
    <row r="19" spans="1:27" ht="13.5" customHeight="1" x14ac:dyDescent="0.2">
      <c r="A19" s="2121" t="s">
        <v>2073</v>
      </c>
      <c r="B19" s="2122"/>
      <c r="C19" s="2122"/>
      <c r="D19" s="2122"/>
      <c r="E19" s="2122"/>
      <c r="F19" s="2122"/>
      <c r="G19" s="2122"/>
      <c r="H19" s="2120"/>
      <c r="I19" s="30"/>
      <c r="J19" s="99"/>
      <c r="K19" s="40"/>
      <c r="L19" s="38"/>
      <c r="M19" s="112" t="s">
        <v>315</v>
      </c>
      <c r="P19" s="27"/>
      <c r="Q19" s="27"/>
      <c r="R19" s="27"/>
      <c r="S19" s="31"/>
      <c r="T19" s="2121" t="s">
        <v>2062</v>
      </c>
      <c r="U19" s="2119"/>
      <c r="V19" s="2119"/>
      <c r="W19" s="2120"/>
      <c r="X19" s="2136" t="s">
        <v>2063</v>
      </c>
      <c r="Y19" s="2137"/>
      <c r="Z19" s="2134">
        <v>61614</v>
      </c>
      <c r="AA19" s="21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18" t="s">
        <v>2074</v>
      </c>
      <c r="B21" s="2119"/>
      <c r="C21" s="2119"/>
      <c r="D21" s="2119"/>
      <c r="E21" s="2119"/>
      <c r="F21" s="2119"/>
      <c r="G21" s="2119"/>
      <c r="H21" s="2120"/>
      <c r="I21" s="2144" t="s">
        <v>678</v>
      </c>
      <c r="J21" s="2107"/>
      <c r="K21" s="2107"/>
      <c r="L21" s="2107"/>
      <c r="M21" s="2107"/>
      <c r="N21" s="2107"/>
      <c r="O21" s="2107"/>
      <c r="P21" s="2107"/>
      <c r="Q21" s="2107"/>
      <c r="R21" s="2107"/>
      <c r="S21" s="2108"/>
      <c r="T21" s="2086" t="s">
        <v>2064</v>
      </c>
      <c r="U21" s="2087"/>
      <c r="V21" s="2087"/>
      <c r="W21" s="2087"/>
      <c r="X21" s="2100" t="s">
        <v>2065</v>
      </c>
      <c r="Y21" s="2101"/>
      <c r="Z21" s="2101"/>
      <c r="AA21" s="2102"/>
    </row>
    <row r="22" spans="1:27" ht="13.5" customHeight="1" x14ac:dyDescent="0.2">
      <c r="A22" s="87" t="s">
        <v>531</v>
      </c>
      <c r="B22" s="59"/>
      <c r="C22" s="59"/>
      <c r="D22" s="59"/>
      <c r="E22" s="59"/>
      <c r="F22" s="59"/>
      <c r="G22" s="59"/>
      <c r="H22" s="60"/>
      <c r="I22" s="2145" t="s">
        <v>1429</v>
      </c>
      <c r="J22" s="2146"/>
      <c r="K22" s="2146"/>
      <c r="L22" s="2146"/>
      <c r="M22" s="2146"/>
      <c r="N22" s="2146"/>
      <c r="O22" s="2146"/>
      <c r="P22" s="2146"/>
      <c r="Q22" s="2146"/>
      <c r="R22" s="2146"/>
      <c r="S22" s="2147"/>
      <c r="T22" s="85" t="s">
        <v>1516</v>
      </c>
      <c r="U22" s="51"/>
      <c r="V22" s="72"/>
      <c r="W22" s="51"/>
      <c r="X22" s="160" t="s">
        <v>1318</v>
      </c>
      <c r="Z22" s="45"/>
      <c r="AA22" s="46"/>
    </row>
    <row r="23" spans="1:27" ht="13.5" customHeight="1" x14ac:dyDescent="0.2">
      <c r="A23" s="2141" t="s">
        <v>2075</v>
      </c>
      <c r="B23" s="2142"/>
      <c r="C23" s="2142"/>
      <c r="D23" s="2142"/>
      <c r="E23" s="2142"/>
      <c r="F23" s="2142"/>
      <c r="G23" s="2142"/>
      <c r="H23" s="2143"/>
      <c r="T23" s="2081" t="s">
        <v>2066</v>
      </c>
      <c r="U23" s="2082"/>
      <c r="V23" s="2082"/>
      <c r="W23" s="2082"/>
      <c r="X23" s="2097">
        <v>44501</v>
      </c>
      <c r="Y23" s="2098"/>
      <c r="Z23" s="2098"/>
      <c r="AA23" s="2099"/>
    </row>
    <row r="24" spans="1:27" ht="14.1" customHeight="1" x14ac:dyDescent="0.2">
      <c r="A24" s="88" t="s">
        <v>677</v>
      </c>
      <c r="B24" s="49"/>
      <c r="C24" s="49"/>
      <c r="D24" s="49"/>
      <c r="E24" s="49"/>
      <c r="F24" s="49"/>
      <c r="G24" s="49"/>
      <c r="H24" s="61"/>
      <c r="J24" s="2183">
        <f>IF(B5="x",IF(AUDITCHECK!D29="AFR form Incomplete.","",IF(AUDITCHECK!D29="Deficit reduction plan is required.","School District must complete a deficit reduction plan in the 2019-2020 Budget",)),"")</f>
        <v>0</v>
      </c>
      <c r="K24" s="2183"/>
      <c r="L24" s="2183"/>
      <c r="M24" s="2183"/>
      <c r="N24" s="2183"/>
      <c r="O24" s="2183"/>
      <c r="P24" s="2183"/>
      <c r="Q24" s="2183"/>
      <c r="R24" s="2183"/>
      <c r="S24" s="2184"/>
      <c r="T24" s="105" t="s">
        <v>531</v>
      </c>
      <c r="U24" s="106"/>
      <c r="V24" s="106"/>
      <c r="W24" s="106"/>
      <c r="X24" s="107"/>
      <c r="Y24" s="107"/>
      <c r="Z24" s="107"/>
      <c r="AA24" s="108"/>
    </row>
    <row r="25" spans="1:27" ht="14.1" customHeight="1" x14ac:dyDescent="0.2">
      <c r="A25" s="2118">
        <v>61443</v>
      </c>
      <c r="B25" s="2119"/>
      <c r="C25" s="2119"/>
      <c r="D25" s="2119"/>
      <c r="E25" s="2119"/>
      <c r="F25" s="2119"/>
      <c r="G25" s="2119"/>
      <c r="H25" s="2120"/>
      <c r="I25" s="113"/>
      <c r="J25" s="2185"/>
      <c r="K25" s="2185"/>
      <c r="L25" s="2185"/>
      <c r="M25" s="2185"/>
      <c r="N25" s="2185"/>
      <c r="O25" s="2185"/>
      <c r="P25" s="2185"/>
      <c r="Q25" s="2185"/>
      <c r="R25" s="2185"/>
      <c r="S25" s="2186"/>
      <c r="T25" s="2078" t="s">
        <v>2077</v>
      </c>
      <c r="U25" s="2079"/>
      <c r="V25" s="2079"/>
      <c r="W25" s="2079"/>
      <c r="X25" s="2079"/>
      <c r="Y25" s="2079"/>
      <c r="Z25" s="2079"/>
      <c r="AA25" s="20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76" t="s">
        <v>1511</v>
      </c>
      <c r="J27" s="2149"/>
      <c r="K27" s="2149"/>
      <c r="L27" s="2149"/>
      <c r="M27" s="2149"/>
      <c r="N27" s="2149"/>
      <c r="O27" s="2149"/>
      <c r="P27" s="2149"/>
      <c r="Q27" s="2149"/>
      <c r="R27" s="2149"/>
      <c r="S27" s="215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2067</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22"/>
      <c r="Q35" s="2119"/>
      <c r="R35" s="211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81" t="s">
        <v>2078</v>
      </c>
      <c r="B38" s="2151"/>
      <c r="C38" s="2151"/>
      <c r="D38" s="2151"/>
      <c r="E38" s="2151"/>
      <c r="F38" s="2119"/>
      <c r="G38" s="2119"/>
      <c r="H38" s="2120"/>
      <c r="I38" s="2170"/>
      <c r="J38" s="2090"/>
      <c r="K38" s="2090"/>
      <c r="L38" s="2090"/>
      <c r="M38" s="2090"/>
      <c r="N38" s="2090"/>
      <c r="O38" s="2090"/>
      <c r="P38" s="2091"/>
      <c r="Q38" s="2091"/>
      <c r="R38" s="2091"/>
      <c r="S38" s="2092"/>
      <c r="T38" s="2089"/>
      <c r="U38" s="2090"/>
      <c r="V38" s="2090"/>
      <c r="W38" s="2090"/>
      <c r="X38" s="2091"/>
      <c r="Y38" s="2091"/>
      <c r="Z38" s="2091"/>
      <c r="AA38" s="2092"/>
    </row>
    <row r="39" spans="1:27" ht="12" customHeight="1" x14ac:dyDescent="0.2">
      <c r="A39" s="2174" t="s">
        <v>531</v>
      </c>
      <c r="B39" s="2175"/>
      <c r="C39" s="72"/>
      <c r="D39" s="69"/>
      <c r="E39" s="69"/>
      <c r="F39" s="79"/>
      <c r="G39" s="69"/>
      <c r="H39" s="56"/>
      <c r="I39" s="2174" t="s">
        <v>531</v>
      </c>
      <c r="J39" s="2175"/>
      <c r="K39" s="2175"/>
      <c r="L39" s="2175"/>
      <c r="M39" s="2175"/>
      <c r="N39" s="67"/>
      <c r="O39" s="72"/>
      <c r="P39" s="72"/>
      <c r="Q39" s="78"/>
      <c r="R39" s="72"/>
      <c r="S39" s="56"/>
      <c r="T39" s="72" t="s">
        <v>531</v>
      </c>
      <c r="U39" s="51"/>
      <c r="V39" s="72"/>
      <c r="W39" s="50"/>
      <c r="X39" s="78"/>
      <c r="Y39" s="45"/>
      <c r="Z39" s="45"/>
      <c r="AA39" s="46"/>
    </row>
    <row r="40" spans="1:27" ht="13.5" customHeight="1" x14ac:dyDescent="0.2">
      <c r="A40" s="2177" t="s">
        <v>2075</v>
      </c>
      <c r="B40" s="2178"/>
      <c r="C40" s="2179"/>
      <c r="D40" s="2179"/>
      <c r="E40" s="2179"/>
      <c r="F40" s="2180"/>
      <c r="G40" s="2180"/>
      <c r="H40" s="2181"/>
      <c r="I40" s="2093"/>
      <c r="J40" s="2095"/>
      <c r="K40" s="2095"/>
      <c r="L40" s="2095"/>
      <c r="M40" s="2095"/>
      <c r="N40" s="2095"/>
      <c r="O40" s="2095"/>
      <c r="P40" s="2095"/>
      <c r="Q40" s="2095"/>
      <c r="R40" s="2095"/>
      <c r="S40" s="2096"/>
      <c r="T40" s="2093"/>
      <c r="U40" s="2094"/>
      <c r="V40" s="2095"/>
      <c r="W40" s="2095"/>
      <c r="X40" s="2095"/>
      <c r="Y40" s="2095"/>
      <c r="Z40" s="2095"/>
      <c r="AA40" s="209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67" t="s">
        <v>2079</v>
      </c>
      <c r="B42" s="2168"/>
      <c r="C42" s="2169"/>
      <c r="D42" s="2182" t="s">
        <v>2080</v>
      </c>
      <c r="E42" s="2168"/>
      <c r="F42" s="2168"/>
      <c r="G42" s="2168"/>
      <c r="H42" s="2169"/>
      <c r="I42" s="2088"/>
      <c r="J42" s="2084"/>
      <c r="K42" s="2084"/>
      <c r="L42" s="2084"/>
      <c r="M42" s="2084"/>
      <c r="N42" s="2084"/>
      <c r="O42" s="2085"/>
      <c r="P42" s="2083"/>
      <c r="Q42" s="2084"/>
      <c r="R42" s="2084"/>
      <c r="S42" s="2085"/>
      <c r="T42" s="2088"/>
      <c r="U42" s="2084"/>
      <c r="V42" s="2084"/>
      <c r="W42" s="2085"/>
      <c r="X42" s="2083"/>
      <c r="Y42" s="2084"/>
      <c r="Z42" s="2084"/>
      <c r="AA42" s="208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71"/>
      <c r="B44" s="2172"/>
      <c r="C44" s="2172"/>
      <c r="D44" s="2172"/>
      <c r="E44" s="2172"/>
      <c r="F44" s="2172"/>
      <c r="G44" s="2172"/>
      <c r="H44" s="2173"/>
      <c r="I44" s="2163"/>
      <c r="J44" s="2165"/>
      <c r="K44" s="2165"/>
      <c r="L44" s="2165"/>
      <c r="M44" s="2165"/>
      <c r="N44" s="2165"/>
      <c r="O44" s="2165"/>
      <c r="P44" s="2165"/>
      <c r="Q44" s="2165"/>
      <c r="R44" s="2165"/>
      <c r="S44" s="2166"/>
      <c r="T44" s="2163"/>
      <c r="U44" s="2164"/>
      <c r="V44" s="2164"/>
      <c r="W44" s="2164"/>
      <c r="X44" s="2164"/>
      <c r="Y44" s="2164"/>
      <c r="Z44" s="2165"/>
      <c r="AA44" s="216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320" t="s">
        <v>1799</v>
      </c>
      <c r="B2" s="1525" t="s">
        <v>1948</v>
      </c>
      <c r="C2" s="711" t="s">
        <v>1949</v>
      </c>
      <c r="D2" s="711" t="s">
        <v>1950</v>
      </c>
      <c r="E2" s="711" t="s">
        <v>1951</v>
      </c>
      <c r="F2" s="711" t="s">
        <v>1952</v>
      </c>
    </row>
    <row r="3" spans="1:6" ht="12" customHeight="1" x14ac:dyDescent="0.2">
      <c r="A3" s="2321"/>
      <c r="B3" s="1522"/>
      <c r="C3" s="1523"/>
      <c r="D3" s="1524" t="s">
        <v>256</v>
      </c>
      <c r="E3" s="1523"/>
      <c r="F3" s="1524" t="s">
        <v>257</v>
      </c>
    </row>
    <row r="4" spans="1:6" ht="13.7" customHeight="1" x14ac:dyDescent="0.2">
      <c r="A4" s="712" t="s">
        <v>1155</v>
      </c>
      <c r="B4" s="1746">
        <f>'Revenues 9-14'!C5</f>
        <v>1404677</v>
      </c>
      <c r="C4" s="1521">
        <v>603434</v>
      </c>
      <c r="D4" s="1749">
        <f>B4-C4</f>
        <v>801243</v>
      </c>
      <c r="E4" s="1521">
        <v>1441931</v>
      </c>
      <c r="F4" s="1749">
        <f>E4-C4</f>
        <v>838497</v>
      </c>
    </row>
    <row r="5" spans="1:6" ht="13.7" customHeight="1" x14ac:dyDescent="0.2">
      <c r="A5" s="712" t="s">
        <v>870</v>
      </c>
      <c r="B5" s="1747">
        <f>'Revenues 9-14'!D5</f>
        <v>381705</v>
      </c>
      <c r="C5" s="582">
        <v>163977</v>
      </c>
      <c r="D5" s="1750">
        <f t="shared" ref="D5:D18" si="0">B5-C5</f>
        <v>217728</v>
      </c>
      <c r="E5" s="582">
        <v>391829</v>
      </c>
      <c r="F5" s="1750">
        <f>E5-C5</f>
        <v>227852</v>
      </c>
    </row>
    <row r="6" spans="1:6" ht="13.7" customHeight="1" x14ac:dyDescent="0.2">
      <c r="A6" s="712" t="s">
        <v>411</v>
      </c>
      <c r="B6" s="1747">
        <f>'Revenues 9-14'!E5</f>
        <v>177029</v>
      </c>
      <c r="C6" s="582">
        <v>75068</v>
      </c>
      <c r="D6" s="1750">
        <f t="shared" si="0"/>
        <v>101961</v>
      </c>
      <c r="E6" s="582">
        <v>179379</v>
      </c>
      <c r="F6" s="1750">
        <f t="shared" ref="F6:F18" si="1">E6-C6</f>
        <v>104311</v>
      </c>
    </row>
    <row r="7" spans="1:6" ht="13.7" customHeight="1" x14ac:dyDescent="0.2">
      <c r="A7" s="712" t="s">
        <v>155</v>
      </c>
      <c r="B7" s="1747">
        <f>'Revenues 9-14'!F5</f>
        <v>152682</v>
      </c>
      <c r="C7" s="582">
        <v>65591</v>
      </c>
      <c r="D7" s="1750">
        <f t="shared" si="0"/>
        <v>87091</v>
      </c>
      <c r="E7" s="582">
        <v>156732</v>
      </c>
      <c r="F7" s="1750">
        <f t="shared" si="1"/>
        <v>91141</v>
      </c>
    </row>
    <row r="8" spans="1:6" ht="13.7" customHeight="1" x14ac:dyDescent="0.2">
      <c r="A8" s="712" t="s">
        <v>1179</v>
      </c>
      <c r="B8" s="1747">
        <f>'Revenues 9-14'!G5</f>
        <v>300545</v>
      </c>
      <c r="C8" s="582">
        <v>129738</v>
      </c>
      <c r="D8" s="1750">
        <f t="shared" si="0"/>
        <v>170807</v>
      </c>
      <c r="E8" s="582">
        <v>310015</v>
      </c>
      <c r="F8" s="1750">
        <f t="shared" si="1"/>
        <v>180277</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38171</v>
      </c>
      <c r="C10" s="582">
        <v>16398</v>
      </c>
      <c r="D10" s="1750">
        <f t="shared" si="0"/>
        <v>21773</v>
      </c>
      <c r="E10" s="582">
        <v>39183</v>
      </c>
      <c r="F10" s="1750">
        <f t="shared" si="1"/>
        <v>22785</v>
      </c>
    </row>
    <row r="11" spans="1:6" x14ac:dyDescent="0.2">
      <c r="A11" s="712" t="s">
        <v>409</v>
      </c>
      <c r="B11" s="1747">
        <f>'Revenues 9-14'!J5</f>
        <v>574467</v>
      </c>
      <c r="C11" s="582">
        <v>246916</v>
      </c>
      <c r="D11" s="1750">
        <f t="shared" si="0"/>
        <v>327551</v>
      </c>
      <c r="E11" s="582">
        <v>590016</v>
      </c>
      <c r="F11" s="1750">
        <f t="shared" si="1"/>
        <v>343100</v>
      </c>
    </row>
    <row r="12" spans="1:6" ht="13.7" customHeight="1" x14ac:dyDescent="0.2">
      <c r="A12" s="712" t="s">
        <v>157</v>
      </c>
      <c r="B12" s="1747">
        <f>'Revenues 9-14'!K5</f>
        <v>38171</v>
      </c>
      <c r="C12" s="582">
        <v>16398</v>
      </c>
      <c r="D12" s="1750">
        <f t="shared" si="0"/>
        <v>21773</v>
      </c>
      <c r="E12" s="582">
        <v>39183</v>
      </c>
      <c r="F12" s="1750">
        <f t="shared" si="1"/>
        <v>22785</v>
      </c>
    </row>
    <row r="13" spans="1:6" ht="13.7" customHeight="1" x14ac:dyDescent="0.2">
      <c r="A13" s="712" t="s">
        <v>936</v>
      </c>
      <c r="B13" s="1747">
        <f>SUM('Revenues 9-14'!C6:D6)</f>
        <v>38171</v>
      </c>
      <c r="C13" s="582">
        <v>16398</v>
      </c>
      <c r="D13" s="1750">
        <f t="shared" si="0"/>
        <v>21773</v>
      </c>
      <c r="E13" s="582">
        <v>39183</v>
      </c>
      <c r="F13" s="1750">
        <f t="shared" si="1"/>
        <v>22785</v>
      </c>
    </row>
    <row r="14" spans="1:6" ht="13.7" customHeight="1" x14ac:dyDescent="0.2">
      <c r="A14" s="712" t="s">
        <v>410</v>
      </c>
      <c r="B14" s="1747">
        <f>SUM('Revenues 9-14'!C7:D7,'Revenues 9-14'!F7:H7)</f>
        <v>30536</v>
      </c>
      <c r="C14" s="582">
        <v>13118</v>
      </c>
      <c r="D14" s="1750">
        <f t="shared" si="0"/>
        <v>17418</v>
      </c>
      <c r="E14" s="582">
        <v>31346</v>
      </c>
      <c r="F14" s="1750">
        <f t="shared" si="1"/>
        <v>18228</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366998</v>
      </c>
      <c r="C16" s="582">
        <v>159057</v>
      </c>
      <c r="D16" s="1750">
        <f t="shared" si="0"/>
        <v>207941</v>
      </c>
      <c r="E16" s="582">
        <v>380074</v>
      </c>
      <c r="F16" s="1750">
        <f t="shared" si="1"/>
        <v>221017</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3503152</v>
      </c>
      <c r="C19" s="1748">
        <f>SUM(C4:C18)</f>
        <v>1506093</v>
      </c>
      <c r="D19" s="1748">
        <f>SUM(D4:D18)</f>
        <v>1997059</v>
      </c>
      <c r="E19" s="1748">
        <f>SUM(E4:E18)</f>
        <v>3598871</v>
      </c>
      <c r="F19" s="1748">
        <f>SUM(F4:F18)</f>
        <v>2092778</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26" t="s">
        <v>629</v>
      </c>
      <c r="B1" s="2327"/>
      <c r="C1" s="718"/>
    </row>
    <row r="2" spans="1:7" ht="33.75" x14ac:dyDescent="0.2">
      <c r="A2" s="2335" t="s">
        <v>1799</v>
      </c>
      <c r="B2" s="2336"/>
      <c r="C2" s="1881" t="s">
        <v>1953</v>
      </c>
      <c r="D2" s="720" t="s">
        <v>1954</v>
      </c>
      <c r="E2" s="720" t="s">
        <v>1955</v>
      </c>
      <c r="F2" s="1881" t="s">
        <v>1956</v>
      </c>
    </row>
    <row r="3" spans="1:7" ht="15.75" customHeight="1" x14ac:dyDescent="0.2">
      <c r="A3" s="2339" t="s">
        <v>1114</v>
      </c>
      <c r="B3" s="2340"/>
      <c r="C3" s="2328"/>
      <c r="D3" s="2329"/>
      <c r="E3" s="2329"/>
      <c r="F3" s="2330"/>
    </row>
    <row r="4" spans="1:7" ht="12.75" customHeight="1" thickBot="1" x14ac:dyDescent="0.25">
      <c r="A4" s="2337" t="s">
        <v>630</v>
      </c>
      <c r="B4" s="2338"/>
      <c r="C4" s="578"/>
      <c r="D4" s="578"/>
      <c r="E4" s="578"/>
      <c r="F4" s="1752">
        <f>SUM(C4+D4)-E4</f>
        <v>0</v>
      </c>
    </row>
    <row r="5" spans="1:7" ht="15.75" customHeight="1" thickTop="1" x14ac:dyDescent="0.2">
      <c r="A5" s="2322" t="s">
        <v>1110</v>
      </c>
      <c r="B5" s="2323"/>
      <c r="C5" s="2331"/>
      <c r="D5" s="2332"/>
      <c r="E5" s="2332"/>
      <c r="F5" s="2333"/>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324" t="s">
        <v>631</v>
      </c>
      <c r="B15" s="2325"/>
      <c r="C15" s="1752">
        <f>SUM(C6:C14)</f>
        <v>0</v>
      </c>
      <c r="D15" s="1752">
        <f>SUM(D6:D14)</f>
        <v>0</v>
      </c>
      <c r="E15" s="1752">
        <f>SUM(E6:E14)</f>
        <v>0</v>
      </c>
      <c r="F15" s="1752">
        <f>SUM(F6:F14)</f>
        <v>0</v>
      </c>
      <c r="G15" s="549"/>
    </row>
    <row r="16" spans="1:7" s="202" customFormat="1" ht="15.75" customHeight="1" thickTop="1" x14ac:dyDescent="0.2">
      <c r="A16" s="2334" t="s">
        <v>1111</v>
      </c>
      <c r="B16" s="2323"/>
      <c r="C16" s="2331"/>
      <c r="D16" s="2332"/>
      <c r="E16" s="2332"/>
      <c r="F16" s="2333"/>
    </row>
    <row r="17" spans="1:11" ht="12.75" customHeight="1" thickBot="1" x14ac:dyDescent="0.25">
      <c r="A17" s="2347" t="s">
        <v>64</v>
      </c>
      <c r="B17" s="2348"/>
      <c r="C17" s="723"/>
      <c r="D17" s="582"/>
      <c r="E17" s="723"/>
      <c r="F17" s="1752">
        <f>SUM(C17+D17)-E17</f>
        <v>0</v>
      </c>
    </row>
    <row r="18" spans="1:11" ht="12.75" customHeight="1" thickTop="1" thickBot="1" x14ac:dyDescent="0.25">
      <c r="A18" s="2347" t="s">
        <v>6</v>
      </c>
      <c r="B18" s="2348"/>
      <c r="C18" s="723"/>
      <c r="D18" s="582"/>
      <c r="E18" s="723"/>
      <c r="F18" s="1752">
        <f>SUM(C18+D18)-E18</f>
        <v>0</v>
      </c>
    </row>
    <row r="19" spans="1:11" ht="12.75" customHeight="1" thickTop="1" thickBot="1" x14ac:dyDescent="0.25">
      <c r="A19" s="2347" t="s">
        <v>388</v>
      </c>
      <c r="B19" s="2348"/>
      <c r="C19" s="723"/>
      <c r="D19" s="582"/>
      <c r="E19" s="723"/>
      <c r="F19" s="1752">
        <f>SUM(C19+D19)-E19</f>
        <v>0</v>
      </c>
    </row>
    <row r="20" spans="1:11" ht="12.75" customHeight="1" thickTop="1" thickBot="1" x14ac:dyDescent="0.25">
      <c r="A20" s="2347" t="s">
        <v>448</v>
      </c>
      <c r="B20" s="2348"/>
      <c r="C20" s="723"/>
      <c r="D20" s="582"/>
      <c r="E20" s="723"/>
      <c r="F20" s="1752">
        <f>SUM(C20+D20)-E20</f>
        <v>0</v>
      </c>
    </row>
    <row r="21" spans="1:11" ht="14.25" thickTop="1" thickBot="1" x14ac:dyDescent="0.25">
      <c r="A21" s="2324" t="s">
        <v>632</v>
      </c>
      <c r="B21" s="2325"/>
      <c r="C21" s="1752">
        <f>SUM(C17:C20)</f>
        <v>0</v>
      </c>
      <c r="D21" s="1752">
        <f>SUM(D17:D20)</f>
        <v>0</v>
      </c>
      <c r="E21" s="1752">
        <f>SUM(E17:E20)</f>
        <v>0</v>
      </c>
      <c r="F21" s="1752">
        <f>SUM(F17:F20)</f>
        <v>0</v>
      </c>
      <c r="G21" s="549"/>
    </row>
    <row r="22" spans="1:11" ht="15.75" customHeight="1" thickTop="1" x14ac:dyDescent="0.2">
      <c r="A22" s="2349" t="s">
        <v>1112</v>
      </c>
      <c r="B22" s="2323"/>
      <c r="C22" s="2331"/>
      <c r="D22" s="2332"/>
      <c r="E22" s="2332"/>
      <c r="F22" s="2333"/>
    </row>
    <row r="23" spans="1:11" ht="13.5" thickBot="1" x14ac:dyDescent="0.25">
      <c r="A23" s="2337" t="s">
        <v>633</v>
      </c>
      <c r="B23" s="2338"/>
      <c r="C23" s="578"/>
      <c r="D23" s="578"/>
      <c r="E23" s="578"/>
      <c r="F23" s="1752">
        <f>SUM(C23+D23)-E23</f>
        <v>0</v>
      </c>
      <c r="G23" s="549"/>
    </row>
    <row r="24" spans="1:11" ht="15.75" customHeight="1" thickTop="1" x14ac:dyDescent="0.2">
      <c r="A24" s="2349" t="s">
        <v>1113</v>
      </c>
      <c r="B24" s="2323"/>
      <c r="C24" s="2331"/>
      <c r="D24" s="2332"/>
      <c r="E24" s="2332"/>
      <c r="F24" s="2333"/>
    </row>
    <row r="25" spans="1:11" ht="13.5" thickBot="1" x14ac:dyDescent="0.25">
      <c r="A25" s="2337" t="s">
        <v>634</v>
      </c>
      <c r="B25" s="2338"/>
      <c r="C25" s="578"/>
      <c r="D25" s="578"/>
      <c r="E25" s="578"/>
      <c r="F25" s="1752">
        <f>SUM(C25+D25)-E25</f>
        <v>0</v>
      </c>
      <c r="G25" s="549"/>
    </row>
    <row r="26" spans="1:11" ht="15.75" customHeight="1" thickTop="1" x14ac:dyDescent="0.2">
      <c r="A26" s="2322" t="s">
        <v>657</v>
      </c>
      <c r="B26" s="2323"/>
      <c r="C26" s="724"/>
      <c r="D26" s="724"/>
      <c r="E26" s="724"/>
      <c r="F26" s="725"/>
    </row>
    <row r="27" spans="1:11" ht="13.5" thickBot="1" x14ac:dyDescent="0.25">
      <c r="A27" s="2324" t="s">
        <v>1070</v>
      </c>
      <c r="B27" s="2325"/>
      <c r="C27" s="582"/>
      <c r="D27" s="582"/>
      <c r="E27" s="582"/>
      <c r="F27" s="1752">
        <f>SUM(C27+D27)-E27</f>
        <v>0</v>
      </c>
      <c r="G27" s="549"/>
    </row>
    <row r="28" spans="1:11" ht="7.5" customHeight="1" thickTop="1" x14ac:dyDescent="0.2">
      <c r="A28" s="590"/>
    </row>
    <row r="29" spans="1:11" ht="23.25" customHeight="1" x14ac:dyDescent="0.2">
      <c r="A29" s="2350" t="s">
        <v>582</v>
      </c>
      <c r="B29" s="2327"/>
      <c r="C29" s="726"/>
      <c r="D29" s="726"/>
      <c r="E29" s="726"/>
      <c r="F29" s="726"/>
      <c r="G29" s="726"/>
      <c r="H29" s="726"/>
      <c r="I29" s="726"/>
      <c r="J29" s="726"/>
    </row>
    <row r="30" spans="1:11" ht="33.75" x14ac:dyDescent="0.2">
      <c r="A30" s="1526" t="s">
        <v>1071</v>
      </c>
      <c r="B30" s="727" t="s">
        <v>1124</v>
      </c>
      <c r="C30" s="1882" t="s">
        <v>583</v>
      </c>
      <c r="D30" s="1882" t="s">
        <v>1673</v>
      </c>
      <c r="E30" s="1882" t="s">
        <v>1957</v>
      </c>
      <c r="F30" s="1882" t="s">
        <v>1958</v>
      </c>
      <c r="G30" s="1882" t="s">
        <v>1908</v>
      </c>
      <c r="H30" s="1882" t="s">
        <v>1959</v>
      </c>
      <c r="I30" s="1882" t="s">
        <v>1960</v>
      </c>
      <c r="J30" s="1883" t="s">
        <v>2</v>
      </c>
      <c r="K30" s="728"/>
    </row>
    <row r="31" spans="1:11" ht="12" customHeight="1" x14ac:dyDescent="0.2">
      <c r="A31" s="729" t="s">
        <v>2081</v>
      </c>
      <c r="B31" s="730">
        <v>39387</v>
      </c>
      <c r="C31" s="731">
        <v>1000000</v>
      </c>
      <c r="D31" s="732">
        <v>8</v>
      </c>
      <c r="E31" s="731">
        <v>1000000</v>
      </c>
      <c r="F31" s="731"/>
      <c r="G31" s="731"/>
      <c r="H31" s="731"/>
      <c r="I31" s="1753">
        <f>((E31+F31)-H31)+G31</f>
        <v>1000000</v>
      </c>
      <c r="J31" s="731">
        <v>-36824</v>
      </c>
      <c r="K31" s="733"/>
    </row>
    <row r="32" spans="1:11" ht="12" customHeight="1" x14ac:dyDescent="0.2">
      <c r="A32" s="729" t="s">
        <v>2082</v>
      </c>
      <c r="B32" s="730">
        <v>41609</v>
      </c>
      <c r="C32" s="731">
        <v>3400000</v>
      </c>
      <c r="D32" s="732">
        <v>7</v>
      </c>
      <c r="E32" s="731">
        <v>2630000</v>
      </c>
      <c r="F32" s="731"/>
      <c r="G32" s="731"/>
      <c r="H32" s="731">
        <v>325000</v>
      </c>
      <c r="I32" s="1753">
        <f>((E32+F32)-H32)+G32</f>
        <v>2305000</v>
      </c>
      <c r="J32" s="731">
        <v>1690678</v>
      </c>
      <c r="K32" s="733"/>
    </row>
    <row r="33" spans="1:11" ht="12" customHeight="1" x14ac:dyDescent="0.2">
      <c r="A33" s="729" t="s">
        <v>2083</v>
      </c>
      <c r="B33" s="730">
        <v>42217</v>
      </c>
      <c r="C33" s="731">
        <v>650000</v>
      </c>
      <c r="D33" s="732">
        <v>1</v>
      </c>
      <c r="E33" s="731">
        <v>343000</v>
      </c>
      <c r="F33" s="731"/>
      <c r="G33" s="731"/>
      <c r="H33" s="731">
        <v>168000</v>
      </c>
      <c r="I33" s="1753">
        <f t="shared" ref="I33:I48" si="1">((E33+F33)-H33)+G33</f>
        <v>175000</v>
      </c>
      <c r="J33" s="731">
        <v>101778</v>
      </c>
      <c r="K33" s="733"/>
    </row>
    <row r="34" spans="1:11" ht="12" customHeight="1" x14ac:dyDescent="0.2">
      <c r="A34" s="729" t="s">
        <v>2084</v>
      </c>
      <c r="B34" s="730">
        <v>43160</v>
      </c>
      <c r="C34" s="731">
        <v>2460000</v>
      </c>
      <c r="D34" s="732">
        <v>7</v>
      </c>
      <c r="E34" s="731">
        <v>2465000</v>
      </c>
      <c r="F34" s="731"/>
      <c r="G34" s="731"/>
      <c r="H34" s="731"/>
      <c r="I34" s="1753">
        <f t="shared" si="1"/>
        <v>2465000</v>
      </c>
      <c r="J34" s="731">
        <v>2304702</v>
      </c>
      <c r="K34" s="734"/>
    </row>
    <row r="35" spans="1:11" ht="12" customHeight="1" x14ac:dyDescent="0.2">
      <c r="A35" s="729" t="s">
        <v>2269</v>
      </c>
      <c r="B35" s="730">
        <v>43590</v>
      </c>
      <c r="C35" s="735"/>
      <c r="D35" s="732">
        <v>1</v>
      </c>
      <c r="E35" s="735"/>
      <c r="F35" s="735">
        <v>650000</v>
      </c>
      <c r="G35" s="735"/>
      <c r="H35" s="735"/>
      <c r="I35" s="1753">
        <f t="shared" si="1"/>
        <v>650000</v>
      </c>
      <c r="J35" s="735">
        <v>611093</v>
      </c>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7510000</v>
      </c>
      <c r="D49" s="742"/>
      <c r="E49" s="1753">
        <f t="shared" ref="E49:J49" si="2">SUM(E31:E48)</f>
        <v>6438000</v>
      </c>
      <c r="F49" s="1753">
        <f t="shared" si="2"/>
        <v>650000</v>
      </c>
      <c r="G49" s="1753">
        <f t="shared" si="2"/>
        <v>0</v>
      </c>
      <c r="H49" s="1753">
        <f t="shared" si="2"/>
        <v>493000</v>
      </c>
      <c r="I49" s="1753">
        <f t="shared" si="2"/>
        <v>6595000</v>
      </c>
      <c r="J49" s="1753">
        <f t="shared" si="2"/>
        <v>4671427</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341" t="s">
        <v>584</v>
      </c>
      <c r="C52" s="2342"/>
      <c r="D52" s="2342"/>
      <c r="E52" s="746" t="s">
        <v>845</v>
      </c>
      <c r="F52" s="2343" t="s">
        <v>2085</v>
      </c>
      <c r="G52" s="2344"/>
      <c r="H52" s="733"/>
      <c r="I52" s="733"/>
      <c r="J52" s="743"/>
    </row>
    <row r="53" spans="1:11" ht="11.25" customHeight="1" x14ac:dyDescent="0.2">
      <c r="A53" s="747" t="s">
        <v>913</v>
      </c>
      <c r="B53" s="748" t="s">
        <v>951</v>
      </c>
      <c r="C53" s="743"/>
      <c r="D53" s="734"/>
      <c r="E53" s="746" t="s">
        <v>497</v>
      </c>
      <c r="F53" s="2345" t="s">
        <v>2086</v>
      </c>
      <c r="G53" s="2346"/>
      <c r="H53" s="733"/>
      <c r="I53" s="733"/>
      <c r="J53" s="743"/>
    </row>
    <row r="54" spans="1:11" ht="11.25" customHeight="1" x14ac:dyDescent="0.2">
      <c r="A54" s="749" t="s">
        <v>914</v>
      </c>
      <c r="B54" s="744" t="s">
        <v>952</v>
      </c>
      <c r="C54" s="743"/>
      <c r="D54" s="734"/>
      <c r="E54" s="746" t="s">
        <v>498</v>
      </c>
      <c r="F54" s="2345"/>
      <c r="G54" s="234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75" t="s">
        <v>856</v>
      </c>
      <c r="B1" s="2376"/>
      <c r="C1" s="2376"/>
      <c r="D1" s="2376"/>
      <c r="E1" s="2376"/>
      <c r="F1" s="2376"/>
      <c r="G1" s="2377"/>
      <c r="H1" s="1527"/>
      <c r="I1" s="757"/>
      <c r="J1" s="433"/>
    </row>
    <row r="2" spans="1:11" ht="26.25" x14ac:dyDescent="0.2">
      <c r="A2" s="2354" t="s">
        <v>1677</v>
      </c>
      <c r="B2" s="2355"/>
      <c r="C2" s="2355"/>
      <c r="D2" s="2355"/>
      <c r="E2" s="2356"/>
      <c r="F2" s="758" t="s">
        <v>904</v>
      </c>
      <c r="G2" s="759" t="s">
        <v>1674</v>
      </c>
      <c r="H2" s="759" t="s">
        <v>410</v>
      </c>
      <c r="I2" s="759" t="s">
        <v>1158</v>
      </c>
      <c r="J2" s="759" t="s">
        <v>1809</v>
      </c>
      <c r="K2" s="759" t="s">
        <v>138</v>
      </c>
    </row>
    <row r="3" spans="1:11" x14ac:dyDescent="0.2">
      <c r="A3" s="2357" t="s">
        <v>1961</v>
      </c>
      <c r="B3" s="2358"/>
      <c r="C3" s="2358"/>
      <c r="D3" s="2358"/>
      <c r="E3" s="2359"/>
      <c r="F3" s="760"/>
      <c r="G3" s="761"/>
      <c r="H3" s="761"/>
      <c r="I3" s="761"/>
      <c r="J3" s="762">
        <v>540412</v>
      </c>
      <c r="K3" s="762"/>
    </row>
    <row r="4" spans="1:11" x14ac:dyDescent="0.2">
      <c r="A4" s="2360" t="s">
        <v>369</v>
      </c>
      <c r="B4" s="2361"/>
      <c r="C4" s="2361"/>
      <c r="D4" s="2361"/>
      <c r="E4" s="2342"/>
      <c r="F4" s="763"/>
      <c r="G4" s="764"/>
      <c r="H4" s="765"/>
      <c r="I4" s="764"/>
      <c r="J4" s="766"/>
      <c r="K4" s="766"/>
    </row>
    <row r="5" spans="1:11" x14ac:dyDescent="0.2">
      <c r="A5" s="2378" t="s">
        <v>1069</v>
      </c>
      <c r="B5" s="2351"/>
      <c r="C5" s="2351"/>
      <c r="D5" s="2351"/>
      <c r="E5" s="2379"/>
      <c r="F5" s="767" t="s">
        <v>848</v>
      </c>
      <c r="G5" s="768"/>
      <c r="H5" s="761">
        <v>30536</v>
      </c>
      <c r="I5" s="769"/>
      <c r="J5" s="770"/>
      <c r="K5" s="770"/>
    </row>
    <row r="6" spans="1:11" x14ac:dyDescent="0.2">
      <c r="A6" s="771" t="s">
        <v>720</v>
      </c>
      <c r="B6" s="772"/>
      <c r="C6" s="772"/>
      <c r="D6" s="772"/>
      <c r="E6" s="773"/>
      <c r="F6" s="774" t="s">
        <v>849</v>
      </c>
      <c r="G6" s="761"/>
      <c r="H6" s="761">
        <v>12</v>
      </c>
      <c r="I6" s="761"/>
      <c r="J6" s="762">
        <v>11856</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736900</v>
      </c>
      <c r="K8" s="766"/>
    </row>
    <row r="9" spans="1:11" x14ac:dyDescent="0.2">
      <c r="A9" s="775" t="s">
        <v>138</v>
      </c>
      <c r="B9" s="776"/>
      <c r="C9" s="776"/>
      <c r="D9" s="776"/>
      <c r="E9" s="777"/>
      <c r="F9" s="774" t="s">
        <v>853</v>
      </c>
      <c r="G9" s="779"/>
      <c r="H9" s="768"/>
      <c r="I9" s="768"/>
      <c r="J9" s="778"/>
      <c r="K9" s="762">
        <v>24139</v>
      </c>
    </row>
    <row r="10" spans="1:11" x14ac:dyDescent="0.2">
      <c r="A10" s="2378" t="s">
        <v>1810</v>
      </c>
      <c r="B10" s="2351"/>
      <c r="C10" s="2351"/>
      <c r="D10" s="2351"/>
      <c r="E10" s="2380"/>
      <c r="F10" s="780" t="s">
        <v>862</v>
      </c>
      <c r="G10" s="779"/>
      <c r="H10" s="781"/>
      <c r="I10" s="761"/>
      <c r="J10" s="762"/>
      <c r="K10" s="762"/>
    </row>
    <row r="11" spans="1:11" x14ac:dyDescent="0.2">
      <c r="A11" s="2378" t="s">
        <v>160</v>
      </c>
      <c r="B11" s="2351"/>
      <c r="C11" s="2351"/>
      <c r="D11" s="2351"/>
      <c r="E11" s="2379"/>
      <c r="F11" s="767" t="s">
        <v>852</v>
      </c>
      <c r="G11" s="768"/>
      <c r="H11" s="761"/>
      <c r="I11" s="761"/>
      <c r="J11" s="762"/>
      <c r="K11" s="770"/>
    </row>
    <row r="12" spans="1:11" ht="13.5" thickBot="1" x14ac:dyDescent="0.25">
      <c r="A12" s="2368" t="s">
        <v>905</v>
      </c>
      <c r="B12" s="2369"/>
      <c r="C12" s="2369"/>
      <c r="D12" s="2369"/>
      <c r="E12" s="2370"/>
      <c r="F12" s="1754"/>
      <c r="G12" s="1755">
        <f>SUM(G5:G11)</f>
        <v>0</v>
      </c>
      <c r="H12" s="1755">
        <f>SUM(H5:H11)</f>
        <v>30548</v>
      </c>
      <c r="I12" s="1755">
        <f>SUM(I5:I11)</f>
        <v>0</v>
      </c>
      <c r="J12" s="1755">
        <f>SUM(J5:J11)</f>
        <v>748756</v>
      </c>
      <c r="K12" s="1755">
        <f>SUM(K5:K11)</f>
        <v>24139</v>
      </c>
    </row>
    <row r="13" spans="1:11" ht="13.5" thickTop="1" x14ac:dyDescent="0.2">
      <c r="A13" s="2362" t="s">
        <v>370</v>
      </c>
      <c r="B13" s="2363"/>
      <c r="C13" s="2363"/>
      <c r="D13" s="2363"/>
      <c r="E13" s="2364"/>
      <c r="F13" s="782"/>
      <c r="G13" s="783"/>
      <c r="H13" s="784"/>
      <c r="I13" s="785"/>
      <c r="J13" s="785"/>
      <c r="K13" s="785"/>
    </row>
    <row r="14" spans="1:11" x14ac:dyDescent="0.2">
      <c r="A14" s="2384" t="s">
        <v>456</v>
      </c>
      <c r="B14" s="2384"/>
      <c r="C14" s="2384"/>
      <c r="D14" s="2384"/>
      <c r="E14" s="2385"/>
      <c r="F14" s="786" t="s">
        <v>854</v>
      </c>
      <c r="G14" s="779"/>
      <c r="H14" s="761">
        <v>30548</v>
      </c>
      <c r="I14" s="768"/>
      <c r="J14" s="770"/>
      <c r="K14" s="762">
        <v>24139</v>
      </c>
    </row>
    <row r="15" spans="1:11" x14ac:dyDescent="0.2">
      <c r="A15" s="2351" t="s">
        <v>4</v>
      </c>
      <c r="B15" s="2351"/>
      <c r="C15" s="2351"/>
      <c r="D15" s="2351"/>
      <c r="E15" s="2379"/>
      <c r="F15" s="786" t="s">
        <v>855</v>
      </c>
      <c r="G15" s="768"/>
      <c r="H15" s="761"/>
      <c r="I15" s="761"/>
      <c r="J15" s="762"/>
      <c r="K15" s="762"/>
    </row>
    <row r="16" spans="1:11" x14ac:dyDescent="0.2">
      <c r="A16" s="2351" t="s">
        <v>298</v>
      </c>
      <c r="B16" s="2351"/>
      <c r="C16" s="2351"/>
      <c r="D16" s="2351"/>
      <c r="E16" s="2379"/>
      <c r="F16" s="786" t="s">
        <v>923</v>
      </c>
      <c r="G16" s="769"/>
      <c r="H16" s="764"/>
      <c r="I16" s="764"/>
      <c r="J16" s="766"/>
      <c r="K16" s="766"/>
    </row>
    <row r="17" spans="1:11" x14ac:dyDescent="0.2">
      <c r="A17" s="2373" t="s">
        <v>935</v>
      </c>
      <c r="B17" s="2373"/>
      <c r="C17" s="2373"/>
      <c r="D17" s="2373"/>
      <c r="E17" s="2374"/>
      <c r="F17" s="787"/>
      <c r="G17" s="788"/>
      <c r="H17" s="789"/>
      <c r="I17" s="789"/>
      <c r="J17" s="790"/>
      <c r="K17" s="791"/>
    </row>
    <row r="18" spans="1:11" x14ac:dyDescent="0.2">
      <c r="A18" s="2365" t="s">
        <v>368</v>
      </c>
      <c r="B18" s="2366"/>
      <c r="C18" s="2366"/>
      <c r="D18" s="2366"/>
      <c r="E18" s="2367"/>
      <c r="F18" s="786" t="s">
        <v>932</v>
      </c>
      <c r="G18" s="779"/>
      <c r="H18" s="779"/>
      <c r="I18" s="779"/>
      <c r="J18" s="762"/>
      <c r="K18" s="792"/>
    </row>
    <row r="19" spans="1:11" ht="21.75" customHeight="1" x14ac:dyDescent="0.2">
      <c r="A19" s="2386" t="s">
        <v>1806</v>
      </c>
      <c r="B19" s="2386"/>
      <c r="C19" s="2386"/>
      <c r="D19" s="2386"/>
      <c r="E19" s="2387"/>
      <c r="F19" s="786" t="s">
        <v>933</v>
      </c>
      <c r="G19" s="779"/>
      <c r="H19" s="779"/>
      <c r="I19" s="779"/>
      <c r="J19" s="762">
        <v>514549</v>
      </c>
      <c r="K19" s="792"/>
    </row>
    <row r="20" spans="1:11" x14ac:dyDescent="0.2">
      <c r="A20" s="2365" t="s">
        <v>1811</v>
      </c>
      <c r="B20" s="2366"/>
      <c r="C20" s="2366"/>
      <c r="D20" s="2366"/>
      <c r="E20" s="2367"/>
      <c r="F20" s="786" t="s">
        <v>934</v>
      </c>
      <c r="G20" s="779"/>
      <c r="H20" s="779"/>
      <c r="I20" s="779"/>
      <c r="J20" s="762"/>
      <c r="K20" s="792"/>
    </row>
    <row r="21" spans="1:11" ht="13.5" thickBot="1" x14ac:dyDescent="0.25">
      <c r="A21" s="2371" t="s">
        <v>638</v>
      </c>
      <c r="B21" s="2371"/>
      <c r="C21" s="2371"/>
      <c r="D21" s="2371"/>
      <c r="E21" s="2371"/>
      <c r="F21" s="1756"/>
      <c r="G21" s="789"/>
      <c r="H21" s="793"/>
      <c r="I21" s="793"/>
      <c r="J21" s="1757">
        <f>SUM(J18:J20)</f>
        <v>514549</v>
      </c>
      <c r="K21" s="790"/>
    </row>
    <row r="22" spans="1:11" ht="13.5" thickTop="1" x14ac:dyDescent="0.2">
      <c r="A22" s="2351" t="s">
        <v>1812</v>
      </c>
      <c r="B22" s="2351"/>
      <c r="C22" s="2351"/>
      <c r="D22" s="2351"/>
      <c r="E22" s="2379"/>
      <c r="F22" s="786" t="s">
        <v>862</v>
      </c>
      <c r="G22" s="779"/>
      <c r="H22" s="761"/>
      <c r="I22" s="761"/>
      <c r="J22" s="794"/>
      <c r="K22" s="762"/>
    </row>
    <row r="23" spans="1:11" ht="13.5" thickBot="1" x14ac:dyDescent="0.25">
      <c r="A23" s="2372" t="s">
        <v>906</v>
      </c>
      <c r="B23" s="2371"/>
      <c r="C23" s="2371"/>
      <c r="D23" s="2371"/>
      <c r="E23" s="2371"/>
      <c r="F23" s="1758"/>
      <c r="G23" s="1755">
        <f>SUM(G14:G16,G21,G22)</f>
        <v>0</v>
      </c>
      <c r="H23" s="1755">
        <f>SUM(H14:H16,H21,H22)</f>
        <v>30548</v>
      </c>
      <c r="I23" s="1755">
        <f>SUM(I14:I16,I21,I22)</f>
        <v>0</v>
      </c>
      <c r="J23" s="1755">
        <f>SUM(J14:J16,J21,J22)</f>
        <v>514549</v>
      </c>
      <c r="K23" s="1755">
        <f>SUM(K14:K16,K21,K22)</f>
        <v>24139</v>
      </c>
    </row>
    <row r="24" spans="1:11" ht="14.25" thickTop="1" thickBot="1" x14ac:dyDescent="0.25">
      <c r="A24" s="2372" t="s">
        <v>1962</v>
      </c>
      <c r="B24" s="2371"/>
      <c r="C24" s="2371"/>
      <c r="D24" s="2371"/>
      <c r="E24" s="2371"/>
      <c r="F24" s="1759"/>
      <c r="G24" s="1760">
        <f>SUM(G3,G12)-G23</f>
        <v>0</v>
      </c>
      <c r="H24" s="1760">
        <f>SUM(H3,H12)-H23</f>
        <v>0</v>
      </c>
      <c r="I24" s="1760">
        <f>SUM(I3,I12)-I23</f>
        <v>0</v>
      </c>
      <c r="J24" s="1760">
        <f>SUM(J3,J12)-J23</f>
        <v>774619</v>
      </c>
      <c r="K24" s="1760">
        <f>SUM(K3,K12)-K23</f>
        <v>0</v>
      </c>
    </row>
    <row r="25" spans="1:11" ht="13.5" thickTop="1" x14ac:dyDescent="0.2">
      <c r="A25" s="795" t="s">
        <v>420</v>
      </c>
      <c r="B25" s="796"/>
      <c r="C25" s="796"/>
      <c r="D25" s="796"/>
      <c r="E25" s="797"/>
      <c r="F25" s="798">
        <v>714</v>
      </c>
      <c r="G25" s="799"/>
      <c r="H25" s="799"/>
      <c r="I25" s="799"/>
      <c r="J25" s="794">
        <v>774619</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1907</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81"/>
      <c r="I31" s="2382"/>
      <c r="J31" s="2382"/>
      <c r="K31" s="2382"/>
    </row>
    <row r="32" spans="1:11" x14ac:dyDescent="0.2">
      <c r="A32" s="806"/>
      <c r="B32" s="237"/>
      <c r="C32" s="237"/>
      <c r="D32" s="237"/>
      <c r="E32" s="802"/>
      <c r="F32" s="808" t="s">
        <v>540</v>
      </c>
      <c r="G32" s="761"/>
      <c r="H32" s="2383"/>
      <c r="I32" s="2382"/>
      <c r="J32" s="2382"/>
      <c r="K32" s="2382"/>
    </row>
    <row r="33" spans="1:11" ht="1.5" customHeight="1" x14ac:dyDescent="0.2">
      <c r="A33" s="809" t="s">
        <v>1169</v>
      </c>
      <c r="B33" s="364"/>
      <c r="C33" s="364"/>
      <c r="D33" s="364"/>
      <c r="E33" s="364"/>
      <c r="F33" s="364"/>
      <c r="G33" s="810"/>
      <c r="H33" s="2383"/>
      <c r="I33" s="2382"/>
      <c r="J33" s="2382"/>
      <c r="K33" s="2382"/>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51" t="s">
        <v>541</v>
      </c>
      <c r="B41" s="2352"/>
      <c r="C41" s="2352"/>
      <c r="D41" s="2352"/>
      <c r="E41" s="2352"/>
      <c r="F41" s="2353"/>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1807</v>
      </c>
      <c r="B46" s="408" t="s">
        <v>1675</v>
      </c>
    </row>
    <row r="47" spans="1:11" s="820" customFormat="1" ht="12.75" customHeight="1" x14ac:dyDescent="0.2">
      <c r="A47" s="818"/>
      <c r="B47" s="819" t="s">
        <v>1676</v>
      </c>
      <c r="E47" s="819"/>
      <c r="K47" s="821"/>
    </row>
    <row r="48" spans="1:11" ht="12.75" customHeight="1" x14ac:dyDescent="0.2">
      <c r="A48" s="1529"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90" t="s">
        <v>1906</v>
      </c>
      <c r="B1" s="2391"/>
      <c r="C1" s="2392"/>
      <c r="D1" s="823"/>
      <c r="E1" s="824"/>
      <c r="F1" s="824"/>
      <c r="G1" s="825"/>
      <c r="H1" s="826"/>
      <c r="I1" s="827"/>
      <c r="J1" s="2388"/>
      <c r="K1" s="2389"/>
      <c r="L1" s="2389"/>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396790</v>
      </c>
      <c r="D5" s="838">
        <v>28500</v>
      </c>
      <c r="E5" s="838"/>
      <c r="F5" s="1757">
        <f>(C5+D5)-E5</f>
        <v>425290</v>
      </c>
      <c r="G5" s="834"/>
      <c r="H5" s="839"/>
      <c r="I5" s="839"/>
      <c r="J5" s="839"/>
      <c r="K5" s="790"/>
      <c r="L5" s="1766">
        <f>F5-K5</f>
        <v>425290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22988062</v>
      </c>
      <c r="D8" s="841">
        <v>3511542</v>
      </c>
      <c r="E8" s="841"/>
      <c r="F8" s="1757">
        <f>(C8+D8)-E8</f>
        <v>26499604</v>
      </c>
      <c r="G8" s="840">
        <v>50</v>
      </c>
      <c r="H8" s="762">
        <v>9514216</v>
      </c>
      <c r="I8" s="762">
        <v>449325</v>
      </c>
      <c r="J8" s="762"/>
      <c r="K8" s="1766">
        <f>(H8+I8)-J8</f>
        <v>9963541</v>
      </c>
      <c r="L8" s="1766">
        <f>F8-K8</f>
        <v>16536063</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2985451</v>
      </c>
      <c r="D10" s="843">
        <v>185754</v>
      </c>
      <c r="E10" s="843"/>
      <c r="F10" s="1761">
        <f>(C10+D10)-E10</f>
        <v>3171205</v>
      </c>
      <c r="G10" s="840">
        <v>20</v>
      </c>
      <c r="H10" s="844">
        <v>1102722</v>
      </c>
      <c r="I10" s="844">
        <v>152697</v>
      </c>
      <c r="J10" s="844"/>
      <c r="K10" s="1766">
        <f>(H10+I10)-J10</f>
        <v>1255419</v>
      </c>
      <c r="L10" s="1766">
        <f>F10-K10</f>
        <v>1915786</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4478353</v>
      </c>
      <c r="D12" s="841">
        <v>345005</v>
      </c>
      <c r="E12" s="841">
        <v>365118</v>
      </c>
      <c r="F12" s="1757">
        <f>(C12+D12)-E12</f>
        <v>4458240</v>
      </c>
      <c r="G12" s="840">
        <v>10</v>
      </c>
      <c r="H12" s="762">
        <v>2192096</v>
      </c>
      <c r="I12" s="762">
        <v>453103</v>
      </c>
      <c r="J12" s="762">
        <v>365118</v>
      </c>
      <c r="K12" s="1766">
        <f>(H12+I12)-J12</f>
        <v>2280081</v>
      </c>
      <c r="L12" s="1766">
        <f>F12-K12</f>
        <v>2178159</v>
      </c>
    </row>
    <row r="13" spans="1:14" ht="14.25" thickTop="1" thickBot="1" x14ac:dyDescent="0.25">
      <c r="A13" s="845" t="s">
        <v>1122</v>
      </c>
      <c r="B13" s="837">
        <v>252</v>
      </c>
      <c r="C13" s="841">
        <v>1071512</v>
      </c>
      <c r="D13" s="841">
        <v>35790</v>
      </c>
      <c r="E13" s="841"/>
      <c r="F13" s="1757">
        <f>(C13+D13)-E13</f>
        <v>1107302</v>
      </c>
      <c r="G13" s="840">
        <v>5</v>
      </c>
      <c r="H13" s="762">
        <v>987717</v>
      </c>
      <c r="I13" s="762">
        <v>30495</v>
      </c>
      <c r="J13" s="762"/>
      <c r="K13" s="1766">
        <f>(H13+I13)-J13</f>
        <v>1018212</v>
      </c>
      <c r="L13" s="1766">
        <f>F13-K13</f>
        <v>89090</v>
      </c>
    </row>
    <row r="14" spans="1:14" ht="14.25" thickTop="1" thickBot="1" x14ac:dyDescent="0.25">
      <c r="A14" s="845" t="s">
        <v>1123</v>
      </c>
      <c r="B14" s="837">
        <v>253</v>
      </c>
      <c r="C14" s="762">
        <v>10486</v>
      </c>
      <c r="D14" s="762">
        <v>0</v>
      </c>
      <c r="E14" s="762"/>
      <c r="F14" s="1757">
        <f>(C14+D14)-E14</f>
        <v>10486</v>
      </c>
      <c r="G14" s="840">
        <v>3</v>
      </c>
      <c r="H14" s="762">
        <v>4101</v>
      </c>
      <c r="I14" s="762">
        <v>3193</v>
      </c>
      <c r="J14" s="762"/>
      <c r="K14" s="1766">
        <f>(H14+I14)-J14</f>
        <v>7294</v>
      </c>
      <c r="L14" s="1766">
        <f>F14-K14</f>
        <v>3192</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31930654</v>
      </c>
      <c r="D16" s="1757">
        <f>SUM(D3,D5:D6,D8:D10,D12:D15)</f>
        <v>4106591</v>
      </c>
      <c r="E16" s="1757">
        <f>SUM(E3,E5:E6,E8:E10,E12:E15)</f>
        <v>365118</v>
      </c>
      <c r="F16" s="1757">
        <f>SUM(F3,F5:F6,F8:F10,F12:F15)</f>
        <v>35672127</v>
      </c>
      <c r="G16" s="840"/>
      <c r="H16" s="1757">
        <f>SUM(H3,H6,H8:H10,H12:H14,)</f>
        <v>13800852</v>
      </c>
      <c r="I16" s="1757">
        <f>SUM(I3,I6,I8:I10,I12:I14,)</f>
        <v>1088813</v>
      </c>
      <c r="J16" s="1757">
        <f>SUM(J3,J6,J8:J10,J12:J14,)</f>
        <v>365118</v>
      </c>
      <c r="K16" s="1757">
        <f>(H16+I16)-J16</f>
        <v>14524547</v>
      </c>
      <c r="L16" s="1757">
        <f>F16-K16</f>
        <v>21147580</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1088813</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2" sqref="L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96" t="s">
        <v>1972</v>
      </c>
      <c r="B1" s="2397"/>
      <c r="C1" s="2397"/>
      <c r="D1" s="2397"/>
      <c r="E1" s="2397"/>
      <c r="F1" s="2398"/>
      <c r="G1" s="852"/>
    </row>
    <row r="2" spans="1:7" ht="15" customHeight="1" thickBot="1" x14ac:dyDescent="0.25">
      <c r="A2" s="2399" t="s">
        <v>477</v>
      </c>
      <c r="B2" s="2400"/>
      <c r="C2" s="2400"/>
      <c r="D2" s="2400"/>
      <c r="E2" s="2400"/>
      <c r="F2" s="240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402"/>
      <c r="B5" s="2403"/>
      <c r="C5" s="2403"/>
      <c r="D5" s="2403"/>
      <c r="E5" s="2403"/>
      <c r="F5" s="2403"/>
    </row>
    <row r="6" spans="1:7" ht="13.5" customHeight="1" thickBot="1" x14ac:dyDescent="0.25">
      <c r="A6" s="2393" t="s">
        <v>1104</v>
      </c>
      <c r="B6" s="2394"/>
      <c r="C6" s="2394"/>
      <c r="D6" s="2394"/>
      <c r="E6" s="2394"/>
      <c r="F6" s="239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15881612</v>
      </c>
      <c r="G8" s="862"/>
    </row>
    <row r="9" spans="1:7" x14ac:dyDescent="0.2">
      <c r="A9" s="866" t="s">
        <v>460</v>
      </c>
      <c r="B9" s="867" t="s">
        <v>1874</v>
      </c>
      <c r="C9" s="868"/>
      <c r="D9" s="866" t="s">
        <v>501</v>
      </c>
      <c r="E9" s="865"/>
      <c r="F9" s="1906">
        <f>'Expenditures 15-22'!K151</f>
        <v>2146801</v>
      </c>
      <c r="G9" s="869"/>
    </row>
    <row r="10" spans="1:7" x14ac:dyDescent="0.2">
      <c r="A10" s="866" t="s">
        <v>499</v>
      </c>
      <c r="B10" s="867" t="s">
        <v>1875</v>
      </c>
      <c r="C10" s="868"/>
      <c r="D10" s="866" t="s">
        <v>501</v>
      </c>
      <c r="E10" s="865"/>
      <c r="F10" s="1906">
        <f>'Expenditures 15-22'!K174</f>
        <v>692585</v>
      </c>
      <c r="G10" s="869"/>
    </row>
    <row r="11" spans="1:7" x14ac:dyDescent="0.2">
      <c r="A11" s="866" t="s">
        <v>461</v>
      </c>
      <c r="B11" s="867" t="s">
        <v>1876</v>
      </c>
      <c r="C11" s="868"/>
      <c r="D11" s="866" t="s">
        <v>501</v>
      </c>
      <c r="E11" s="865"/>
      <c r="F11" s="1906">
        <f>'Expenditures 15-22'!K210</f>
        <v>738561</v>
      </c>
      <c r="G11" s="869"/>
    </row>
    <row r="12" spans="1:7" x14ac:dyDescent="0.2">
      <c r="A12" s="866" t="s">
        <v>462</v>
      </c>
      <c r="B12" s="867" t="s">
        <v>1877</v>
      </c>
      <c r="C12" s="868"/>
      <c r="D12" s="866" t="s">
        <v>501</v>
      </c>
      <c r="E12" s="865"/>
      <c r="F12" s="1906">
        <f>'Expenditures 15-22'!K295</f>
        <v>746863</v>
      </c>
      <c r="G12" s="869"/>
    </row>
    <row r="13" spans="1:7" x14ac:dyDescent="0.2">
      <c r="A13" s="866" t="s">
        <v>106</v>
      </c>
      <c r="B13" s="867" t="s">
        <v>1878</v>
      </c>
      <c r="C13" s="868"/>
      <c r="D13" s="866" t="s">
        <v>501</v>
      </c>
      <c r="E13" s="865"/>
      <c r="F13" s="1906">
        <f>'Expenditures 15-22'!K342</f>
        <v>610154</v>
      </c>
      <c r="G13" s="870"/>
    </row>
    <row r="14" spans="1:7" ht="12" customHeight="1" thickBot="1" x14ac:dyDescent="0.25">
      <c r="A14" s="1767"/>
      <c r="B14" s="1768"/>
      <c r="C14" s="1769"/>
      <c r="D14" s="1770" t="s">
        <v>501</v>
      </c>
      <c r="E14" s="1771" t="s">
        <v>958</v>
      </c>
      <c r="F14" s="1772">
        <f>SUM(F8:F13)</f>
        <v>20816576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911">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1999</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344680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9177</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382162</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148483</v>
      </c>
      <c r="G52" s="862"/>
    </row>
    <row r="53" spans="1:7" x14ac:dyDescent="0.2">
      <c r="A53" s="866" t="s">
        <v>459</v>
      </c>
      <c r="B53" s="866" t="s">
        <v>1475</v>
      </c>
      <c r="C53" s="886">
        <f>'Expenditures 15-22'!B102</f>
        <v>4000</v>
      </c>
      <c r="D53" s="885" t="str">
        <f>'Expenditures 15-22'!A102</f>
        <v>Total Payments to Other Govt Units</v>
      </c>
      <c r="E53" s="865"/>
      <c r="F53" s="1910">
        <f>'Expenditures 15-22'!K102</f>
        <v>1546180</v>
      </c>
      <c r="G53" s="862"/>
    </row>
    <row r="54" spans="1:7" x14ac:dyDescent="0.2">
      <c r="A54" s="866" t="s">
        <v>459</v>
      </c>
      <c r="B54" s="866" t="s">
        <v>1476</v>
      </c>
      <c r="C54" s="886" t="s">
        <v>982</v>
      </c>
      <c r="D54" s="882" t="s">
        <v>1095</v>
      </c>
      <c r="E54" s="865"/>
      <c r="F54" s="1910">
        <f>'Expenditures 15-22'!G114</f>
        <v>243215</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910">
        <f>'Expenditures 15-22'!K139</f>
        <v>0</v>
      </c>
      <c r="G57" s="862"/>
    </row>
    <row r="58" spans="1:7" x14ac:dyDescent="0.2">
      <c r="A58" s="866" t="s">
        <v>460</v>
      </c>
      <c r="B58" s="866" t="s">
        <v>1880</v>
      </c>
      <c r="C58" s="883" t="s">
        <v>982</v>
      </c>
      <c r="D58" s="882" t="s">
        <v>1095</v>
      </c>
      <c r="E58" s="865"/>
      <c r="F58" s="1912">
        <f>'Expenditures 15-22'!G151</f>
        <v>678725</v>
      </c>
      <c r="G58" s="862"/>
    </row>
    <row r="59" spans="1:7" x14ac:dyDescent="0.2">
      <c r="A59" s="890" t="s">
        <v>460</v>
      </c>
      <c r="B59" s="853" t="s">
        <v>1881</v>
      </c>
      <c r="C59" s="891" t="s">
        <v>982</v>
      </c>
      <c r="D59" s="853" t="s">
        <v>291</v>
      </c>
      <c r="F59" s="1913">
        <f>'Expenditures 15-22'!I151</f>
        <v>0</v>
      </c>
      <c r="G59" s="862"/>
    </row>
    <row r="60" spans="1:7" x14ac:dyDescent="0.2">
      <c r="A60" s="890" t="s">
        <v>499</v>
      </c>
      <c r="B60" s="853" t="s">
        <v>1882</v>
      </c>
      <c r="C60" s="891">
        <v>4000</v>
      </c>
      <c r="D60" s="853" t="s">
        <v>312</v>
      </c>
      <c r="F60" s="1911">
        <f>'Expenditures 15-22'!K160</f>
        <v>0</v>
      </c>
      <c r="G60" s="862"/>
    </row>
    <row r="61" spans="1:7" x14ac:dyDescent="0.2">
      <c r="A61" s="892" t="s">
        <v>499</v>
      </c>
      <c r="B61" s="892" t="s">
        <v>1883</v>
      </c>
      <c r="C61" s="893" t="str">
        <f>'Expenditures 15-22'!B170</f>
        <v>5300</v>
      </c>
      <c r="D61" s="894" t="s">
        <v>311</v>
      </c>
      <c r="E61" s="876"/>
      <c r="F61" s="1910">
        <f>'Expenditures 15-22'!K170</f>
        <v>493000</v>
      </c>
      <c r="G61" s="862"/>
    </row>
    <row r="62" spans="1:7" x14ac:dyDescent="0.2">
      <c r="A62" s="866" t="s">
        <v>461</v>
      </c>
      <c r="B62" s="866" t="s">
        <v>1884</v>
      </c>
      <c r="C62" s="883">
        <f>'Expenditures 15-22'!B185</f>
        <v>3000</v>
      </c>
      <c r="D62" s="873" t="s">
        <v>449</v>
      </c>
      <c r="E62" s="865"/>
      <c r="F62" s="1910">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910">
        <f>'Expenditures 15-22'!K196</f>
        <v>3744</v>
      </c>
      <c r="G63" s="862"/>
    </row>
    <row r="64" spans="1:7" x14ac:dyDescent="0.2">
      <c r="A64" s="892" t="s">
        <v>461</v>
      </c>
      <c r="B64" s="892" t="s">
        <v>1886</v>
      </c>
      <c r="C64" s="893" t="str">
        <f>'Expenditures 15-22'!B206</f>
        <v>5300</v>
      </c>
      <c r="D64" s="889" t="s">
        <v>311</v>
      </c>
      <c r="E64" s="865"/>
      <c r="F64" s="1910">
        <f>'Expenditures 15-22'!K206</f>
        <v>0</v>
      </c>
      <c r="G64" s="862"/>
    </row>
    <row r="65" spans="1:8" x14ac:dyDescent="0.2">
      <c r="A65" s="866" t="s">
        <v>461</v>
      </c>
      <c r="B65" s="866" t="s">
        <v>1887</v>
      </c>
      <c r="C65" s="883" t="s">
        <v>982</v>
      </c>
      <c r="D65" s="882" t="s">
        <v>1095</v>
      </c>
      <c r="E65" s="865"/>
      <c r="F65" s="1910">
        <f>'Expenditures 15-22'!G210</f>
        <v>45655</v>
      </c>
      <c r="G65" s="862"/>
    </row>
    <row r="66" spans="1:8" x14ac:dyDescent="0.2">
      <c r="A66" s="866" t="s">
        <v>461</v>
      </c>
      <c r="B66" s="866" t="s">
        <v>1888</v>
      </c>
      <c r="C66" s="883" t="s">
        <v>982</v>
      </c>
      <c r="D66" s="882" t="s">
        <v>291</v>
      </c>
      <c r="E66" s="865"/>
      <c r="F66" s="1910">
        <f>'Expenditures 15-22'!I210</f>
        <v>0</v>
      </c>
      <c r="G66" s="862"/>
    </row>
    <row r="67" spans="1:8" x14ac:dyDescent="0.2">
      <c r="A67" s="866" t="s">
        <v>462</v>
      </c>
      <c r="B67" s="866" t="s">
        <v>1889</v>
      </c>
      <c r="C67" s="883" t="str">
        <f>'Expenditures 15-22'!B216</f>
        <v>1125</v>
      </c>
      <c r="D67" s="889" t="str">
        <f>'Expenditures 15-22'!A216</f>
        <v>Pre-K Programs</v>
      </c>
      <c r="E67" s="865"/>
      <c r="F67" s="1910">
        <f>'Expenditures 15-22'!K216</f>
        <v>17367</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1890</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1891</v>
      </c>
      <c r="C70" s="883">
        <f>'Expenditures 15-22'!B221</f>
        <v>1300</v>
      </c>
      <c r="D70" s="884" t="str">
        <f>'Expenditures 15-22'!A221</f>
        <v>Adult/Continuing Education Programs</v>
      </c>
      <c r="E70" s="865"/>
      <c r="F70" s="1910">
        <f>'Expenditures 15-22'!K221</f>
        <v>0</v>
      </c>
      <c r="G70" s="862"/>
    </row>
    <row r="71" spans="1:8" x14ac:dyDescent="0.2">
      <c r="A71" s="866" t="s">
        <v>462</v>
      </c>
      <c r="B71" s="866" t="s">
        <v>1892</v>
      </c>
      <c r="C71" s="883">
        <f>'Expenditures 15-22'!B224</f>
        <v>1600</v>
      </c>
      <c r="D71" s="884" t="str">
        <f>'Expenditures 15-22'!A224</f>
        <v>Summer School Programs</v>
      </c>
      <c r="E71" s="865"/>
      <c r="F71" s="1910">
        <f>'Expenditures 15-22'!K224</f>
        <v>131</v>
      </c>
      <c r="G71" s="862"/>
    </row>
    <row r="72" spans="1:8" x14ac:dyDescent="0.2">
      <c r="A72" s="866" t="s">
        <v>462</v>
      </c>
      <c r="B72" s="866" t="s">
        <v>1893</v>
      </c>
      <c r="C72" s="883">
        <f>'Expenditures 15-22'!B280</f>
        <v>3000</v>
      </c>
      <c r="D72" s="873" t="s">
        <v>449</v>
      </c>
      <c r="E72" s="865"/>
      <c r="F72" s="1910">
        <f>'Expenditures 15-22'!K280</f>
        <v>6892</v>
      </c>
      <c r="G72" s="862"/>
    </row>
    <row r="73" spans="1:8" x14ac:dyDescent="0.2">
      <c r="A73" s="866" t="s">
        <v>462</v>
      </c>
      <c r="B73" s="866" t="s">
        <v>1894</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1895</v>
      </c>
      <c r="C74" s="883" t="s">
        <v>860</v>
      </c>
      <c r="D74" s="884" t="s">
        <v>1487</v>
      </c>
      <c r="E74" s="865"/>
      <c r="F74" s="1914">
        <f>'Expenditures 15-22'!K334</f>
        <v>19820</v>
      </c>
      <c r="G74" s="862"/>
    </row>
    <row r="75" spans="1:8" ht="5.25" customHeight="1" x14ac:dyDescent="0.2">
      <c r="A75" s="862"/>
      <c r="B75" s="872"/>
      <c r="C75" s="872"/>
      <c r="D75" s="862"/>
      <c r="E75" s="865"/>
      <c r="F75" s="879"/>
      <c r="G75" s="864"/>
    </row>
    <row r="76" spans="1:8" ht="12" thickBot="1" x14ac:dyDescent="0.25">
      <c r="A76" s="1767"/>
      <c r="B76" s="1773"/>
      <c r="C76" s="1769"/>
      <c r="D76" s="1774" t="s">
        <v>1896</v>
      </c>
      <c r="E76" s="1771" t="s">
        <v>958</v>
      </c>
      <c r="F76" s="1775">
        <f>SUM(F18:F74)</f>
        <v>3939231</v>
      </c>
      <c r="G76" s="862"/>
    </row>
    <row r="77" spans="1:8" s="890" customFormat="1" ht="12" customHeight="1" thickTop="1" thickBot="1" x14ac:dyDescent="0.25">
      <c r="A77" s="1776"/>
      <c r="B77" s="1773"/>
      <c r="C77" s="1769"/>
      <c r="D77" s="1774" t="s">
        <v>1897</v>
      </c>
      <c r="E77" s="1771"/>
      <c r="F77" s="1777">
        <f>(F14-F76)</f>
        <v>16877345</v>
      </c>
      <c r="G77" s="866"/>
    </row>
    <row r="78" spans="1:8" s="890" customFormat="1" ht="12" customHeight="1" thickTop="1" x14ac:dyDescent="0.2">
      <c r="A78" s="1778"/>
      <c r="B78" s="1773"/>
      <c r="C78" s="1769"/>
      <c r="D78" s="1774" t="s">
        <v>2059</v>
      </c>
      <c r="E78" s="1771"/>
      <c r="F78" s="895">
        <v>1713.4</v>
      </c>
      <c r="G78" s="896"/>
      <c r="H78" s="866"/>
    </row>
    <row r="79" spans="1:8" s="890" customFormat="1" ht="12" customHeight="1" thickBot="1" x14ac:dyDescent="0.25">
      <c r="A79" s="1779"/>
      <c r="B79" s="1773"/>
      <c r="C79" s="1769"/>
      <c r="D79" s="1774" t="s">
        <v>1898</v>
      </c>
      <c r="E79" s="1771" t="s">
        <v>958</v>
      </c>
      <c r="F79" s="1780">
        <f>IF(F78&gt;0,F77/F78," Complete Line 78")</f>
        <v>9850.2071903816959</v>
      </c>
      <c r="G79" s="866"/>
    </row>
    <row r="80" spans="1:8" s="890" customFormat="1" ht="8.25" customHeight="1" thickTop="1" x14ac:dyDescent="0.2">
      <c r="A80" s="897"/>
      <c r="B80" s="866"/>
      <c r="C80" s="868"/>
      <c r="D80" s="898"/>
      <c r="E80" s="865"/>
      <c r="F80" s="899"/>
      <c r="G80" s="866"/>
    </row>
    <row r="81" spans="1:7" s="890" customFormat="1" ht="12" thickBot="1" x14ac:dyDescent="0.25">
      <c r="A81" s="2393" t="s">
        <v>1105</v>
      </c>
      <c r="B81" s="2394"/>
      <c r="C81" s="2394"/>
      <c r="D81" s="2394"/>
      <c r="E81" s="2394"/>
      <c r="F81" s="239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6049</v>
      </c>
      <c r="G84" s="909"/>
    </row>
    <row r="85" spans="1:7" x14ac:dyDescent="0.2">
      <c r="A85" s="905" t="s">
        <v>461</v>
      </c>
      <c r="B85" s="905" t="s">
        <v>183</v>
      </c>
      <c r="C85" s="910">
        <f>'Revenues 9-14'!B44</f>
        <v>1413</v>
      </c>
      <c r="D85" s="908" t="str">
        <f>'Revenues 9-14'!A44</f>
        <v>Regular - Transp Fees from Other Sources (In State)</v>
      </c>
      <c r="E85" s="903"/>
      <c r="F85" s="1786">
        <f>'Revenues 9-14'!F44</f>
        <v>2606</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6</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198653</v>
      </c>
      <c r="G94" s="909"/>
    </row>
    <row r="95" spans="1:7" x14ac:dyDescent="0.2">
      <c r="A95" s="905" t="s">
        <v>140</v>
      </c>
      <c r="B95" s="905" t="s">
        <v>175</v>
      </c>
      <c r="C95" s="907">
        <v>1700</v>
      </c>
      <c r="D95" s="915" t="str">
        <f>'Revenues 9-14'!A82</f>
        <v>Total District/School Activity Income</v>
      </c>
      <c r="E95" s="903"/>
      <c r="F95" s="1786">
        <f>SUM('Revenues 9-14'!C82,'Revenues 9-14'!D82)</f>
        <v>45853</v>
      </c>
      <c r="G95" s="909"/>
    </row>
    <row r="96" spans="1:7" x14ac:dyDescent="0.2">
      <c r="A96" s="905" t="s">
        <v>459</v>
      </c>
      <c r="B96" s="905" t="s">
        <v>176</v>
      </c>
      <c r="C96" s="907">
        <f>'Revenues 9-14'!B84</f>
        <v>1811</v>
      </c>
      <c r="D96" s="908" t="str">
        <f>'Revenues 9-14'!A84</f>
        <v>Rentals - Regular Textbooks</v>
      </c>
      <c r="E96" s="903"/>
      <c r="F96" s="1786">
        <f>'Revenues 9-14'!C84</f>
        <v>13999</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12334</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306977</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2000</v>
      </c>
      <c r="C105" s="910">
        <v>3100</v>
      </c>
      <c r="D105" s="916" t="str">
        <f>'Revenues 9-14'!A132</f>
        <v>Total Special Education</v>
      </c>
      <c r="E105" s="903"/>
      <c r="F105" s="1786">
        <f>SUM('Revenues 9-14'!C132:D132,'Revenues 9-14'!F132)</f>
        <v>165003</v>
      </c>
      <c r="G105" s="909"/>
    </row>
    <row r="106" spans="1:7" x14ac:dyDescent="0.2">
      <c r="A106" s="905" t="s">
        <v>673</v>
      </c>
      <c r="B106" s="905" t="s">
        <v>2001</v>
      </c>
      <c r="C106" s="917">
        <v>3200</v>
      </c>
      <c r="D106" s="908" t="str">
        <f>'Revenues 9-14'!A141</f>
        <v>Total Career and Technical Education</v>
      </c>
      <c r="E106" s="903"/>
      <c r="F106" s="1786">
        <f>SUM('Revenues 9-14'!C141,'Revenues 9-14'!D141,'Revenues 9-14'!G141)</f>
        <v>52600</v>
      </c>
      <c r="G106" s="909"/>
    </row>
    <row r="107" spans="1:7" x14ac:dyDescent="0.2">
      <c r="A107" s="918" t="s">
        <v>664</v>
      </c>
      <c r="B107" s="905" t="s">
        <v>2002</v>
      </c>
      <c r="C107" s="917">
        <v>3300</v>
      </c>
      <c r="D107" s="908" t="str">
        <f>'Revenues 9-14'!A145</f>
        <v>Total Bilingual Ed</v>
      </c>
      <c r="E107" s="903"/>
      <c r="F107" s="1786">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86">
        <f>'Revenues 9-14'!C146</f>
        <v>16917</v>
      </c>
      <c r="G108" s="909"/>
    </row>
    <row r="109" spans="1:7" x14ac:dyDescent="0.2">
      <c r="A109" s="905" t="s">
        <v>673</v>
      </c>
      <c r="B109" s="905" t="s">
        <v>2004</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86">
        <f>SUM('Revenues 9-14'!C148,'Revenues 9-14'!D148)</f>
        <v>24139</v>
      </c>
      <c r="G110" s="909"/>
    </row>
    <row r="111" spans="1:7" x14ac:dyDescent="0.2">
      <c r="A111" s="905" t="s">
        <v>668</v>
      </c>
      <c r="B111" s="905" t="s">
        <v>2006</v>
      </c>
      <c r="C111" s="919">
        <v>3500</v>
      </c>
      <c r="D111" s="908" t="str">
        <f>'Revenues 9-14'!A155</f>
        <v>Total Transportation</v>
      </c>
      <c r="E111" s="903"/>
      <c r="F111" s="1786">
        <f>SUM('Revenues 9-14'!C155,'Revenues 9-14'!D155,'Revenues 9-14'!F155,'Revenues 9-14'!G155)</f>
        <v>576364</v>
      </c>
      <c r="G111" s="909"/>
    </row>
    <row r="112" spans="1:7" x14ac:dyDescent="0.2">
      <c r="A112" s="905" t="s">
        <v>459</v>
      </c>
      <c r="B112" s="905" t="s">
        <v>2007</v>
      </c>
      <c r="C112" s="917">
        <f>'Revenues 9-14'!B156</f>
        <v>3610</v>
      </c>
      <c r="D112" s="908" t="str">
        <f>'Revenues 9-14'!A156</f>
        <v>Learning Improvement - Change Grants</v>
      </c>
      <c r="E112" s="903"/>
      <c r="F112" s="1786">
        <f>'Revenues 9-14'!C156</f>
        <v>0</v>
      </c>
      <c r="G112" s="909"/>
    </row>
    <row r="113" spans="1:7" x14ac:dyDescent="0.2">
      <c r="A113" s="905" t="s">
        <v>668</v>
      </c>
      <c r="B113" s="905" t="s">
        <v>2008</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2010</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904">
        <f>SUM('Revenues 9-14'!C163:G163)</f>
        <v>0</v>
      </c>
      <c r="G118" s="909"/>
    </row>
    <row r="119" spans="1:7" x14ac:dyDescent="0.2">
      <c r="A119" s="920" t="s">
        <v>504</v>
      </c>
      <c r="B119" s="920" t="s">
        <v>2014</v>
      </c>
      <c r="C119" s="921">
        <f>'Revenues 9-14'!B164</f>
        <v>3815</v>
      </c>
      <c r="D119" s="922" t="str">
        <f>'Revenues 9-14'!A164</f>
        <v>State Charter Schools</v>
      </c>
      <c r="E119" s="903"/>
      <c r="F119" s="1904">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86">
        <f>'Revenues 9-14'!D167</f>
        <v>0</v>
      </c>
      <c r="G120" s="927"/>
    </row>
    <row r="121" spans="1:7" x14ac:dyDescent="0.2">
      <c r="A121" s="924" t="s">
        <v>500</v>
      </c>
      <c r="B121" s="924" t="s">
        <v>2016</v>
      </c>
      <c r="C121" s="925">
        <f>'Revenues 9-14'!B168</f>
        <v>3999</v>
      </c>
      <c r="D121" s="926" t="s">
        <v>543</v>
      </c>
      <c r="E121" s="928"/>
      <c r="F121" s="1786">
        <f>SUM('Revenues 9-14'!C168:G168,'Revenues 9-14'!J168)</f>
        <v>70082</v>
      </c>
      <c r="G121" s="927"/>
    </row>
    <row r="122" spans="1:7" x14ac:dyDescent="0.2">
      <c r="A122" s="924" t="s">
        <v>459</v>
      </c>
      <c r="B122" s="924" t="s">
        <v>2017</v>
      </c>
      <c r="C122" s="929">
        <f>'Revenues 9-14'!B177</f>
        <v>4045</v>
      </c>
      <c r="D122" s="926" t="str">
        <f>'Revenues 9-14'!A177 &amp; " (Subtract)"</f>
        <v>Head Start (Subtract)</v>
      </c>
      <c r="E122" s="903"/>
      <c r="F122" s="1786">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2019</v>
      </c>
      <c r="C124" s="929">
        <v>4100</v>
      </c>
      <c r="D124" s="930" t="str">
        <f>'Revenues 9-14'!A188</f>
        <v>Total Title V</v>
      </c>
      <c r="E124" s="903"/>
      <c r="F124" s="1786">
        <f>SUM('Revenues 9-14'!C188,'Revenues 9-14'!D188,'Revenues 9-14'!F188,'Revenues 9-14'!G188)</f>
        <v>7146</v>
      </c>
      <c r="G124" s="927"/>
    </row>
    <row r="125" spans="1:7" x14ac:dyDescent="0.2">
      <c r="A125" s="924" t="s">
        <v>664</v>
      </c>
      <c r="B125" s="924" t="s">
        <v>2020</v>
      </c>
      <c r="C125" s="929">
        <v>4200</v>
      </c>
      <c r="D125" s="926" t="str">
        <f>'Revenues 9-14'!A198</f>
        <v>Total Food Service</v>
      </c>
      <c r="E125" s="903"/>
      <c r="F125" s="1786">
        <f>SUM('Revenues 9-14'!C198,'Revenues 9-14'!G198)</f>
        <v>989843</v>
      </c>
      <c r="G125" s="927"/>
    </row>
    <row r="126" spans="1:7" x14ac:dyDescent="0.2">
      <c r="A126" s="924" t="s">
        <v>668</v>
      </c>
      <c r="B126" s="924" t="s">
        <v>2021</v>
      </c>
      <c r="C126" s="929">
        <v>4300</v>
      </c>
      <c r="D126" s="930" t="str">
        <f>'Revenues 9-14'!A204</f>
        <v>Total Title I</v>
      </c>
      <c r="E126" s="903"/>
      <c r="F126" s="1786">
        <f>SUM('Revenues 9-14'!C204,'Revenues 9-14'!D204,'Revenues 9-14'!F204,'Revenues 9-14'!G204)</f>
        <v>622728</v>
      </c>
      <c r="G126" s="927"/>
    </row>
    <row r="127" spans="1:7" x14ac:dyDescent="0.2">
      <c r="A127" s="924" t="s">
        <v>668</v>
      </c>
      <c r="B127" s="924" t="s">
        <v>2022</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2023</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2024</v>
      </c>
      <c r="C129" s="929">
        <f>'Revenues 9-14'!B214</f>
        <v>4625</v>
      </c>
      <c r="D129" s="930" t="str">
        <f>'Revenues 9-14'!A214</f>
        <v>Fed - Spec Education - IDEA - Room &amp; Board</v>
      </c>
      <c r="E129" s="903"/>
      <c r="F129" s="1786">
        <f>SUM('Revenues 9-14'!C214,'Revenues 9-14'!D214,'Revenues 9-14'!F214,'Revenues 9-14'!G214)</f>
        <v>666956</v>
      </c>
      <c r="G129" s="927"/>
    </row>
    <row r="130" spans="1:7" x14ac:dyDescent="0.2">
      <c r="A130" s="924" t="s">
        <v>668</v>
      </c>
      <c r="B130" s="924" t="s">
        <v>2025</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2026</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86">
        <v>0</v>
      </c>
      <c r="G138" s="902"/>
    </row>
    <row r="139" spans="1:7" s="864" customFormat="1" hidden="1" x14ac:dyDescent="0.2">
      <c r="A139" s="931" t="s">
        <v>206</v>
      </c>
      <c r="B139" s="931" t="s">
        <v>2033</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2041</v>
      </c>
      <c r="C157" s="937" t="s">
        <v>841</v>
      </c>
      <c r="D157" s="938" t="s">
        <v>777</v>
      </c>
      <c r="E157" s="939"/>
      <c r="F157" s="1786">
        <f>SUM(F133:F156)</f>
        <v>0</v>
      </c>
      <c r="G157" s="902"/>
    </row>
    <row r="158" spans="1:7" s="864" customFormat="1" x14ac:dyDescent="0.2">
      <c r="A158" s="935" t="s">
        <v>459</v>
      </c>
      <c r="B158" s="936" t="s">
        <v>2042</v>
      </c>
      <c r="C158" s="937" t="s">
        <v>1427</v>
      </c>
      <c r="D158" s="938" t="s">
        <v>1428</v>
      </c>
      <c r="E158" s="939"/>
      <c r="F158" s="1786">
        <f>SUM('Revenues 9-14'!C253)</f>
        <v>0</v>
      </c>
      <c r="G158" s="902"/>
    </row>
    <row r="159" spans="1:7" s="864" customFormat="1" x14ac:dyDescent="0.2">
      <c r="A159" s="935" t="s">
        <v>500</v>
      </c>
      <c r="B159" s="936" t="s">
        <v>2043</v>
      </c>
      <c r="C159" s="937" t="s">
        <v>1466</v>
      </c>
      <c r="D159" s="938" t="s">
        <v>1467</v>
      </c>
      <c r="E159" s="939"/>
      <c r="F159" s="1786">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86">
        <f>SUM('Revenues 9-14'!C256,'Revenues 9-14'!F256,'Revenues 9-14'!G256)</f>
        <v>13800</v>
      </c>
      <c r="G161" s="940"/>
    </row>
    <row r="162" spans="1:7" x14ac:dyDescent="0.2">
      <c r="A162" s="924" t="s">
        <v>668</v>
      </c>
      <c r="B162" s="924" t="s">
        <v>2046</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904">
        <f>SUM('Revenues 9-14'!C259,'Revenues 9-14'!D259,'Revenues 9-14'!F259,'Revenues 9-14'!G259)</f>
        <v>86916</v>
      </c>
      <c r="G164" s="927"/>
    </row>
    <row r="165" spans="1:7" x14ac:dyDescent="0.2">
      <c r="A165" s="924" t="s">
        <v>668</v>
      </c>
      <c r="B165" s="924" t="s">
        <v>2049</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86">
        <f>SUM('Revenues 9-14'!C263:D263,'Revenues 9-14'!F263:G263)</f>
        <v>23120</v>
      </c>
      <c r="G168" s="944">
        <v>6320</v>
      </c>
    </row>
    <row r="169" spans="1:7" x14ac:dyDescent="0.2">
      <c r="A169" s="924" t="s">
        <v>668</v>
      </c>
      <c r="B169" s="924" t="s">
        <v>2051</v>
      </c>
      <c r="C169" s="929">
        <f>'Revenues 9-14'!B264</f>
        <v>4992</v>
      </c>
      <c r="D169" s="930" t="str">
        <f>'Revenues 9-14'!A264</f>
        <v>Medicaid Matching Funds - Fee-for-Service Program</v>
      </c>
      <c r="E169" s="903"/>
      <c r="F169" s="1786">
        <f>SUM('Revenues 9-14'!C264:D264,'Revenues 9-14'!F264:G264)</f>
        <v>7077</v>
      </c>
      <c r="G169" s="944"/>
    </row>
    <row r="170" spans="1:7" x14ac:dyDescent="0.2">
      <c r="A170" s="945" t="s">
        <v>668</v>
      </c>
      <c r="B170" s="941" t="s">
        <v>2052</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1917</v>
      </c>
      <c r="C171" s="1917">
        <v>3100</v>
      </c>
      <c r="D171" s="1918" t="s">
        <v>1919</v>
      </c>
      <c r="E171" s="903"/>
      <c r="F171" s="1903">
        <v>482319.97</v>
      </c>
      <c r="G171" s="924"/>
    </row>
    <row r="172" spans="1:7" x14ac:dyDescent="0.2">
      <c r="A172" s="1915" t="s">
        <v>664</v>
      </c>
      <c r="B172" s="1916" t="s">
        <v>1917</v>
      </c>
      <c r="C172" s="1917">
        <v>3300</v>
      </c>
      <c r="D172" s="1918" t="s">
        <v>1920</v>
      </c>
      <c r="E172" s="903"/>
      <c r="F172" s="1903">
        <v>103723.28</v>
      </c>
      <c r="G172" s="924"/>
    </row>
    <row r="173" spans="1:7" ht="6" customHeight="1" x14ac:dyDescent="0.2">
      <c r="A173" s="924"/>
      <c r="B173" s="924"/>
      <c r="C173" s="946"/>
      <c r="D173" s="924"/>
      <c r="E173" s="903"/>
      <c r="F173" s="947"/>
      <c r="G173" s="944"/>
    </row>
    <row r="174" spans="1:7" x14ac:dyDescent="0.2">
      <c r="A174" s="1767"/>
      <c r="B174" s="1781"/>
      <c r="C174" s="1782"/>
      <c r="D174" s="1783" t="s">
        <v>2053</v>
      </c>
      <c r="E174" s="1784" t="s">
        <v>958</v>
      </c>
      <c r="F174" s="1785">
        <f>SUM(F84:F132,F157:F172)</f>
        <v>4495211.25</v>
      </c>
    </row>
    <row r="175" spans="1:7" ht="12" customHeight="1" x14ac:dyDescent="0.2">
      <c r="A175" s="1767"/>
      <c r="B175" s="1781"/>
      <c r="C175" s="1782"/>
      <c r="D175" s="1783" t="s">
        <v>2054</v>
      </c>
      <c r="E175" s="1784"/>
      <c r="F175" s="1786">
        <f>'PCTC-OEPP 27-28'!F77-F174</f>
        <v>12382133.75</v>
      </c>
    </row>
    <row r="176" spans="1:7" ht="12" customHeight="1" x14ac:dyDescent="0.2">
      <c r="A176" s="1767"/>
      <c r="B176" s="1781"/>
      <c r="C176" s="1782"/>
      <c r="D176" s="1783" t="s">
        <v>1814</v>
      </c>
      <c r="E176" s="1784"/>
      <c r="F176" s="1786">
        <f>'Cap Outlay Deprec 26'!I18</f>
        <v>1088813</v>
      </c>
    </row>
    <row r="177" spans="1:7" ht="12" customHeight="1" x14ac:dyDescent="0.2">
      <c r="A177" s="1767"/>
      <c r="B177" s="1781"/>
      <c r="C177" s="1782"/>
      <c r="D177" s="1783" t="s">
        <v>2055</v>
      </c>
      <c r="E177" s="1784"/>
      <c r="F177" s="1786">
        <f>F175+F176</f>
        <v>13470946.75</v>
      </c>
    </row>
    <row r="178" spans="1:7" ht="12" customHeight="1" x14ac:dyDescent="0.2">
      <c r="A178" s="1767"/>
      <c r="B178" s="1787"/>
      <c r="C178" s="1782"/>
      <c r="D178" s="1783" t="str">
        <f>D78</f>
        <v>9 Month ADA from District Average Daily Attendance/Prior General State Aid Inquiry 2018-2019</v>
      </c>
      <c r="E178" s="1784"/>
      <c r="F178" s="1788">
        <f>'PCTC-OEPP 27-28'!F78</f>
        <v>1713.4</v>
      </c>
      <c r="G178" s="927"/>
    </row>
    <row r="179" spans="1:7" ht="12" customHeight="1" thickBot="1" x14ac:dyDescent="0.25">
      <c r="A179" s="1767"/>
      <c r="B179" s="1787"/>
      <c r="C179" s="1782"/>
      <c r="D179" s="1783" t="s">
        <v>2056</v>
      </c>
      <c r="E179" s="1784" t="s">
        <v>1545</v>
      </c>
      <c r="F179" s="1789">
        <f>F177/F178</f>
        <v>7862.1143632543481</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6"/>
      <c r="D184" s="927"/>
      <c r="E184" s="946"/>
      <c r="F184" s="927"/>
      <c r="G184" s="927"/>
    </row>
    <row r="185" spans="1:7" x14ac:dyDescent="0.2">
      <c r="A185" s="1923" t="s">
        <v>1922</v>
      </c>
      <c r="B185" s="1924"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28" sqref="B28"/>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407" t="s">
        <v>1815</v>
      </c>
      <c r="B4" s="2408"/>
      <c r="C4" s="2408"/>
      <c r="D4" s="2408"/>
      <c r="E4" s="2408"/>
      <c r="F4" s="2408"/>
      <c r="G4" s="2409"/>
    </row>
    <row r="5" spans="1:7" x14ac:dyDescent="0.25">
      <c r="A5" s="2410"/>
      <c r="B5" s="2411"/>
      <c r="C5" s="2411"/>
      <c r="D5" s="2411"/>
      <c r="E5" s="2411"/>
      <c r="F5" s="2411"/>
      <c r="G5" s="2412"/>
    </row>
    <row r="6" spans="1:7" ht="18.75" x14ac:dyDescent="0.25">
      <c r="A6" s="1531" t="s">
        <v>1816</v>
      </c>
      <c r="B6" s="1532"/>
      <c r="C6" s="1532"/>
      <c r="D6" s="1532"/>
      <c r="E6" s="1532"/>
      <c r="F6" s="1532"/>
      <c r="G6" s="1533"/>
    </row>
    <row r="7" spans="1:7" ht="30.75" customHeight="1" x14ac:dyDescent="0.25">
      <c r="A7" s="2413" t="s">
        <v>1929</v>
      </c>
      <c r="B7" s="2414"/>
      <c r="C7" s="2414"/>
      <c r="D7" s="2414"/>
      <c r="E7" s="2414"/>
      <c r="F7" s="2414"/>
      <c r="G7" s="2415"/>
    </row>
    <row r="8" spans="1:7" ht="15.75" customHeight="1" x14ac:dyDescent="0.25">
      <c r="A8" s="2416" t="s">
        <v>1904</v>
      </c>
      <c r="B8" s="2417"/>
      <c r="C8" s="2417"/>
      <c r="D8" s="2417"/>
      <c r="E8" s="2417"/>
      <c r="F8" s="2417"/>
      <c r="G8" s="2418"/>
    </row>
    <row r="9" spans="1:7" ht="35.25" customHeight="1" x14ac:dyDescent="0.25">
      <c r="A9" s="2413" t="s">
        <v>1932</v>
      </c>
      <c r="B9" s="2414"/>
      <c r="C9" s="2414"/>
      <c r="D9" s="2414"/>
      <c r="E9" s="2414"/>
      <c r="F9" s="2414"/>
      <c r="G9" s="2415"/>
    </row>
    <row r="10" spans="1:7" ht="15" customHeight="1" x14ac:dyDescent="0.25">
      <c r="A10" s="1534" t="s">
        <v>1817</v>
      </c>
      <c r="B10" s="1535"/>
      <c r="C10" s="1535"/>
      <c r="D10" s="1535"/>
      <c r="E10" s="1535"/>
      <c r="F10" s="1535"/>
      <c r="G10" s="1536"/>
    </row>
    <row r="11" spans="1:7" ht="17.25" customHeight="1" x14ac:dyDescent="0.25">
      <c r="A11" s="2413" t="s">
        <v>1931</v>
      </c>
      <c r="B11" s="2414"/>
      <c r="C11" s="2414"/>
      <c r="D11" s="2414"/>
      <c r="E11" s="2414"/>
      <c r="F11" s="2414"/>
      <c r="G11" s="2415"/>
    </row>
    <row r="12" spans="1:7" ht="15" customHeight="1" x14ac:dyDescent="0.25">
      <c r="A12" s="1534" t="s">
        <v>1822</v>
      </c>
      <c r="B12" s="1535"/>
      <c r="C12" s="1535"/>
      <c r="D12" s="1535"/>
      <c r="E12" s="1535"/>
      <c r="F12" s="1535"/>
      <c r="G12" s="1536"/>
    </row>
    <row r="13" spans="1:7" ht="32.25" customHeight="1" x14ac:dyDescent="0.25">
      <c r="A13" s="2404" t="s">
        <v>1973</v>
      </c>
      <c r="B13" s="2405"/>
      <c r="C13" s="2405"/>
      <c r="D13" s="2405"/>
      <c r="E13" s="2405"/>
      <c r="F13" s="2405"/>
      <c r="G13" s="2406"/>
    </row>
    <row r="14" spans="1:7" x14ac:dyDescent="0.25">
      <c r="A14" s="1658" t="s">
        <v>1830</v>
      </c>
      <c r="B14" s="1659"/>
      <c r="C14" s="1659"/>
      <c r="D14" s="1659"/>
      <c r="E14" s="1659"/>
      <c r="F14" s="1659"/>
      <c r="G14" s="1660"/>
    </row>
    <row r="15" spans="1:7" ht="61.5" customHeight="1" x14ac:dyDescent="0.25">
      <c r="A15" s="1543" t="s">
        <v>1823</v>
      </c>
      <c r="B15" s="1543" t="s">
        <v>1824</v>
      </c>
      <c r="C15" s="1543" t="s">
        <v>1825</v>
      </c>
      <c r="D15" s="1544" t="s">
        <v>1826</v>
      </c>
      <c r="E15" s="1544" t="s">
        <v>1818</v>
      </c>
      <c r="F15" s="1544" t="s">
        <v>1827</v>
      </c>
      <c r="G15" s="1544" t="s">
        <v>1828</v>
      </c>
    </row>
    <row r="16" spans="1:7" x14ac:dyDescent="0.25">
      <c r="A16" s="1645" t="s">
        <v>1831</v>
      </c>
      <c r="B16" s="1646" t="s">
        <v>1821</v>
      </c>
      <c r="C16" s="1647" t="s">
        <v>1819</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073"/>
      <c r="B17" s="2070"/>
      <c r="C17" s="2071"/>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2073" t="s">
        <v>2286</v>
      </c>
      <c r="B18" s="2633" t="s">
        <v>2289</v>
      </c>
      <c r="C18" s="2071" t="s">
        <v>2270</v>
      </c>
      <c r="D18" s="1841">
        <v>224301</v>
      </c>
      <c r="E18" s="1537">
        <f t="shared" ref="E18:E140" si="2">IF(D18&lt;=25000,D18,IF(D18&gt;25000,25000,0))</f>
        <v>25000</v>
      </c>
      <c r="F18" s="1929">
        <f t="shared" si="1"/>
        <v>25000</v>
      </c>
      <c r="G18" s="1790">
        <f t="shared" ref="G18:G140" si="3">IF(F18=0,0,D18-F18)</f>
        <v>199301</v>
      </c>
    </row>
    <row r="19" spans="1:8" x14ac:dyDescent="0.25">
      <c r="A19" s="2073" t="s">
        <v>2286</v>
      </c>
      <c r="B19" s="2633" t="s">
        <v>2289</v>
      </c>
      <c r="C19" s="2071" t="s">
        <v>2271</v>
      </c>
      <c r="D19" s="1841">
        <v>261827</v>
      </c>
      <c r="E19" s="1537">
        <f t="shared" si="2"/>
        <v>25000</v>
      </c>
      <c r="F19" s="1929">
        <f t="shared" si="1"/>
        <v>25000</v>
      </c>
      <c r="G19" s="1790">
        <f t="shared" si="3"/>
        <v>236827</v>
      </c>
    </row>
    <row r="20" spans="1:8" x14ac:dyDescent="0.25">
      <c r="A20" s="2073" t="s">
        <v>2287</v>
      </c>
      <c r="B20" s="2633" t="s">
        <v>1821</v>
      </c>
      <c r="C20" s="2071" t="s">
        <v>2272</v>
      </c>
      <c r="D20" s="1841">
        <v>62227</v>
      </c>
      <c r="E20" s="1537">
        <f t="shared" si="2"/>
        <v>25000</v>
      </c>
      <c r="F20" s="1929">
        <f t="shared" si="1"/>
        <v>25000</v>
      </c>
      <c r="G20" s="1790">
        <f t="shared" si="3"/>
        <v>37227</v>
      </c>
    </row>
    <row r="21" spans="1:8" x14ac:dyDescent="0.25">
      <c r="A21" s="2073" t="s">
        <v>2287</v>
      </c>
      <c r="B21" s="2633" t="s">
        <v>1821</v>
      </c>
      <c r="C21" s="2071" t="s">
        <v>2273</v>
      </c>
      <c r="D21" s="1841">
        <v>145224</v>
      </c>
      <c r="E21" s="1537">
        <f t="shared" si="2"/>
        <v>25000</v>
      </c>
      <c r="F21" s="1929">
        <f t="shared" si="1"/>
        <v>25000</v>
      </c>
      <c r="G21" s="1790">
        <f t="shared" si="3"/>
        <v>120224</v>
      </c>
    </row>
    <row r="22" spans="1:8" x14ac:dyDescent="0.25">
      <c r="A22" s="2073" t="s">
        <v>2286</v>
      </c>
      <c r="B22" s="2633" t="s">
        <v>2289</v>
      </c>
      <c r="C22" s="2071" t="s">
        <v>2274</v>
      </c>
      <c r="D22" s="1841">
        <v>36000</v>
      </c>
      <c r="E22" s="1537">
        <f t="shared" si="2"/>
        <v>25000</v>
      </c>
      <c r="F22" s="1929">
        <f t="shared" si="1"/>
        <v>25000</v>
      </c>
      <c r="G22" s="1790">
        <f t="shared" si="3"/>
        <v>11000</v>
      </c>
    </row>
    <row r="23" spans="1:8" x14ac:dyDescent="0.25">
      <c r="A23" s="2073" t="s">
        <v>2285</v>
      </c>
      <c r="B23" s="2077" t="s">
        <v>2275</v>
      </c>
      <c r="C23" s="2071" t="s">
        <v>2276</v>
      </c>
      <c r="D23" s="1841">
        <v>32880</v>
      </c>
      <c r="E23" s="1537">
        <f>IF(D23&lt;=25000,D23,IF(D23&gt;25000,25000,0))</f>
        <v>25000</v>
      </c>
      <c r="F23" s="1929">
        <f>IF(OR(B23="10-1000-100",B23="10-1000-200",B23="10-1000-300",B23="10-1000-400",B23="10-1000-600",B23="10-1000-800",B23="50-1000-200",B23="10-2100-100",B23="10-2100-200",B23="10-2100-300",B23="10-2100-400",B23="10-2100-600",B23="10-2100-800",B23="20-2100-100",B23="20-2100-200",B23="20-2100-300",B23="20-2100-400",B23="20-2100-600",B23="20-2100-800",B23="40-2100-100",B23="40-2100-200",B23="40-2100-300",B23="40-2100-400",B23="40-2100-600",B23="40-2100-800",B23="50-2100-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10-2540-800",B23="20-2540-100",B23="20-2540-200",B23="20-2540-300",B23="20-2540-400",B23="20-2540-600",B23="20-2540-800",B23="50-2540-200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10-3000-100",B23="10-3000-200",B23="10-3000-300",B23="10-3000-400",B23="10-3000-600",B23="10-3000-800",B23="20-3000-100",B23="20-3000-200",B23="20-3000-300",B23="20-3000-400",B23="20-3000-600",B23="20-3000-800",B23="40-3000-100",B23="40-3000-200",B23="40-3000-300",B23="40-3000-400",B23="40-3000-600",B23="40-3000-800",B23="50-3000-200"),E23,0)</f>
        <v>25000</v>
      </c>
      <c r="G23" s="1790">
        <f>IF(F23=0,0,D23-F23)</f>
        <v>7880</v>
      </c>
    </row>
    <row r="24" spans="1:8" x14ac:dyDescent="0.25">
      <c r="A24" s="2073" t="s">
        <v>2286</v>
      </c>
      <c r="B24" s="2633" t="s">
        <v>2289</v>
      </c>
      <c r="C24" s="2075" t="s">
        <v>2282</v>
      </c>
      <c r="D24" s="1841">
        <v>136988</v>
      </c>
      <c r="E24" s="1537">
        <f t="shared" si="2"/>
        <v>25000</v>
      </c>
      <c r="F24" s="1929">
        <f t="shared" si="1"/>
        <v>25000</v>
      </c>
      <c r="G24" s="1790">
        <f t="shared" si="3"/>
        <v>111988</v>
      </c>
    </row>
    <row r="25" spans="1:8" x14ac:dyDescent="0.25">
      <c r="A25" s="2073" t="s">
        <v>2286</v>
      </c>
      <c r="B25" s="2633" t="s">
        <v>2289</v>
      </c>
      <c r="C25" s="2075" t="s">
        <v>2283</v>
      </c>
      <c r="D25" s="1841">
        <v>70198</v>
      </c>
      <c r="E25" s="1537">
        <f t="shared" si="2"/>
        <v>25000</v>
      </c>
      <c r="F25" s="1929">
        <f t="shared" si="1"/>
        <v>25000</v>
      </c>
      <c r="G25" s="1790">
        <f t="shared" si="3"/>
        <v>45198</v>
      </c>
    </row>
    <row r="26" spans="1:8" x14ac:dyDescent="0.25">
      <c r="A26" s="2073" t="s">
        <v>2287</v>
      </c>
      <c r="B26" s="2633" t="s">
        <v>1821</v>
      </c>
      <c r="C26" s="2075" t="s">
        <v>2284</v>
      </c>
      <c r="D26" s="1841">
        <v>23760</v>
      </c>
      <c r="E26" s="1537">
        <f t="shared" si="2"/>
        <v>23760</v>
      </c>
      <c r="F26" s="1929">
        <f t="shared" si="1"/>
        <v>23760</v>
      </c>
      <c r="G26" s="1790">
        <f t="shared" si="3"/>
        <v>0</v>
      </c>
    </row>
    <row r="27" spans="1:8" x14ac:dyDescent="0.25">
      <c r="A27" s="2073"/>
      <c r="B27" s="2070"/>
      <c r="C27" s="2071"/>
      <c r="D27" s="1841"/>
      <c r="E27" s="1537">
        <f t="shared" si="2"/>
        <v>0</v>
      </c>
      <c r="F27" s="1929">
        <f t="shared" si="1"/>
        <v>0</v>
      </c>
      <c r="G27" s="1790">
        <f t="shared" si="3"/>
        <v>0</v>
      </c>
    </row>
    <row r="28" spans="1:8" x14ac:dyDescent="0.25">
      <c r="A28" s="2073"/>
      <c r="B28" s="2070"/>
      <c r="C28" s="2071"/>
      <c r="D28" s="1841"/>
      <c r="E28" s="1537">
        <f>IF(D28&lt;=25000,D28,IF(D28&gt;25000,25000,0))</f>
        <v>0</v>
      </c>
      <c r="F28" s="1929">
        <f>IF(OR(B28="10-1000-100",B28="10-1000-200",B28="10-1000-300",B28="10-1000-400",B28="10-1000-600",B28="10-1000-800",B28="50-1000-200",B28="10-2100-100",B28="10-2100-200",B28="10-2100-300",B28="10-2100-400",B28="10-2100-600",B28="10-2100-800",B28="20-2100-100",B28="20-2100-200",B28="20-2100-300",B28="20-2100-400",B28="20-2100-600",B28="20-2100-800",B28="40-2100-100",B28="40-2100-200",B28="40-2100-300",B28="40-2100-400",B28="40-2100-600",B28="40-2100-800",B28="50-2100-200",B28="10-2200-100",B28="10-2200-200",B28="10-2200-300",B28="10-2200-400",B28="10-2200-600",B28="10-2200-800",B28="50-2200-200",B28="10-2300-100",B28="10-2300-200",B28="10-2300-300",B28="10-2300-400",B28="10-2300-600",B28="10-2300-800",B28="50-2300-200",B28="80-2300-100",B28="80-2300-200",B28="80-2300-300",B28="80-2300-400",B28="80-2300-600",B28="80-2300-800",B28="10-2400-100",B28="10-2400-200",B28="10-2400-300",B28="10-2400-400",B28="10-2400-600",B28="10-2400-800",B28="50-2400-200",B28="10-2510-100",B28="10-2510-200",B28="10-2510-300",B28="10-2510-400",B28="10-2510-600",B28="10-2510-800",B28="20-2510-100",B28="20-2510-200",B28="20-2510-300",B28="20-2510-400",B28="20-2510-600",B28="20-2510-800",B28="50-2510-200",B28="10-2520-100",B28="10-2520-200",B28="10-2520-300",B28="10-2520-400",B28="10-2520-600",B28="10-2520-800",B28="50-2520-200",B28="10-2540-100",B28="10-2540-200",B28="10-2540-300",B28="10-2540-400",B28="10-2540-600",B28="10-2540-800",B28="20-2540-100",B28="20-2540-200",B28="20-2540-300",B28="20-2540-400",B28="20-2540-600",B28="20-2540-800",B28="50-2540-200",B28="10-2550-100",B28="10-2550-200",B28="10-2550-300",B28="10-2550-400",B28="10-2550-600",B28="10-2550-800",B28="20-2550-100",B28="20-2550-200",B28="20-2550-300",B28="20-2550-400",B28="20-2550-600",B28="20-2550-800",B28="40-2550-100",B28="40-2550-200",B28="40-2550-300",B28="40-2550-400",B28="40-2550-600",B28="40-2550-800",B28="50-2550-200",B28="10-2560-100",B28="10-2560-200",B28="10-2560-300",B28="10-2560-400",B28="10-2560-600",B28="10-2560-800",B28="50-2560-200",B28="10-2570-100",B28="10-2570-200",B28="10-2570-300",B28="10-2570-400",B28="10-2570-600",B28="10-2570-800",B28="50-2570-200",B28="10-2610-100",B28="10-2610-200",B28="10-2610-300",B28="10-2610-400",B28="10-2610-600",B28="10-2610-800",B28="50-2610-200",B28="10-2620-100",B28="10-2620-200",B28="10-2620-300",B28="10-2620-400",B28="10-2620-600",B28="10-2620-800",B28="50-2620-200",B28="10-2630-100",B28="10-2630-200",B28="10-2630-300",B28="10-2630-400",B28="10-2630-600",B28="10-2630-800",B28="50-2630-200",B28="10-2640-100",B28="10-2640-200",B28="10-2640-300",B28="10-2640-400",B28="10-2640-600",B28="10-2640-800",B28="50-2640-200",B28="10-2660-100",B28="10-2660-200",B28="10-2660-300",B28="10-2660-400",B28="10-2660-600",B28="10-2660-800",B28="50-2660-200",B28="10-2900-100",B28="10-2900-200",B28="10-2900-300",B28="10-2900-400",B28="10-2900-600",B28="10-2900-800",B28="20-2900-100",B28="20-2900-200",B28="20-2900-300",B28="20-2900-400",B28="20-2900-600",B28="20-2900-800",B28="40-2900-100",B28="40-2900-200",B28="40-2900-300",B28="40-2900-400",B28="40-2900-600",B28="40-2900-800",B28="50-2900-200",B28="10-3000-100",B28="10-3000-200",B28="10-3000-300",B28="10-3000-400",B28="10-3000-600",B28="10-3000-800",B28="20-3000-100",B28="20-3000-200",B28="20-3000-300",B28="20-3000-400",B28="20-3000-600",B28="20-3000-800",B28="40-3000-100",B28="40-3000-200",B28="40-3000-300",B28="40-3000-400",B28="40-3000-600",B28="40-3000-800",B28="50-3000-200"),E28,0)</f>
        <v>0</v>
      </c>
      <c r="G28" s="1790">
        <f>IF(F28=0,0,D28-F28)</f>
        <v>0</v>
      </c>
    </row>
    <row r="29" spans="1:8" x14ac:dyDescent="0.25">
      <c r="A29" s="2073"/>
      <c r="B29" s="2070"/>
      <c r="C29" s="2071"/>
      <c r="D29" s="1841"/>
      <c r="E29" s="1537">
        <f t="shared" si="2"/>
        <v>0</v>
      </c>
      <c r="F29" s="1929">
        <f t="shared" si="1"/>
        <v>0</v>
      </c>
      <c r="G29" s="1790">
        <f t="shared" si="3"/>
        <v>0</v>
      </c>
    </row>
    <row r="30" spans="1:8" x14ac:dyDescent="0.25">
      <c r="A30" s="2073"/>
      <c r="B30" s="2070"/>
      <c r="C30" s="2071"/>
      <c r="D30" s="1841"/>
      <c r="E30" s="1537">
        <f t="shared" si="2"/>
        <v>0</v>
      </c>
      <c r="F30" s="1929">
        <f t="shared" si="1"/>
        <v>0</v>
      </c>
      <c r="G30" s="1790">
        <f t="shared" si="3"/>
        <v>0</v>
      </c>
    </row>
    <row r="31" spans="1:8" x14ac:dyDescent="0.25">
      <c r="A31" s="2073"/>
      <c r="B31" s="2070"/>
      <c r="C31" s="2071"/>
      <c r="D31" s="1841"/>
      <c r="E31" s="1537">
        <f t="shared" si="2"/>
        <v>0</v>
      </c>
      <c r="F31" s="1929">
        <f t="shared" si="1"/>
        <v>0</v>
      </c>
      <c r="G31" s="1790">
        <f t="shared" si="3"/>
        <v>0</v>
      </c>
    </row>
    <row r="32" spans="1:8" x14ac:dyDescent="0.25">
      <c r="A32" s="2073"/>
      <c r="B32" s="2070"/>
      <c r="C32" s="2071"/>
      <c r="D32" s="1841"/>
      <c r="E32" s="1537">
        <f t="shared" si="2"/>
        <v>0</v>
      </c>
      <c r="F32" s="1929">
        <f t="shared" si="1"/>
        <v>0</v>
      </c>
      <c r="G32" s="1790">
        <f t="shared" si="3"/>
        <v>0</v>
      </c>
    </row>
    <row r="33" spans="1:7" x14ac:dyDescent="0.25">
      <c r="A33" s="2073"/>
      <c r="B33" s="2070"/>
      <c r="C33" s="2071"/>
      <c r="D33" s="1841"/>
      <c r="E33" s="1537">
        <f t="shared" si="2"/>
        <v>0</v>
      </c>
      <c r="F33" s="1929">
        <f t="shared" si="1"/>
        <v>0</v>
      </c>
      <c r="G33" s="1790">
        <f t="shared" si="3"/>
        <v>0</v>
      </c>
    </row>
    <row r="34" spans="1:7" x14ac:dyDescent="0.25">
      <c r="A34" s="2073"/>
      <c r="B34" s="2070"/>
      <c r="C34" s="2071"/>
      <c r="D34" s="1841"/>
      <c r="E34" s="1537">
        <f t="shared" si="2"/>
        <v>0</v>
      </c>
      <c r="F34" s="1929">
        <f t="shared" si="1"/>
        <v>0</v>
      </c>
      <c r="G34" s="1790">
        <f t="shared" si="3"/>
        <v>0</v>
      </c>
    </row>
    <row r="35" spans="1:7" x14ac:dyDescent="0.25">
      <c r="A35" s="2073"/>
      <c r="B35" s="2074"/>
      <c r="C35" s="2075"/>
      <c r="D35" s="1841"/>
      <c r="E35" s="1537">
        <f t="shared" si="2"/>
        <v>0</v>
      </c>
      <c r="F35" s="1929">
        <f t="shared" si="1"/>
        <v>0</v>
      </c>
      <c r="G35" s="1790">
        <f t="shared" si="3"/>
        <v>0</v>
      </c>
    </row>
    <row r="36" spans="1:7" x14ac:dyDescent="0.25">
      <c r="A36" s="2073"/>
      <c r="B36" s="2074"/>
      <c r="C36" s="2075"/>
      <c r="D36" s="1841"/>
      <c r="E36" s="1537">
        <f t="shared" si="2"/>
        <v>0</v>
      </c>
      <c r="F36" s="1929">
        <f t="shared" si="1"/>
        <v>0</v>
      </c>
      <c r="G36" s="1790">
        <f t="shared" si="3"/>
        <v>0</v>
      </c>
    </row>
    <row r="37" spans="1:7" x14ac:dyDescent="0.25">
      <c r="A37" s="2073"/>
      <c r="B37" s="2074"/>
      <c r="C37" s="2075"/>
      <c r="D37" s="1841"/>
      <c r="E37" s="1537">
        <f t="shared" si="2"/>
        <v>0</v>
      </c>
      <c r="F37" s="1929">
        <f t="shared" si="1"/>
        <v>0</v>
      </c>
      <c r="G37" s="1790">
        <f t="shared" si="3"/>
        <v>0</v>
      </c>
    </row>
    <row r="38" spans="1:7" x14ac:dyDescent="0.25">
      <c r="A38" s="2073"/>
      <c r="B38" s="2072"/>
      <c r="C38" s="2075"/>
      <c r="D38" s="1841"/>
      <c r="E38" s="1537">
        <f t="shared" si="2"/>
        <v>0</v>
      </c>
      <c r="F38" s="1929">
        <f t="shared" si="1"/>
        <v>0</v>
      </c>
      <c r="G38" s="1790">
        <f t="shared" si="3"/>
        <v>0</v>
      </c>
    </row>
    <row r="39" spans="1:7" x14ac:dyDescent="0.25">
      <c r="A39" s="2073"/>
      <c r="B39" s="2076"/>
      <c r="C39" s="2075"/>
      <c r="D39" s="1841"/>
      <c r="E39" s="1537">
        <f t="shared" si="2"/>
        <v>0</v>
      </c>
      <c r="F39" s="1929">
        <f t="shared" si="1"/>
        <v>0</v>
      </c>
      <c r="G39" s="1790">
        <f t="shared" si="3"/>
        <v>0</v>
      </c>
    </row>
    <row r="40" spans="1:7" x14ac:dyDescent="0.25">
      <c r="A40" s="2073"/>
      <c r="B40" s="2076"/>
      <c r="C40" s="2075"/>
      <c r="D40" s="1841"/>
      <c r="E40" s="1537">
        <f t="shared" si="2"/>
        <v>0</v>
      </c>
      <c r="F40" s="1929">
        <f t="shared" si="1"/>
        <v>0</v>
      </c>
      <c r="G40" s="1790">
        <f t="shared" si="3"/>
        <v>0</v>
      </c>
    </row>
    <row r="41" spans="1:7" x14ac:dyDescent="0.25">
      <c r="A41" s="1650"/>
      <c r="B41" s="1931"/>
      <c r="C41" s="1651"/>
      <c r="D41" s="1841"/>
      <c r="E41" s="1537">
        <f t="shared" si="2"/>
        <v>0</v>
      </c>
      <c r="F41" s="1929">
        <f t="shared" si="1"/>
        <v>0</v>
      </c>
      <c r="G41" s="1790">
        <f t="shared" si="3"/>
        <v>0</v>
      </c>
    </row>
    <row r="42" spans="1:7" x14ac:dyDescent="0.25">
      <c r="A42" s="1650"/>
      <c r="B42" s="1931"/>
      <c r="C42" s="1651"/>
      <c r="D42" s="1841"/>
      <c r="E42" s="1537">
        <f t="shared" si="2"/>
        <v>0</v>
      </c>
      <c r="F42" s="1929">
        <f t="shared" si="1"/>
        <v>0</v>
      </c>
      <c r="G42" s="1790">
        <f t="shared" si="3"/>
        <v>0</v>
      </c>
    </row>
    <row r="43" spans="1:7" x14ac:dyDescent="0.25">
      <c r="A43" s="1650"/>
      <c r="B43" s="1931"/>
      <c r="C43" s="1651"/>
      <c r="D43" s="1841"/>
      <c r="E43" s="1537">
        <f t="shared" si="2"/>
        <v>0</v>
      </c>
      <c r="F43" s="1929">
        <f t="shared" si="1"/>
        <v>0</v>
      </c>
      <c r="G43" s="1790">
        <f t="shared" si="3"/>
        <v>0</v>
      </c>
    </row>
    <row r="44" spans="1:7" x14ac:dyDescent="0.25">
      <c r="A44" s="1650"/>
      <c r="B44" s="1931"/>
      <c r="C44" s="1651"/>
      <c r="D44" s="1841"/>
      <c r="E44" s="1537">
        <f t="shared" si="2"/>
        <v>0</v>
      </c>
      <c r="F44" s="1929">
        <f t="shared" si="1"/>
        <v>0</v>
      </c>
      <c r="G44" s="1790">
        <f t="shared" si="3"/>
        <v>0</v>
      </c>
    </row>
    <row r="45" spans="1:7" x14ac:dyDescent="0.25">
      <c r="A45" s="1650"/>
      <c r="B45" s="1931"/>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993405</v>
      </c>
      <c r="E141" s="1538">
        <f t="shared" si="0"/>
        <v>25000</v>
      </c>
      <c r="F141" s="1930">
        <f>SUM(F17:F140)</f>
        <v>223760</v>
      </c>
      <c r="G141" s="1792">
        <f>SUM(G17:G140)</f>
        <v>769645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19" t="s">
        <v>1679</v>
      </c>
      <c r="B5" s="2420"/>
      <c r="C5" s="2420"/>
      <c r="D5" s="2420"/>
      <c r="E5" s="2420"/>
      <c r="F5" s="2420"/>
      <c r="G5" s="2421"/>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v>441734</v>
      </c>
      <c r="F10" s="971"/>
      <c r="G10" s="972"/>
      <c r="H10" s="162"/>
      <c r="I10" s="162"/>
    </row>
    <row r="11" spans="1:9" s="665" customFormat="1" ht="22.5" customHeight="1" x14ac:dyDescent="0.2">
      <c r="A11" s="2424" t="s">
        <v>1974</v>
      </c>
      <c r="B11" s="2425"/>
      <c r="C11" s="2425"/>
      <c r="D11" s="2426"/>
      <c r="E11" s="974">
        <v>92965</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10194807</v>
      </c>
      <c r="F19" s="1796"/>
      <c r="G19" s="1798">
        <f>'Expenditures 15-22'!K33-SUM('Expenditures 15-22'!G33,'Expenditures 15-22'!I33)+'Expenditures 15-22'!D229</f>
        <v>10194807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442726</v>
      </c>
      <c r="F21" s="1799"/>
      <c r="G21" s="1802">
        <f>'Expenditures 15-22'!K42-SUM('Expenditures 15-22'!G42,'Expenditures 15-22'!I42)+'Expenditures 15-22'!K120-SUM('Expenditures 15-22'!G120,'Expenditures 15-22'!I120)+'Expenditures 15-22'!K180-SUM('Expenditures 15-22'!G180,'Expenditures 15-22'!I180)+'Expenditures 15-22'!D238</f>
        <v>442726</v>
      </c>
      <c r="H21" s="984"/>
      <c r="I21" s="162"/>
    </row>
    <row r="22" spans="1:9" s="665" customFormat="1" ht="12" customHeight="1" x14ac:dyDescent="0.2">
      <c r="A22" s="991" t="s">
        <v>564</v>
      </c>
      <c r="B22" s="992"/>
      <c r="C22" s="990">
        <v>2200</v>
      </c>
      <c r="D22" s="1799"/>
      <c r="E22" s="1801">
        <f>'Expenditures 15-22'!K47-SUM('Expenditures 15-22'!G47,'Expenditures 15-22'!I47)+'Expenditures 15-22'!D243</f>
        <v>352303</v>
      </c>
      <c r="F22" s="1799"/>
      <c r="G22" s="1802">
        <f>'Expenditures 15-22'!K47-SUM('Expenditures 15-22'!G47,'Expenditures 15-22'!I47)+'Expenditures 15-22'!D243</f>
        <v>352303</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1002926</v>
      </c>
      <c r="F23" s="1799"/>
      <c r="G23" s="1801">
        <f>'Expenditures 15-22'!K53-SUM('Expenditures 15-22'!G53,'Expenditures 15-22'!I53)+'Expenditures 15-22'!D257+'Expenditures 15-22'!K330-SUM('Expenditures 15-22'!G330,'Expenditures 15-22'!I330)</f>
        <v>1002926</v>
      </c>
      <c r="H23" s="984"/>
      <c r="I23" s="162"/>
    </row>
    <row r="24" spans="1:9" s="665" customFormat="1" ht="12" customHeight="1" x14ac:dyDescent="0.2">
      <c r="A24" s="991" t="s">
        <v>566</v>
      </c>
      <c r="B24" s="992"/>
      <c r="C24" s="990">
        <v>2400</v>
      </c>
      <c r="D24" s="1799"/>
      <c r="E24" s="1801">
        <f>'Expenditures 15-22'!K57-SUM('Expenditures 15-22'!G57,'Expenditures 15-22'!I57)+'Expenditures 15-22'!D261</f>
        <v>1355304</v>
      </c>
      <c r="F24" s="1799"/>
      <c r="G24" s="1802">
        <f>'Expenditures 15-22'!K57-SUM('Expenditures 15-22'!G57,'Expenditures 15-22'!I57)+'Expenditures 15-22'!D261</f>
        <v>1355304</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325476</v>
      </c>
      <c r="E27" s="1801">
        <f>E8</f>
        <v>0</v>
      </c>
      <c r="F27" s="1801">
        <f>'Expenditures 15-22'!K60-SUM('Expenditures 15-22'!G60,'Expenditures 15-22'!I60)+'Expenditures 15-22'!D264-E8</f>
        <v>325476</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1667482</v>
      </c>
      <c r="F28" s="1803">
        <f>'Expenditures 15-22'!K61-SUM('Expenditures 15-22'!G61,'Expenditures 15-22'!I61)+'Expenditures 15-22'!K124-SUM('Expenditures 15-22'!G124,'Expenditures 15-22'!I124)+'Expenditures 15-22'!D266-E9</f>
        <v>1667482</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962107</v>
      </c>
      <c r="F29" s="1799"/>
      <c r="G29" s="1802">
        <f>'Expenditures 15-22'!K62-SUM('Expenditures 15-22'!G62,'Expenditures 15-22'!I62)+'Expenditures 15-22'!K125-SUM('Expenditures 15-22'!G125,'Expenditures 15-22'!I125)+'Expenditures 15-22'!K182-SUM('Expenditures 15-22'!G182,'Expenditures 15-22'!I182)+'Expenditures 15-22'!D267</f>
        <v>962107</v>
      </c>
      <c r="H29" s="982"/>
    </row>
    <row r="30" spans="1:9" ht="12" customHeight="1" x14ac:dyDescent="0.2">
      <c r="A30" s="991" t="s">
        <v>100</v>
      </c>
      <c r="B30" s="994"/>
      <c r="C30" s="990">
        <v>2560</v>
      </c>
      <c r="D30" s="1799"/>
      <c r="E30" s="1801">
        <f>'Expenditures 15-22'!K63-SUM('Expenditures 15-22'!G63,'Expenditures 15-22'!I63)+'Expenditures 15-22'!D268-E10</f>
        <v>629432</v>
      </c>
      <c r="F30" s="1799"/>
      <c r="G30" s="1801">
        <f>'Expenditures 15-22'!K63-SUM('Expenditures 15-22'!G63,'Expenditures 15-22'!I63)+'Expenditures 15-22'!D268-E10</f>
        <v>629432</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50281</v>
      </c>
      <c r="F35" s="1799"/>
      <c r="G35" s="1801">
        <f>'Expenditures 15-22'!K69-SUM('Expenditures 15-22'!G69,'Expenditures 15-22'!I69)+'Expenditures 15-22'!D274</f>
        <v>50281</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6699</v>
      </c>
      <c r="E37" s="1801">
        <f>E14</f>
        <v>0</v>
      </c>
      <c r="F37" s="1801">
        <f>'Expenditures 15-22'!K71-SUM('Expenditures 15-22'!G71,'Expenditures 15-22'!I71)+'Expenditures 15-22'!D276-E14</f>
        <v>6699</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155375</v>
      </c>
      <c r="F39" s="1799"/>
      <c r="G39" s="1801">
        <f>'Expenditures 15-22'!K75-SUM('Expenditures 15-22'!G75,'Expenditures 15-22'!I75)+'Expenditures 15-22'!K130-SUM('Expenditures 15-22'!G130,'Expenditures 15-22'!I130)+'Expenditures 15-22'!K185-SUM('Expenditures 15-22'!G185,'Expenditures 15-22'!I185)+'Expenditures 15-22'!D280</f>
        <v>155375</v>
      </c>
    </row>
    <row r="40" spans="1:7" ht="12" customHeight="1" x14ac:dyDescent="0.2">
      <c r="A40" s="987" t="s">
        <v>1820</v>
      </c>
      <c r="B40" s="988"/>
      <c r="C40" s="990"/>
      <c r="D40" s="1799"/>
      <c r="E40" s="1803">
        <f>-'Contracts Paid in CY 29'!G141</f>
        <v>-769645</v>
      </c>
      <c r="F40" s="1799"/>
      <c r="G40" s="1803">
        <f>-'Contracts Paid in CY 29'!G141</f>
        <v>-769645</v>
      </c>
    </row>
    <row r="41" spans="1:7" ht="12" customHeight="1" x14ac:dyDescent="0.2">
      <c r="A41" s="995" t="s">
        <v>156</v>
      </c>
      <c r="B41" s="996"/>
      <c r="C41" s="997"/>
      <c r="D41" s="1803">
        <f>SUM(D19:D39)</f>
        <v>332175</v>
      </c>
      <c r="E41" s="1803">
        <f>SUM(E19:E40)</f>
        <v>16043098</v>
      </c>
      <c r="F41" s="1803">
        <f>SUM(F19:F39)</f>
        <v>1999657</v>
      </c>
      <c r="G41" s="1803">
        <f>SUM(G19:G40)</f>
        <v>14375616</v>
      </c>
    </row>
    <row r="42" spans="1:7" x14ac:dyDescent="0.2">
      <c r="A42" s="984"/>
      <c r="B42" s="162"/>
      <c r="C42" s="998"/>
      <c r="D42" s="2422" t="s">
        <v>522</v>
      </c>
      <c r="E42" s="2423"/>
      <c r="F42" s="999" t="s">
        <v>523</v>
      </c>
      <c r="G42" s="1000"/>
    </row>
    <row r="43" spans="1:7" ht="12" customHeight="1" x14ac:dyDescent="0.2">
      <c r="A43" s="984"/>
      <c r="B43" s="162"/>
      <c r="C43" s="998"/>
      <c r="D43" s="1804" t="s">
        <v>473</v>
      </c>
      <c r="E43" s="1805">
        <f>D41</f>
        <v>332175</v>
      </c>
      <c r="F43" s="1804" t="s">
        <v>473</v>
      </c>
      <c r="G43" s="1805">
        <f>F41</f>
        <v>1999657</v>
      </c>
    </row>
    <row r="44" spans="1:7" ht="12" customHeight="1" x14ac:dyDescent="0.2">
      <c r="A44" s="984"/>
      <c r="B44" s="162"/>
      <c r="C44" s="998"/>
      <c r="D44" s="1804" t="s">
        <v>474</v>
      </c>
      <c r="E44" s="1805">
        <f>E41</f>
        <v>16043098</v>
      </c>
      <c r="F44" s="1804" t="s">
        <v>474</v>
      </c>
      <c r="G44" s="1805">
        <f>G41</f>
        <v>14375616</v>
      </c>
    </row>
    <row r="45" spans="1:7" ht="12" customHeight="1" x14ac:dyDescent="0.2">
      <c r="A45" s="984"/>
      <c r="B45" s="162"/>
      <c r="C45" s="162"/>
      <c r="D45" s="1806" t="s">
        <v>1006</v>
      </c>
      <c r="E45" s="1807">
        <f>(E43/E44)</f>
        <v>2.0705165548449558E-2</v>
      </c>
      <c r="F45" s="1806" t="s">
        <v>1006</v>
      </c>
      <c r="G45" s="1807">
        <f>(G43/G44)</f>
        <v>0.13910061314937738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432" t="str">
        <f>COVER!A17</f>
        <v>Kewanee CUSD 229</v>
      </c>
      <c r="J6" s="2433"/>
      <c r="Q6" s="1661"/>
    </row>
    <row r="7" spans="1:17" x14ac:dyDescent="0.2">
      <c r="A7" s="2434" t="s">
        <v>869</v>
      </c>
      <c r="B7" s="2435"/>
      <c r="C7" s="2435"/>
      <c r="D7" s="2435"/>
      <c r="E7" s="2436"/>
      <c r="F7" s="1014"/>
      <c r="G7" s="1006"/>
      <c r="H7" s="1013" t="s">
        <v>372</v>
      </c>
      <c r="I7" s="2437">
        <f>COVER!A13</f>
        <v>28037229026</v>
      </c>
      <c r="J7" s="2437"/>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1976</v>
      </c>
      <c r="F9" s="1020"/>
      <c r="G9" s="1020"/>
      <c r="H9" s="1893"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38" t="s">
        <v>481</v>
      </c>
      <c r="B11" s="2439"/>
      <c r="C11" s="2440"/>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220629</v>
      </c>
      <c r="F12" s="1036"/>
      <c r="G12" s="1808">
        <f t="shared" ref="G12:G18" si="0">SUM(E12:F12)</f>
        <v>220629</v>
      </c>
      <c r="H12" s="1037">
        <v>226462</v>
      </c>
      <c r="I12" s="1036"/>
      <c r="J12" s="1808">
        <f t="shared" ref="J12:J18" si="1">SUM(H12:I12)</f>
        <v>226462</v>
      </c>
    </row>
    <row r="13" spans="1:17" ht="15" customHeight="1" x14ac:dyDescent="0.2">
      <c r="A13" s="1032">
        <v>2</v>
      </c>
      <c r="B13" s="1033" t="s">
        <v>42</v>
      </c>
      <c r="C13" s="1034"/>
      <c r="D13" s="1035">
        <v>2330</v>
      </c>
      <c r="E13" s="1808">
        <f>'Expenditures 15-22'!K51</f>
        <v>35249</v>
      </c>
      <c r="F13" s="1036"/>
      <c r="G13" s="1808">
        <f t="shared" si="0"/>
        <v>35249</v>
      </c>
      <c r="H13" s="1037">
        <v>36950</v>
      </c>
      <c r="I13" s="1036"/>
      <c r="J13" s="1808">
        <f t="shared" si="1"/>
        <v>36950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441" t="s">
        <v>7</v>
      </c>
      <c r="C18" s="2442"/>
      <c r="D18" s="2443"/>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255878</v>
      </c>
      <c r="F19" s="1810">
        <f t="shared" si="2"/>
        <v>0</v>
      </c>
      <c r="G19" s="1810">
        <f t="shared" si="2"/>
        <v>255878</v>
      </c>
      <c r="H19" s="1810">
        <f t="shared" si="2"/>
        <v>263412</v>
      </c>
      <c r="I19" s="1810">
        <f t="shared" si="2"/>
        <v>0</v>
      </c>
      <c r="J19" s="1810">
        <f t="shared" si="2"/>
        <v>263412</v>
      </c>
    </row>
    <row r="20" spans="1:10" ht="13.5" thickTop="1" x14ac:dyDescent="0.2">
      <c r="A20" s="1032">
        <v>9</v>
      </c>
      <c r="B20" s="2444" t="s">
        <v>1978</v>
      </c>
      <c r="C20" s="2444"/>
      <c r="D20" s="2445"/>
      <c r="E20" s="1043"/>
      <c r="F20" s="1043"/>
      <c r="G20" s="1043"/>
      <c r="H20" s="1043"/>
      <c r="I20" s="1043"/>
      <c r="J20" s="1811">
        <f>IF(AND(G19&gt;0,J19&gt;0),(((J19-G19)/G19)),"Enter Budget Data")</f>
        <v>2.9443719272465786E-2</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450"/>
      <c r="D26" s="2450"/>
      <c r="E26" s="1047"/>
      <c r="F26" s="2449"/>
      <c r="G26" s="2449"/>
    </row>
    <row r="27" spans="1:10" x14ac:dyDescent="0.2">
      <c r="B27" s="1044"/>
      <c r="C27" s="1048" t="s">
        <v>1033</v>
      </c>
      <c r="D27" s="1049"/>
      <c r="E27" s="1050"/>
      <c r="F27" s="2446" t="s">
        <v>1509</v>
      </c>
      <c r="G27" s="2446"/>
    </row>
    <row r="28" spans="1:10" ht="28.5" customHeight="1" x14ac:dyDescent="0.2">
      <c r="B28" s="1044"/>
      <c r="C28" s="2448"/>
      <c r="D28" s="2448"/>
      <c r="E28" s="1051"/>
      <c r="F28" s="2448"/>
      <c r="G28" s="2448"/>
    </row>
    <row r="29" spans="1:10" x14ac:dyDescent="0.2">
      <c r="B29" s="1044"/>
      <c r="C29" s="1052" t="s">
        <v>1561</v>
      </c>
      <c r="E29" s="1053"/>
      <c r="F29" s="2447" t="s">
        <v>1510</v>
      </c>
      <c r="G29" s="2447"/>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29" t="s">
        <v>132</v>
      </c>
      <c r="D33" s="2430"/>
      <c r="E33" s="2430"/>
      <c r="F33" s="2430"/>
      <c r="G33" s="2430"/>
      <c r="H33" s="2430"/>
      <c r="I33" s="2430"/>
    </row>
    <row r="34" spans="1:10" ht="10.35" customHeight="1" x14ac:dyDescent="0.2">
      <c r="C34" s="2430"/>
      <c r="D34" s="2430"/>
      <c r="E34" s="2430"/>
      <c r="F34" s="2430"/>
      <c r="G34" s="2430"/>
      <c r="H34" s="2430"/>
      <c r="I34" s="2430"/>
    </row>
    <row r="35" spans="1:10" ht="7.5" customHeight="1" x14ac:dyDescent="0.2">
      <c r="C35" s="1059"/>
    </row>
    <row r="36" spans="1:10" ht="13.5" customHeight="1" x14ac:dyDescent="0.2">
      <c r="B36" s="1058"/>
      <c r="C36" s="2431" t="s">
        <v>1980</v>
      </c>
      <c r="D36" s="2430"/>
      <c r="E36" s="2430"/>
      <c r="F36" s="2430"/>
      <c r="G36" s="2430"/>
      <c r="H36" s="2430"/>
      <c r="I36" s="2430"/>
      <c r="J36" s="1060"/>
    </row>
    <row r="37" spans="1:10" ht="22.5" customHeight="1" x14ac:dyDescent="0.2">
      <c r="C37" s="2430"/>
      <c r="D37" s="2430"/>
      <c r="E37" s="2430"/>
      <c r="F37" s="2430"/>
      <c r="G37" s="2430"/>
      <c r="H37" s="2430"/>
      <c r="I37" s="2430"/>
      <c r="J37" s="1060"/>
    </row>
    <row r="38" spans="1:10" ht="7.5" customHeight="1" x14ac:dyDescent="0.2">
      <c r="C38" s="1059"/>
      <c r="D38" s="1061"/>
      <c r="E38" s="1062"/>
      <c r="F38" s="1063"/>
      <c r="G38" s="1062"/>
    </row>
    <row r="39" spans="1:10" ht="13.5" customHeight="1" x14ac:dyDescent="0.2">
      <c r="B39" s="1058"/>
      <c r="C39" s="2427" t="s">
        <v>882</v>
      </c>
      <c r="D39" s="2428"/>
      <c r="E39" s="2428"/>
      <c r="F39" s="2428"/>
      <c r="G39" s="2428"/>
      <c r="H39" s="2428"/>
      <c r="I39" s="2428"/>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2278</v>
      </c>
    </row>
    <row r="6" spans="1:2" x14ac:dyDescent="0.2">
      <c r="A6" s="1065">
        <v>2</v>
      </c>
      <c r="B6" s="329" t="s">
        <v>2279</v>
      </c>
    </row>
    <row r="7" spans="1:2" x14ac:dyDescent="0.2">
      <c r="A7" s="1065">
        <v>3</v>
      </c>
      <c r="B7" s="329" t="s">
        <v>2280</v>
      </c>
    </row>
    <row r="8" spans="1:2" x14ac:dyDescent="0.2">
      <c r="A8" s="1065">
        <v>4</v>
      </c>
      <c r="B8" s="329" t="s">
        <v>2281</v>
      </c>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Kewanee CUSD 229</v>
      </c>
    </row>
    <row r="65" spans="2:2" x14ac:dyDescent="0.2">
      <c r="B65" s="1067">
        <f>COVER!A13</f>
        <v>28037229026</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90" t="s">
        <v>1065</v>
      </c>
      <c r="B35" s="2190"/>
      <c r="C35" s="2190"/>
      <c r="D35" s="2190"/>
      <c r="E35" s="219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87" t="s">
        <v>691</v>
      </c>
      <c r="B40" s="2187"/>
      <c r="C40" s="2187"/>
      <c r="D40" s="2187"/>
      <c r="E40" s="2187"/>
    </row>
    <row r="41" spans="1:5" x14ac:dyDescent="0.2">
      <c r="A41" s="2188" t="s">
        <v>1608</v>
      </c>
      <c r="B41" s="2188"/>
      <c r="C41" s="2188"/>
      <c r="D41" s="2188"/>
      <c r="E41" s="2188"/>
    </row>
    <row r="42" spans="1:5" ht="12.75" customHeight="1" x14ac:dyDescent="0.2">
      <c r="A42" s="2189" t="s">
        <v>1022</v>
      </c>
      <c r="B42" s="2189"/>
      <c r="C42" s="2189"/>
      <c r="D42" s="2189"/>
      <c r="E42" s="218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2" sqref="L32"/>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454" t="s">
        <v>1379</v>
      </c>
      <c r="B1" s="2454"/>
      <c r="C1" s="2454"/>
      <c r="D1" s="2454"/>
      <c r="E1" s="2454"/>
      <c r="F1" s="2454"/>
    </row>
    <row r="2" spans="1:10" x14ac:dyDescent="0.2">
      <c r="A2" s="1884" t="s">
        <v>1909</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455" t="s">
        <v>1546</v>
      </c>
      <c r="B5" s="2456"/>
      <c r="C5" s="2457"/>
      <c r="D5" s="2457"/>
      <c r="E5" s="2457"/>
      <c r="F5" s="2457"/>
    </row>
    <row r="6" spans="1:10" ht="12" customHeight="1" x14ac:dyDescent="0.25">
      <c r="A6" s="1847"/>
      <c r="B6" s="1848"/>
      <c r="C6" s="2458" t="str">
        <f>COVER!A17</f>
        <v>Kewanee CUSD 229</v>
      </c>
      <c r="D6" s="2458"/>
      <c r="E6" s="2458"/>
      <c r="F6" s="1849"/>
    </row>
    <row r="7" spans="1:10" ht="11.25" customHeight="1" thickBot="1" x14ac:dyDescent="0.3">
      <c r="A7" s="1847"/>
      <c r="B7" s="1848"/>
      <c r="C7" s="2459">
        <f>COVER!A13</f>
        <v>28037229026</v>
      </c>
      <c r="D7" s="2459"/>
      <c r="E7" s="2459"/>
      <c r="F7" s="1849"/>
    </row>
    <row r="8" spans="1:10" ht="25.5" customHeight="1" thickBot="1" x14ac:dyDescent="0.25">
      <c r="A8" s="1890" t="s">
        <v>1905</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2067</v>
      </c>
      <c r="D13" s="1862" t="s">
        <v>2067</v>
      </c>
      <c r="E13" s="1865"/>
      <c r="F13" s="1864" t="s">
        <v>2097</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2067</v>
      </c>
      <c r="D16" s="1862" t="s">
        <v>2067</v>
      </c>
      <c r="E16" s="1865"/>
      <c r="F16" s="1864" t="s">
        <v>2096</v>
      </c>
      <c r="H16" s="1875">
        <f t="shared" si="0"/>
        <v>5</v>
      </c>
      <c r="I16" s="1875">
        <f t="shared" si="1"/>
        <v>5</v>
      </c>
      <c r="J16" s="1875">
        <f t="shared" si="2"/>
        <v>0</v>
      </c>
    </row>
    <row r="17" spans="1:12" ht="12" customHeight="1" x14ac:dyDescent="0.2">
      <c r="A17" s="1860" t="s">
        <v>1389</v>
      </c>
      <c r="B17" s="1861"/>
      <c r="C17" s="1862" t="s">
        <v>2067</v>
      </c>
      <c r="D17" s="1862" t="s">
        <v>2067</v>
      </c>
      <c r="E17" s="1865"/>
      <c r="F17" s="1864" t="s">
        <v>2096</v>
      </c>
      <c r="H17" s="1875">
        <f t="shared" si="0"/>
        <v>5</v>
      </c>
      <c r="I17" s="1875">
        <f t="shared" si="1"/>
        <v>5</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2067</v>
      </c>
      <c r="D19" s="1862" t="s">
        <v>2067</v>
      </c>
      <c r="E19" s="1865"/>
      <c r="F19" s="1864" t="s">
        <v>2095</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2067</v>
      </c>
      <c r="D23" s="1862" t="s">
        <v>2067</v>
      </c>
      <c r="E23" s="1865"/>
      <c r="F23" s="1864" t="s">
        <v>2093</v>
      </c>
      <c r="H23" s="1875">
        <f t="shared" si="0"/>
        <v>5</v>
      </c>
      <c r="I23" s="1875">
        <f t="shared" si="1"/>
        <v>5</v>
      </c>
      <c r="J23" s="1875">
        <f t="shared" si="2"/>
        <v>0</v>
      </c>
    </row>
    <row r="24" spans="1:12" ht="12" customHeight="1" x14ac:dyDescent="0.2">
      <c r="A24" s="1860" t="s">
        <v>1532</v>
      </c>
      <c r="B24" s="1861"/>
      <c r="C24" s="1862" t="s">
        <v>2067</v>
      </c>
      <c r="D24" s="1862" t="s">
        <v>2067</v>
      </c>
      <c r="E24" s="1865"/>
      <c r="F24" s="1864" t="s">
        <v>2094</v>
      </c>
      <c r="H24" s="1875">
        <f t="shared" si="0"/>
        <v>5</v>
      </c>
      <c r="I24" s="1875">
        <f t="shared" si="1"/>
        <v>5</v>
      </c>
      <c r="J24" s="1875">
        <f t="shared" si="2"/>
        <v>0</v>
      </c>
    </row>
    <row r="25" spans="1:12" ht="12" customHeight="1" x14ac:dyDescent="0.2">
      <c r="A25" s="1860" t="s">
        <v>1533</v>
      </c>
      <c r="B25" s="1861"/>
      <c r="C25" s="1862" t="s">
        <v>2067</v>
      </c>
      <c r="D25" s="1862" t="s">
        <v>2067</v>
      </c>
      <c r="E25" s="1865"/>
      <c r="F25" s="1864" t="s">
        <v>2092</v>
      </c>
      <c r="H25" s="1875">
        <f t="shared" si="0"/>
        <v>5</v>
      </c>
      <c r="I25" s="1875">
        <f t="shared" si="1"/>
        <v>5</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2067</v>
      </c>
      <c r="D28" s="1862" t="s">
        <v>2067</v>
      </c>
      <c r="E28" s="1865"/>
      <c r="F28" s="1864" t="s">
        <v>2091</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2067</v>
      </c>
      <c r="D30" s="1862" t="s">
        <v>2067</v>
      </c>
      <c r="E30" s="1865"/>
      <c r="F30" s="1864" t="s">
        <v>2090</v>
      </c>
      <c r="H30" s="1875">
        <f t="shared" si="0"/>
        <v>5</v>
      </c>
      <c r="I30" s="1875">
        <f t="shared" si="1"/>
        <v>5</v>
      </c>
      <c r="J30" s="1875">
        <f t="shared" si="2"/>
        <v>0</v>
      </c>
    </row>
    <row r="31" spans="1:12" ht="12" customHeight="1" x14ac:dyDescent="0.2">
      <c r="A31" s="1860" t="s">
        <v>1539</v>
      </c>
      <c r="B31" s="1861"/>
      <c r="C31" s="1862" t="s">
        <v>2067</v>
      </c>
      <c r="D31" s="1862" t="s">
        <v>2067</v>
      </c>
      <c r="E31" s="1865"/>
      <c r="F31" s="1864" t="s">
        <v>2089</v>
      </c>
      <c r="H31" s="1875">
        <f t="shared" si="0"/>
        <v>5</v>
      </c>
      <c r="I31" s="1875">
        <f t="shared" si="1"/>
        <v>5</v>
      </c>
      <c r="J31" s="1875">
        <f t="shared" si="2"/>
        <v>0</v>
      </c>
      <c r="L31" s="1866"/>
    </row>
    <row r="32" spans="1:12" ht="12" customHeight="1" x14ac:dyDescent="0.2">
      <c r="A32" s="1860" t="s">
        <v>1540</v>
      </c>
      <c r="B32" s="1861"/>
      <c r="C32" s="1862" t="s">
        <v>2067</v>
      </c>
      <c r="D32" s="1862" t="s">
        <v>2067</v>
      </c>
      <c r="E32" s="1865"/>
      <c r="F32" s="1864" t="s">
        <v>2088</v>
      </c>
      <c r="H32" s="1875">
        <f t="shared" si="0"/>
        <v>5</v>
      </c>
      <c r="I32" s="1875">
        <f t="shared" si="1"/>
        <v>5</v>
      </c>
      <c r="J32" s="1875">
        <f t="shared" si="2"/>
        <v>0</v>
      </c>
    </row>
    <row r="33" spans="1:11" ht="12" customHeight="1" x14ac:dyDescent="0.2">
      <c r="A33" s="1860" t="s">
        <v>1541</v>
      </c>
      <c r="B33" s="1861"/>
      <c r="C33" s="1862" t="s">
        <v>2067</v>
      </c>
      <c r="D33" s="1862" t="s">
        <v>2067</v>
      </c>
      <c r="E33" s="1865"/>
      <c r="F33" s="1864" t="s">
        <v>2087</v>
      </c>
      <c r="H33" s="1875">
        <f t="shared" si="0"/>
        <v>5</v>
      </c>
      <c r="I33" s="1875">
        <f t="shared" si="1"/>
        <v>5</v>
      </c>
      <c r="J33" s="1875">
        <f t="shared" si="2"/>
        <v>0</v>
      </c>
    </row>
    <row r="34" spans="1:11" ht="12" customHeight="1" x14ac:dyDescent="0.25">
      <c r="A34" s="1867"/>
      <c r="B34" s="1867"/>
      <c r="C34" s="1867"/>
      <c r="D34" s="1867"/>
      <c r="E34" s="1867"/>
      <c r="F34" s="1867"/>
      <c r="H34" s="1875">
        <f>SUM(H11:H32)</f>
        <v>55</v>
      </c>
      <c r="I34" s="1875">
        <f>SUM(I11:I32)</f>
        <v>55</v>
      </c>
      <c r="J34" s="1875">
        <f>SUM(J11:J32)</f>
        <v>0</v>
      </c>
      <c r="K34" s="1875">
        <f>SUM(H34:J34)</f>
        <v>110</v>
      </c>
    </row>
    <row r="35" spans="1:11" ht="12" customHeight="1" x14ac:dyDescent="0.2">
      <c r="A35" s="1868" t="s">
        <v>1392</v>
      </c>
      <c r="B35" s="1869"/>
      <c r="C35" s="2460"/>
      <c r="D35" s="2460"/>
      <c r="E35" s="2460"/>
      <c r="F35" s="2461"/>
    </row>
    <row r="36" spans="1:11" ht="12" customHeight="1" x14ac:dyDescent="0.2">
      <c r="A36" s="2451"/>
      <c r="B36" s="2452"/>
      <c r="C36" s="2452"/>
      <c r="D36" s="2452"/>
      <c r="E36" s="2452"/>
      <c r="F36" s="2453"/>
    </row>
    <row r="37" spans="1:11" ht="12" customHeight="1" x14ac:dyDescent="0.2">
      <c r="A37" s="2451"/>
      <c r="B37" s="2452"/>
      <c r="C37" s="2452"/>
      <c r="D37" s="2452"/>
      <c r="E37" s="2452"/>
      <c r="F37" s="2453"/>
    </row>
    <row r="38" spans="1:11" ht="12" customHeight="1" x14ac:dyDescent="0.2">
      <c r="A38" s="2465"/>
      <c r="B38" s="2466"/>
      <c r="C38" s="2466"/>
      <c r="D38" s="2466"/>
      <c r="E38" s="2466"/>
      <c r="F38" s="2467"/>
    </row>
    <row r="39" spans="1:11" ht="4.5" hidden="1" customHeight="1" x14ac:dyDescent="0.2">
      <c r="A39" s="1870"/>
      <c r="B39" s="1870"/>
      <c r="C39" s="1870"/>
      <c r="D39" s="1870"/>
      <c r="E39" s="1870"/>
      <c r="F39" s="1870"/>
    </row>
    <row r="40" spans="1:11" s="1867" customFormat="1" ht="12" customHeight="1" x14ac:dyDescent="0.25">
      <c r="A40" s="1871" t="s">
        <v>1391</v>
      </c>
      <c r="B40" s="1872"/>
      <c r="C40" s="2468"/>
      <c r="D40" s="2468"/>
      <c r="E40" s="2468"/>
      <c r="F40" s="2469"/>
      <c r="H40" s="1876"/>
      <c r="I40" s="1876"/>
      <c r="J40" s="1876"/>
      <c r="K40" s="1876"/>
    </row>
    <row r="41" spans="1:11" s="1867" customFormat="1" ht="12" customHeight="1" x14ac:dyDescent="0.25">
      <c r="A41" s="2470"/>
      <c r="B41" s="2471"/>
      <c r="C41" s="2471"/>
      <c r="D41" s="2471"/>
      <c r="E41" s="2471"/>
      <c r="F41" s="2472"/>
      <c r="H41" s="1876"/>
      <c r="I41" s="1876"/>
      <c r="J41" s="1876"/>
      <c r="K41" s="1876"/>
    </row>
    <row r="42" spans="1:11" s="1867" customFormat="1" ht="12" customHeight="1" x14ac:dyDescent="0.25">
      <c r="A42" s="2470"/>
      <c r="B42" s="2471"/>
      <c r="C42" s="2471"/>
      <c r="D42" s="2471"/>
      <c r="E42" s="2471"/>
      <c r="F42" s="2472"/>
      <c r="H42" s="1876"/>
      <c r="I42" s="1876"/>
      <c r="J42" s="1876"/>
      <c r="K42" s="1876"/>
    </row>
    <row r="43" spans="1:11" s="1867" customFormat="1" ht="15" x14ac:dyDescent="0.25">
      <c r="A43" s="2462"/>
      <c r="B43" s="2463"/>
      <c r="C43" s="2463"/>
      <c r="D43" s="2463"/>
      <c r="E43" s="2463"/>
      <c r="F43" s="2464"/>
      <c r="H43" s="1876"/>
      <c r="I43" s="1876"/>
      <c r="J43" s="1876"/>
      <c r="K43" s="1876"/>
    </row>
    <row r="44" spans="1:11" s="1867" customFormat="1" ht="12" hidden="1" customHeight="1" x14ac:dyDescent="0.25">
      <c r="A44" s="2462"/>
      <c r="B44" s="2463"/>
      <c r="C44" s="2463"/>
      <c r="D44" s="2463"/>
      <c r="E44" s="2463"/>
      <c r="F44" s="2464"/>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73" t="s">
        <v>1685</v>
      </c>
      <c r="B18" s="2473"/>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276225</xdr:colOff>
                <xdr:row>2</xdr:row>
                <xdr:rowOff>47625</xdr:rowOff>
              </from>
              <to>
                <xdr:col>1</xdr:col>
                <xdr:colOff>1190625</xdr:colOff>
                <xdr:row>6</xdr:row>
                <xdr:rowOff>85725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1419225</xdr:colOff>
                <xdr:row>2</xdr:row>
                <xdr:rowOff>47625</xdr:rowOff>
              </from>
              <to>
                <xdr:col>1</xdr:col>
                <xdr:colOff>2333625</xdr:colOff>
                <xdr:row>6</xdr:row>
                <xdr:rowOff>85725</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74" t="s">
        <v>1690</v>
      </c>
      <c r="B1" s="2475"/>
      <c r="C1" s="2475"/>
      <c r="D1" s="2475"/>
      <c r="E1" s="2475"/>
      <c r="F1" s="2476"/>
    </row>
    <row r="2" spans="1:8" ht="45" customHeight="1" x14ac:dyDescent="0.2">
      <c r="A2" s="2484" t="s">
        <v>1984</v>
      </c>
      <c r="B2" s="2485"/>
      <c r="C2" s="2485"/>
      <c r="D2" s="2485"/>
      <c r="E2" s="2485"/>
      <c r="F2" s="2486"/>
      <c r="G2" s="1071"/>
      <c r="H2" s="1071"/>
    </row>
    <row r="3" spans="1:8" ht="57" customHeight="1" x14ac:dyDescent="0.2">
      <c r="A3" s="2487" t="s">
        <v>1686</v>
      </c>
      <c r="B3" s="2488"/>
      <c r="C3" s="2488"/>
      <c r="D3" s="2488"/>
      <c r="E3" s="2488"/>
      <c r="F3" s="2489"/>
      <c r="G3" s="1071"/>
      <c r="H3" s="1071"/>
    </row>
    <row r="4" spans="1:8" ht="14.25" customHeight="1" x14ac:dyDescent="0.2">
      <c r="A4" s="2493" t="s">
        <v>1985</v>
      </c>
      <c r="B4" s="2494"/>
      <c r="C4" s="2494"/>
      <c r="D4" s="2494"/>
      <c r="E4" s="2494"/>
      <c r="F4" s="2495"/>
      <c r="G4" s="1071"/>
      <c r="H4" s="1071"/>
    </row>
    <row r="5" spans="1:8" ht="14.25" customHeight="1" x14ac:dyDescent="0.2">
      <c r="A5" s="2496" t="s">
        <v>1981</v>
      </c>
      <c r="B5" s="2497"/>
      <c r="C5" s="2497"/>
      <c r="D5" s="2497"/>
      <c r="E5" s="2497"/>
      <c r="F5" s="2498"/>
      <c r="G5" s="1071"/>
      <c r="H5" s="1071"/>
    </row>
    <row r="6" spans="1:8" s="1072" customFormat="1" ht="41.25" customHeight="1" x14ac:dyDescent="0.2">
      <c r="A6" s="2490" t="s">
        <v>1691</v>
      </c>
      <c r="B6" s="2491"/>
      <c r="C6" s="2491"/>
      <c r="D6" s="2491"/>
      <c r="E6" s="2491"/>
      <c r="F6" s="249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16542010</v>
      </c>
      <c r="C8" s="1812">
        <f>'Acct Summary 7-8'!D8</f>
        <v>2347950</v>
      </c>
      <c r="D8" s="1812">
        <f>'Acct Summary 7-8'!F8</f>
        <v>756712</v>
      </c>
      <c r="E8" s="1812">
        <f>'Acct Summary 7-8'!I8</f>
        <v>48803</v>
      </c>
      <c r="F8" s="1812">
        <f>SUM(B8:E8)</f>
        <v>19695475</v>
      </c>
    </row>
    <row r="9" spans="1:8" s="1076" customFormat="1" ht="14.25" customHeight="1" thickBot="1" x14ac:dyDescent="0.25">
      <c r="A9" s="1075" t="s">
        <v>1369</v>
      </c>
      <c r="B9" s="1813">
        <f>'Acct Summary 7-8'!C17</f>
        <v>15881612</v>
      </c>
      <c r="C9" s="1813">
        <f>'Acct Summary 7-8'!D17</f>
        <v>2146801</v>
      </c>
      <c r="D9" s="1813">
        <f>'Acct Summary 7-8'!F17</f>
        <v>738561</v>
      </c>
      <c r="E9" s="1812"/>
      <c r="F9" s="1812">
        <f>SUM(B9:E9)</f>
        <v>18766974</v>
      </c>
    </row>
    <row r="10" spans="1:8" s="1076" customFormat="1" ht="14.25" thickTop="1" thickBot="1" x14ac:dyDescent="0.25">
      <c r="A10" s="1077" t="s">
        <v>1370</v>
      </c>
      <c r="B10" s="1814">
        <f>(B8-B9)</f>
        <v>660398</v>
      </c>
      <c r="C10" s="1814">
        <f>(C8-C9)</f>
        <v>201149</v>
      </c>
      <c r="D10" s="1814">
        <f>(D8-D9)</f>
        <v>18151</v>
      </c>
      <c r="E10" s="1813">
        <f>(E8-E9)</f>
        <v>48803</v>
      </c>
      <c r="F10" s="1815">
        <f>SUM(F8-F9)</f>
        <v>928501</v>
      </c>
    </row>
    <row r="11" spans="1:8" s="1076" customFormat="1" ht="14.25" thickTop="1" thickBot="1" x14ac:dyDescent="0.25">
      <c r="A11" s="1078" t="s">
        <v>1982</v>
      </c>
      <c r="B11" s="1816">
        <f>'Acct Summary 7-8'!C81</f>
        <v>8931079</v>
      </c>
      <c r="C11" s="1816">
        <f>'Acct Summary 7-8'!D81</f>
        <v>1877728</v>
      </c>
      <c r="D11" s="1816">
        <f>'Acct Summary 7-8'!F81</f>
        <v>831096</v>
      </c>
      <c r="E11" s="1816">
        <f>'Acct Summary 7-8'!I81</f>
        <v>535834</v>
      </c>
      <c r="F11" s="1817">
        <f>SUM(B11:E11)</f>
        <v>12175737</v>
      </c>
    </row>
    <row r="12" spans="1:8" ht="16.5" customHeight="1" thickTop="1" x14ac:dyDescent="0.2">
      <c r="A12" s="1079"/>
      <c r="B12" s="1080"/>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1081"/>
      <c r="B13" s="1082"/>
      <c r="C13" s="2478"/>
      <c r="D13" s="2479"/>
      <c r="E13" s="2479"/>
      <c r="F13" s="2480"/>
      <c r="H13" s="1071"/>
    </row>
    <row r="14" spans="1:8" ht="19.5" customHeight="1" x14ac:dyDescent="0.2">
      <c r="A14" s="1081"/>
      <c r="B14" s="1082"/>
      <c r="C14" s="2478"/>
      <c r="D14" s="2479"/>
      <c r="E14" s="2479"/>
      <c r="F14" s="2480"/>
      <c r="H14" s="1071"/>
    </row>
    <row r="15" spans="1:8" ht="17.25" customHeight="1" x14ac:dyDescent="0.2">
      <c r="A15" s="1081"/>
      <c r="B15" s="1082"/>
      <c r="C15" s="2481"/>
      <c r="D15" s="2482"/>
      <c r="E15" s="2482"/>
      <c r="F15" s="2483"/>
      <c r="H15" s="1071"/>
    </row>
    <row r="16" spans="1:8" s="310" customFormat="1" ht="51.75" hidden="1" customHeight="1" x14ac:dyDescent="0.2">
      <c r="A16" s="2477" t="s">
        <v>1687</v>
      </c>
      <c r="B16" s="2477"/>
      <c r="C16" s="2477"/>
      <c r="D16" s="2477"/>
      <c r="E16" s="247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99" t="s">
        <v>665</v>
      </c>
      <c r="B3" s="2500"/>
      <c r="C3" s="2500"/>
      <c r="D3" s="2501"/>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510" t="s">
        <v>1504</v>
      </c>
      <c r="D7" s="2511"/>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502" t="s">
        <v>1008</v>
      </c>
      <c r="B15" s="2503"/>
      <c r="C15" s="2503"/>
      <c r="D15" s="2504"/>
    </row>
    <row r="16" spans="1:4" s="665" customFormat="1" ht="24" customHeight="1" x14ac:dyDescent="0.2">
      <c r="A16" s="2505" t="s">
        <v>663</v>
      </c>
      <c r="B16" s="2506"/>
      <c r="C16" s="2506"/>
      <c r="D16" s="2507"/>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514" t="s">
        <v>314</v>
      </c>
      <c r="D21" s="2515"/>
    </row>
    <row r="22" spans="1:10" ht="12.75" x14ac:dyDescent="0.2">
      <c r="A22" s="1136"/>
      <c r="B22" s="1137">
        <v>2</v>
      </c>
      <c r="C22" s="2512" t="s">
        <v>1524</v>
      </c>
      <c r="D22" s="251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516" t="s">
        <v>536</v>
      </c>
      <c r="D43" s="251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508" t="s">
        <v>784</v>
      </c>
      <c r="D56" s="250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508" t="s">
        <v>1696</v>
      </c>
      <c r="D70" s="250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28037229026</v>
      </c>
    </row>
    <row r="3" spans="1:2" x14ac:dyDescent="0.2">
      <c r="A3" t="s">
        <v>956</v>
      </c>
      <c r="B3" s="138" t="str">
        <f>COVER!A15</f>
        <v>Henry</v>
      </c>
    </row>
    <row r="4" spans="1:2" x14ac:dyDescent="0.2">
      <c r="A4" t="s">
        <v>1007</v>
      </c>
      <c r="B4" s="138" t="str">
        <f>COVER!A17</f>
        <v>Kewanee CUSD 229</v>
      </c>
    </row>
    <row r="5" spans="1:2" x14ac:dyDescent="0.2">
      <c r="A5" t="s">
        <v>704</v>
      </c>
      <c r="B5" s="138" t="str">
        <f>COVER!A38</f>
        <v xml:space="preserve">Dr. Chris Sullens </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rrumbold@gornezcpa.com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6398137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8931079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8866044</v>
      </c>
      <c r="D92" s="2" t="str">
        <f t="shared" si="0"/>
        <v>Error?</v>
      </c>
    </row>
    <row r="93" spans="1:4" x14ac:dyDescent="0.2">
      <c r="A93" s="5">
        <v>32</v>
      </c>
      <c r="B93" s="138">
        <f>'Assets-Liab 5-6'!C41</f>
        <v>8931079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627093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1877728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1877728</v>
      </c>
      <c r="D123" s="2" t="str">
        <f t="shared" si="0"/>
        <v>Error?</v>
      </c>
    </row>
    <row r="124" spans="1:4" x14ac:dyDescent="0.2">
      <c r="A124" s="5">
        <v>63</v>
      </c>
      <c r="B124" s="138">
        <f>'Assets-Liab 5-6'!D41</f>
        <v>1877728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1013471</v>
      </c>
      <c r="D129" s="2" t="str">
        <f t="shared" si="1"/>
        <v>Error?</v>
      </c>
    </row>
    <row r="130" spans="1:4" x14ac:dyDescent="0.2">
      <c r="A130" s="5">
        <v>69</v>
      </c>
      <c r="B130" s="138">
        <f>'Assets-Liab 5-6'!E12</f>
        <v>0</v>
      </c>
      <c r="D130" s="2" t="str">
        <f t="shared" si="1"/>
        <v>Error?</v>
      </c>
    </row>
    <row r="131" spans="1:4" x14ac:dyDescent="0.2">
      <c r="A131" s="5">
        <v>70</v>
      </c>
      <c r="B131" s="138">
        <f>'Assets-Liab 5-6'!E13</f>
        <v>1923573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112130</v>
      </c>
      <c r="D140" s="2" t="str">
        <f t="shared" si="1"/>
        <v>Error?</v>
      </c>
    </row>
    <row r="141" spans="1:4" x14ac:dyDescent="0.2">
      <c r="A141" s="5">
        <v>80</v>
      </c>
      <c r="B141" s="138">
        <f>'Assets-Liab 5-6'!E41</f>
        <v>1923573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416808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831096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831096</v>
      </c>
      <c r="D170" s="2" t="str">
        <f t="shared" si="1"/>
        <v>Error?</v>
      </c>
    </row>
    <row r="171" spans="1:4" x14ac:dyDescent="0.2">
      <c r="A171" s="5">
        <v>110</v>
      </c>
      <c r="B171" s="138">
        <f>'Assets-Liab 5-6'!F41</f>
        <v>831096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976591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381041</v>
      </c>
      <c r="D189" s="2" t="str">
        <f t="shared" si="1"/>
        <v>Error?</v>
      </c>
    </row>
    <row r="190" spans="1:4" x14ac:dyDescent="0.2">
      <c r="A190" s="5">
        <v>129</v>
      </c>
      <c r="B190" s="138">
        <f>'Assets-Liab 5-6'!G41</f>
        <v>976591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1211408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1211408</v>
      </c>
      <c r="D212" s="2" t="str">
        <f t="shared" si="2"/>
        <v>Error?</v>
      </c>
    </row>
    <row r="213" spans="1:4" x14ac:dyDescent="0.2">
      <c r="A213" s="12">
        <v>152</v>
      </c>
      <c r="B213" s="138">
        <f>'Assets-Liab 5-6'!H41</f>
        <v>1211408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425290</v>
      </c>
      <c r="D273" s="2" t="str">
        <f t="shared" si="3"/>
        <v>Error?</v>
      </c>
    </row>
    <row r="274" spans="1:4" x14ac:dyDescent="0.2">
      <c r="A274" s="5">
        <v>213</v>
      </c>
      <c r="B274" s="138">
        <f>'Assets-Liab 5-6'!M17</f>
        <v>26499604</v>
      </c>
      <c r="D274" s="2" t="str">
        <f t="shared" si="3"/>
        <v>Error?</v>
      </c>
    </row>
    <row r="275" spans="1:4" x14ac:dyDescent="0.2">
      <c r="A275" s="5">
        <v>214</v>
      </c>
      <c r="B275" s="138">
        <f>'Assets-Liab 5-6'!M18</f>
        <v>3171205</v>
      </c>
      <c r="D275" s="2" t="str">
        <f t="shared" si="3"/>
        <v>Error?</v>
      </c>
    </row>
    <row r="276" spans="1:4" x14ac:dyDescent="0.2">
      <c r="A276" s="5">
        <v>215</v>
      </c>
      <c r="B276" s="138">
        <f>'Assets-Liab 5-6'!M19</f>
        <v>5576028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35672127</v>
      </c>
      <c r="C279" s="2" t="s">
        <v>573</v>
      </c>
      <c r="D279" s="2" t="str">
        <f t="shared" si="3"/>
        <v>Error?</v>
      </c>
    </row>
    <row r="280" spans="1:4" x14ac:dyDescent="0.2">
      <c r="A280" s="5">
        <v>219</v>
      </c>
      <c r="B280" s="138">
        <f>'Assets-Liab 5-6'!M40</f>
        <v>35672127</v>
      </c>
      <c r="D280" s="2" t="str">
        <f t="shared" si="3"/>
        <v>Error?</v>
      </c>
    </row>
    <row r="281" spans="1:4" x14ac:dyDescent="0.2">
      <c r="A281" s="5">
        <v>220</v>
      </c>
      <c r="B281" s="138">
        <f>'Assets-Liab 5-6'!M41</f>
        <v>35672127</v>
      </c>
      <c r="C281" s="2" t="s">
        <v>573</v>
      </c>
      <c r="D281" s="2" t="str">
        <f t="shared" si="3"/>
        <v>Error?</v>
      </c>
    </row>
    <row r="282" spans="1:4" x14ac:dyDescent="0.2">
      <c r="A282" s="5">
        <v>221</v>
      </c>
      <c r="B282" s="138">
        <f>'Assets-Liab 5-6'!N21</f>
        <v>1923573</v>
      </c>
      <c r="D282" s="2" t="str">
        <f t="shared" si="3"/>
        <v>Error?</v>
      </c>
    </row>
    <row r="283" spans="1:4" x14ac:dyDescent="0.2">
      <c r="A283" s="5">
        <v>222</v>
      </c>
      <c r="B283" s="138">
        <f>'Assets-Liab 5-6'!N22</f>
        <v>4671427</v>
      </c>
      <c r="D283" s="2" t="str">
        <f t="shared" si="3"/>
        <v>Error?</v>
      </c>
    </row>
    <row r="284" spans="1:4" x14ac:dyDescent="0.2">
      <c r="A284" s="5">
        <v>223</v>
      </c>
      <c r="B284" s="138">
        <f>'Assets-Liab 5-6'!N23</f>
        <v>6595000</v>
      </c>
      <c r="C284" s="2" t="s">
        <v>573</v>
      </c>
      <c r="D284" s="2" t="str">
        <f t="shared" si="3"/>
        <v>Error?</v>
      </c>
    </row>
    <row r="285" spans="1:4" x14ac:dyDescent="0.2">
      <c r="A285" s="5">
        <v>224</v>
      </c>
      <c r="B285" s="138">
        <f>'Assets-Liab 5-6'!N36</f>
        <v>6595000</v>
      </c>
      <c r="D285" s="2" t="str">
        <f t="shared" si="3"/>
        <v>Error?</v>
      </c>
    </row>
    <row r="286" spans="1:4" x14ac:dyDescent="0.2">
      <c r="A286" s="10">
        <v>225</v>
      </c>
      <c r="D286" s="2" t="str">
        <f t="shared" si="3"/>
        <v>OK</v>
      </c>
    </row>
    <row r="287" spans="1:4" x14ac:dyDescent="0.2">
      <c r="A287" s="5">
        <v>226</v>
      </c>
      <c r="B287" s="138">
        <f>'Assets-Liab 5-6'!N37</f>
        <v>6595000</v>
      </c>
      <c r="C287" s="2" t="s">
        <v>573</v>
      </c>
      <c r="D287" s="2" t="str">
        <f t="shared" si="3"/>
        <v>Error?</v>
      </c>
    </row>
    <row r="288" spans="1:4" x14ac:dyDescent="0.2">
      <c r="A288" s="5">
        <v>227</v>
      </c>
      <c r="B288" s="138">
        <f>'Assets-Liab 5-6'!N41</f>
        <v>6595000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650000</v>
      </c>
      <c r="D651" s="2" t="str">
        <f t="shared" si="9"/>
        <v>Error?</v>
      </c>
    </row>
    <row r="652" spans="1:4" x14ac:dyDescent="0.2">
      <c r="A652" s="5">
        <v>591</v>
      </c>
      <c r="B652" s="138">
        <f>'Acct Summary 7-8'!I34</f>
        <v>15549</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5444913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74331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365880</v>
      </c>
      <c r="D717" s="2" t="str">
        <f t="shared" si="10"/>
        <v>Error?</v>
      </c>
    </row>
    <row r="718" spans="1:4" x14ac:dyDescent="0.2">
      <c r="A718" s="5">
        <v>657</v>
      </c>
      <c r="B718" s="138">
        <f>'Expenditures 15-22'!C14</f>
        <v>372438</v>
      </c>
      <c r="D718" s="2" t="str">
        <f t="shared" si="10"/>
        <v>Error?</v>
      </c>
    </row>
    <row r="719" spans="1:4" x14ac:dyDescent="0.2">
      <c r="A719" s="5">
        <v>658</v>
      </c>
      <c r="B719" s="138">
        <f>'Expenditures 15-22'!C15</f>
        <v>9041</v>
      </c>
      <c r="D719" s="2" t="str">
        <f t="shared" si="10"/>
        <v>Error?</v>
      </c>
    </row>
    <row r="720" spans="1:4" x14ac:dyDescent="0.2">
      <c r="A720" s="5">
        <v>659</v>
      </c>
      <c r="B720" s="138">
        <f>'Expenditures 15-22'!C33</f>
        <v>7343200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237621</v>
      </c>
      <c r="D722" s="2" t="str">
        <f t="shared" si="10"/>
        <v>Error?</v>
      </c>
    </row>
    <row r="723" spans="1:4" x14ac:dyDescent="0.2">
      <c r="A723" s="5">
        <v>662</v>
      </c>
      <c r="B723" s="138">
        <f>'Expenditures 15-22'!C38</f>
        <v>121300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358921</v>
      </c>
      <c r="C727" s="2" t="s">
        <v>573</v>
      </c>
      <c r="D727" s="2" t="str">
        <f t="shared" si="10"/>
        <v>Error?</v>
      </c>
    </row>
    <row r="728" spans="1:4" x14ac:dyDescent="0.2">
      <c r="A728" s="5">
        <v>667</v>
      </c>
      <c r="B728" s="138">
        <f>'Expenditures 15-22'!C44</f>
        <v>58119</v>
      </c>
      <c r="D728" s="2" t="str">
        <f t="shared" si="10"/>
        <v>Error?</v>
      </c>
    </row>
    <row r="729" spans="1:4" x14ac:dyDescent="0.2">
      <c r="A729" s="5">
        <v>668</v>
      </c>
      <c r="B729" s="138">
        <f>'Expenditures 15-22'!C45</f>
        <v>100590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158709</v>
      </c>
      <c r="C731" s="2" t="s">
        <v>573</v>
      </c>
      <c r="D731" s="2" t="str">
        <f t="shared" si="10"/>
        <v>Error?</v>
      </c>
    </row>
    <row r="732" spans="1:4" x14ac:dyDescent="0.2">
      <c r="A732" s="5">
        <v>671</v>
      </c>
      <c r="B732" s="138">
        <f>'Expenditures 15-22'!C49</f>
        <v>4538</v>
      </c>
      <c r="D732" s="2" t="str">
        <f t="shared" si="10"/>
        <v>Error?</v>
      </c>
    </row>
    <row r="733" spans="1:4" x14ac:dyDescent="0.2">
      <c r="A733" s="5">
        <v>672</v>
      </c>
      <c r="B733" s="138">
        <f>'Expenditures 15-22'!C50</f>
        <v>184352</v>
      </c>
      <c r="D733" s="2" t="str">
        <f t="shared" si="10"/>
        <v>Error?</v>
      </c>
    </row>
    <row r="734" spans="1:4" x14ac:dyDescent="0.2">
      <c r="A734" s="5">
        <v>673</v>
      </c>
      <c r="B734" s="138">
        <f>'Expenditures 15-22'!C53</f>
        <v>215895</v>
      </c>
      <c r="C734" s="2" t="s">
        <v>573</v>
      </c>
      <c r="D734" s="2" t="str">
        <f t="shared" si="10"/>
        <v>Error?</v>
      </c>
    </row>
    <row r="735" spans="1:4" x14ac:dyDescent="0.2">
      <c r="A735" s="5">
        <v>674</v>
      </c>
      <c r="B735" s="138">
        <f>'Expenditures 15-22'!C55</f>
        <v>1031264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1031264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227741</v>
      </c>
      <c r="D739" s="2" t="str">
        <f t="shared" si="10"/>
        <v>Error?</v>
      </c>
    </row>
    <row r="740" spans="1:4" x14ac:dyDescent="0.2">
      <c r="A740" s="5">
        <v>679</v>
      </c>
      <c r="B740" s="138">
        <f>'Expenditures 15-22'!C61</f>
        <v>37757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379441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644939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34211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34211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2443939</v>
      </c>
      <c r="C755" s="2" t="s">
        <v>573</v>
      </c>
      <c r="D755" s="2" t="str">
        <f t="shared" si="10"/>
        <v>Error?</v>
      </c>
    </row>
    <row r="756" spans="1:4" x14ac:dyDescent="0.2">
      <c r="A756" s="5">
        <v>695</v>
      </c>
      <c r="B756" s="138">
        <f>'Expenditures 15-22'!C75</f>
        <v>90993</v>
      </c>
      <c r="D756" s="2" t="str">
        <f t="shared" si="10"/>
        <v>Error?</v>
      </c>
    </row>
    <row r="757" spans="1:4" x14ac:dyDescent="0.2">
      <c r="A757" s="5">
        <v>696</v>
      </c>
      <c r="B757" s="138">
        <f>'Expenditures 15-22'!C114</f>
        <v>9878132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591875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1461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43406</v>
      </c>
      <c r="D775" s="2" t="str">
        <f t="shared" si="11"/>
        <v>Error?</v>
      </c>
    </row>
    <row r="776" spans="1:4" x14ac:dyDescent="0.2">
      <c r="A776" s="5">
        <v>715</v>
      </c>
      <c r="B776" s="138">
        <f>'Expenditures 15-22'!D14</f>
        <v>10008</v>
      </c>
      <c r="D776" s="2" t="str">
        <f t="shared" si="11"/>
        <v>Error?</v>
      </c>
    </row>
    <row r="777" spans="1:4" x14ac:dyDescent="0.2">
      <c r="A777" s="5">
        <v>716</v>
      </c>
      <c r="B777" s="138">
        <f>'Expenditures 15-22'!D15</f>
        <v>136</v>
      </c>
      <c r="D777" s="2" t="str">
        <f t="shared" si="11"/>
        <v>Error?</v>
      </c>
    </row>
    <row r="778" spans="1:4" x14ac:dyDescent="0.2">
      <c r="A778" s="5">
        <v>717</v>
      </c>
      <c r="B778" s="138">
        <f>'Expenditures 15-22'!D33</f>
        <v>799560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34340</v>
      </c>
      <c r="D780" s="2" t="str">
        <f t="shared" si="11"/>
        <v>Error?</v>
      </c>
    </row>
    <row r="781" spans="1:4" x14ac:dyDescent="0.2">
      <c r="A781" s="5">
        <v>720</v>
      </c>
      <c r="B781" s="138">
        <f>'Expenditures 15-22'!D38</f>
        <v>13875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48215</v>
      </c>
      <c r="C785" s="2" t="s">
        <v>573</v>
      </c>
      <c r="D785" s="2" t="str">
        <f t="shared" si="11"/>
        <v>Error?</v>
      </c>
    </row>
    <row r="786" spans="1:4" x14ac:dyDescent="0.2">
      <c r="A786" s="5">
        <v>725</v>
      </c>
      <c r="B786" s="138">
        <f>'Expenditures 15-22'!D44</f>
        <v>15793</v>
      </c>
      <c r="D786" s="2" t="str">
        <f t="shared" si="11"/>
        <v>Error?</v>
      </c>
    </row>
    <row r="787" spans="1:4" x14ac:dyDescent="0.2">
      <c r="A787" s="5">
        <v>726</v>
      </c>
      <c r="B787" s="138">
        <f>'Expenditures 15-22'!D45</f>
        <v>15943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31736</v>
      </c>
      <c r="C789" s="2" t="s">
        <v>573</v>
      </c>
      <c r="D789" s="2" t="str">
        <f t="shared" si="11"/>
        <v>Error?</v>
      </c>
    </row>
    <row r="790" spans="1:4" x14ac:dyDescent="0.2">
      <c r="A790" s="5">
        <v>729</v>
      </c>
      <c r="B790" s="138">
        <f>'Expenditures 15-22'!D49</f>
        <v>2675</v>
      </c>
      <c r="D790" s="2" t="str">
        <f t="shared" si="11"/>
        <v>Error?</v>
      </c>
    </row>
    <row r="791" spans="1:4" x14ac:dyDescent="0.2">
      <c r="A791" s="5">
        <v>730</v>
      </c>
      <c r="B791" s="138">
        <f>'Expenditures 15-22'!D50</f>
        <v>27006</v>
      </c>
      <c r="D791" s="2" t="str">
        <f t="shared" si="11"/>
        <v>Error?</v>
      </c>
    </row>
    <row r="792" spans="1:4" x14ac:dyDescent="0.2">
      <c r="A792" s="5">
        <v>731</v>
      </c>
      <c r="B792" s="138">
        <f>'Expenditures 15-22'!D53</f>
        <v>36469</v>
      </c>
      <c r="C792" s="2" t="s">
        <v>573</v>
      </c>
      <c r="D792" s="2" t="str">
        <f t="shared" si="11"/>
        <v>Error?</v>
      </c>
    </row>
    <row r="793" spans="1:4" x14ac:dyDescent="0.2">
      <c r="A793" s="5">
        <v>732</v>
      </c>
      <c r="B793" s="138">
        <f>'Expenditures 15-22'!D55</f>
        <v>109508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109508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26239</v>
      </c>
      <c r="D797" s="2" t="str">
        <f t="shared" si="11"/>
        <v>Error?</v>
      </c>
    </row>
    <row r="798" spans="1:4" x14ac:dyDescent="0.2">
      <c r="A798" s="5">
        <v>737</v>
      </c>
      <c r="B798" s="138">
        <f>'Expenditures 15-22'!D61</f>
        <v>6763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97003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130005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6777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6777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362710</v>
      </c>
      <c r="C813" s="2" t="s">
        <v>573</v>
      </c>
      <c r="D813" s="2" t="str">
        <f t="shared" si="11"/>
        <v>Error?</v>
      </c>
    </row>
    <row r="814" spans="1:4" x14ac:dyDescent="0.2">
      <c r="A814" s="5">
        <v>753</v>
      </c>
      <c r="B814" s="138">
        <f>'Expenditures 15-22'!D75</f>
        <v>12694</v>
      </c>
      <c r="D814" s="2" t="str">
        <f t="shared" si="11"/>
        <v>Error?</v>
      </c>
    </row>
    <row r="815" spans="1:4" x14ac:dyDescent="0.2">
      <c r="A815" s="5">
        <v>754</v>
      </c>
      <c r="B815" s="138">
        <f>'Expenditures 15-22'!D114</f>
        <v>1174964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142807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4935</v>
      </c>
      <c r="D833" s="2" t="str">
        <f t="shared" si="12"/>
        <v>Error?</v>
      </c>
    </row>
    <row r="834" spans="1:4" x14ac:dyDescent="0.2">
      <c r="A834" s="5">
        <v>773</v>
      </c>
      <c r="B834" s="138">
        <f>'Expenditures 15-22'!E14</f>
        <v>152411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940425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270</v>
      </c>
      <c r="D838" s="2" t="str">
        <f t="shared" si="12"/>
        <v>Error?</v>
      </c>
    </row>
    <row r="839" spans="1:4" x14ac:dyDescent="0.2">
      <c r="A839" s="5">
        <v>778</v>
      </c>
      <c r="B839" s="138">
        <f>'Expenditures 15-22'!E38</f>
        <v>4648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4918</v>
      </c>
      <c r="C843" s="2" t="s">
        <v>573</v>
      </c>
      <c r="D843" s="2" t="str">
        <f t="shared" si="12"/>
        <v>Error?</v>
      </c>
    </row>
    <row r="844" spans="1:4" x14ac:dyDescent="0.2">
      <c r="A844" s="5">
        <v>783</v>
      </c>
      <c r="B844" s="138">
        <f>'Expenditures 15-22'!E44</f>
        <v>86665</v>
      </c>
      <c r="D844" s="2" t="str">
        <f t="shared" si="12"/>
        <v>Error?</v>
      </c>
    </row>
    <row r="845" spans="1:4" x14ac:dyDescent="0.2">
      <c r="A845" s="5">
        <v>784</v>
      </c>
      <c r="B845" s="138">
        <f>'Expenditures 15-22'!E45</f>
        <v>735</v>
      </c>
      <c r="D845" s="2" t="str">
        <f t="shared" si="12"/>
        <v>Error?</v>
      </c>
    </row>
    <row r="846" spans="1:4" x14ac:dyDescent="0.2">
      <c r="A846" s="5">
        <v>785</v>
      </c>
      <c r="B846" s="138">
        <f>'Expenditures 15-22'!E46</f>
        <v>33230</v>
      </c>
      <c r="D846" s="2" t="str">
        <f t="shared" si="12"/>
        <v>Error?</v>
      </c>
    </row>
    <row r="847" spans="1:4" x14ac:dyDescent="0.2">
      <c r="A847" s="5">
        <v>786</v>
      </c>
      <c r="B847" s="138">
        <f>'Expenditures 15-22'!E47</f>
        <v>120630</v>
      </c>
      <c r="C847" s="2" t="s">
        <v>573</v>
      </c>
      <c r="D847" s="2" t="str">
        <f t="shared" si="12"/>
        <v>Error?</v>
      </c>
    </row>
    <row r="848" spans="1:4" x14ac:dyDescent="0.2">
      <c r="A848" s="5">
        <v>787</v>
      </c>
      <c r="B848" s="138">
        <f>'Expenditures 15-22'!E49</f>
        <v>106258</v>
      </c>
      <c r="D848" s="2" t="str">
        <f t="shared" si="12"/>
        <v>Error?</v>
      </c>
    </row>
    <row r="849" spans="1:4" x14ac:dyDescent="0.2">
      <c r="A849" s="5">
        <v>788</v>
      </c>
      <c r="B849" s="138">
        <f>'Expenditures 15-22'!E50</f>
        <v>3790</v>
      </c>
      <c r="D849" s="2" t="str">
        <f t="shared" si="12"/>
        <v>Error?</v>
      </c>
    </row>
    <row r="850" spans="1:4" x14ac:dyDescent="0.2">
      <c r="A850" s="5">
        <v>789</v>
      </c>
      <c r="B850" s="138">
        <f>'Expenditures 15-22'!E53</f>
        <v>110048</v>
      </c>
      <c r="C850" s="2" t="s">
        <v>573</v>
      </c>
      <c r="D850" s="2" t="str">
        <f t="shared" si="12"/>
        <v>Error?</v>
      </c>
    </row>
    <row r="851" spans="1:4" x14ac:dyDescent="0.2">
      <c r="A851" s="5">
        <v>790</v>
      </c>
      <c r="B851" s="138">
        <f>'Expenditures 15-22'!E55</f>
        <v>131334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131334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18030</v>
      </c>
      <c r="D855" s="2" t="str">
        <f t="shared" si="12"/>
        <v>Error?</v>
      </c>
    </row>
    <row r="856" spans="1:4" x14ac:dyDescent="0.2">
      <c r="A856" s="5">
        <v>795</v>
      </c>
      <c r="B856" s="138">
        <f>'Expenditures 15-22'!E61</f>
        <v>26730</v>
      </c>
      <c r="D856" s="2" t="str">
        <f t="shared" si="12"/>
        <v>Error?</v>
      </c>
    </row>
    <row r="857" spans="1:4" x14ac:dyDescent="0.2">
      <c r="A857" s="5">
        <v>796</v>
      </c>
      <c r="B857" s="138">
        <f>'Expenditures 15-22'!E62</f>
        <v>175900</v>
      </c>
      <c r="D857" s="2" t="str">
        <f t="shared" si="12"/>
        <v>Error?</v>
      </c>
    </row>
    <row r="858" spans="1:4" x14ac:dyDescent="0.2">
      <c r="A858" s="5">
        <v>797</v>
      </c>
      <c r="B858" s="138">
        <f>'Expenditures 15-22'!E63</f>
        <v>20676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241336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183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6699</v>
      </c>
      <c r="D867" s="2" t="str">
        <f t="shared" si="12"/>
        <v>Error?</v>
      </c>
    </row>
    <row r="868" spans="1:4" x14ac:dyDescent="0.2">
      <c r="A868" s="10">
        <v>807</v>
      </c>
      <c r="D868" s="2" t="str">
        <f t="shared" si="12"/>
        <v>OK</v>
      </c>
    </row>
    <row r="869" spans="1:4" x14ac:dyDescent="0.2">
      <c r="A869" s="5">
        <v>808</v>
      </c>
      <c r="B869" s="138">
        <f>'Expenditures 15-22'!E72</f>
        <v>6882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615148</v>
      </c>
      <c r="C871" s="2" t="s">
        <v>573</v>
      </c>
      <c r="D871" s="2" t="str">
        <f t="shared" si="12"/>
        <v>Error?</v>
      </c>
    </row>
    <row r="872" spans="1:4" x14ac:dyDescent="0.2">
      <c r="A872" s="5">
        <v>811</v>
      </c>
      <c r="B872" s="138">
        <f>'Expenditures 15-22'!E75</f>
        <v>28480</v>
      </c>
      <c r="D872" s="2" t="str">
        <f t="shared" si="12"/>
        <v>Error?</v>
      </c>
    </row>
    <row r="873" spans="1:4" x14ac:dyDescent="0.2">
      <c r="A873" s="5">
        <v>812</v>
      </c>
      <c r="B873" s="138">
        <f>'Expenditures 15-22'!E114</f>
        <v>1606048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258351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26910</v>
      </c>
      <c r="D891" s="2" t="str">
        <f t="shared" si="12"/>
        <v>Error?</v>
      </c>
    </row>
    <row r="892" spans="1:4" x14ac:dyDescent="0.2">
      <c r="A892" s="5">
        <v>831</v>
      </c>
      <c r="B892" s="138">
        <f>'Expenditures 15-22'!F14</f>
        <v>116957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439999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4191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4191</v>
      </c>
      <c r="C901" s="2" t="s">
        <v>573</v>
      </c>
      <c r="D901" s="2" t="str">
        <f t="shared" si="13"/>
        <v>Error?</v>
      </c>
    </row>
    <row r="902" spans="1:4" x14ac:dyDescent="0.2">
      <c r="A902" s="5">
        <v>841</v>
      </c>
      <c r="B902" s="138">
        <f>'Expenditures 15-22'!F44</f>
        <v>415</v>
      </c>
      <c r="D902" s="2" t="str">
        <f t="shared" si="13"/>
        <v>Error?</v>
      </c>
    </row>
    <row r="903" spans="1:4" x14ac:dyDescent="0.2">
      <c r="A903" s="5">
        <v>842</v>
      </c>
      <c r="B903" s="138">
        <f>'Expenditures 15-22'!F45</f>
        <v>29834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30249</v>
      </c>
      <c r="C905" s="2" t="s">
        <v>573</v>
      </c>
      <c r="D905" s="2" t="str">
        <f t="shared" si="13"/>
        <v>Error?</v>
      </c>
    </row>
    <row r="906" spans="1:4" x14ac:dyDescent="0.2">
      <c r="A906" s="5">
        <v>845</v>
      </c>
      <c r="B906" s="138">
        <f>'Expenditures 15-22'!F49</f>
        <v>6267</v>
      </c>
      <c r="D906" s="2" t="str">
        <f t="shared" si="13"/>
        <v>Error?</v>
      </c>
    </row>
    <row r="907" spans="1:4" x14ac:dyDescent="0.2">
      <c r="A907" s="5">
        <v>846</v>
      </c>
      <c r="B907" s="138">
        <f>'Expenditures 15-22'!F50</f>
        <v>878</v>
      </c>
      <c r="D907" s="2" t="str">
        <f t="shared" si="13"/>
        <v>Error?</v>
      </c>
    </row>
    <row r="908" spans="1:4" x14ac:dyDescent="0.2">
      <c r="A908" s="5">
        <v>847</v>
      </c>
      <c r="B908" s="138">
        <f>'Expenditures 15-22'!F53</f>
        <v>8601</v>
      </c>
      <c r="C908" s="2" t="s">
        <v>573</v>
      </c>
      <c r="D908" s="2" t="str">
        <f t="shared" si="13"/>
        <v>Error?</v>
      </c>
    </row>
    <row r="909" spans="1:4" x14ac:dyDescent="0.2">
      <c r="A909" s="5">
        <v>848</v>
      </c>
      <c r="B909" s="138">
        <f>'Expenditures 15-22'!F55</f>
        <v>18530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18530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10647</v>
      </c>
      <c r="D913" s="2" t="str">
        <f t="shared" si="13"/>
        <v>Error?</v>
      </c>
    </row>
    <row r="914" spans="1:4" x14ac:dyDescent="0.2">
      <c r="A914" s="5">
        <v>853</v>
      </c>
      <c r="B914" s="138">
        <f>'Expenditures 15-22'!F61</f>
        <v>16306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505277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532230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2666</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2666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596467</v>
      </c>
      <c r="C929" s="2" t="s">
        <v>573</v>
      </c>
      <c r="D929" s="2" t="str">
        <f t="shared" si="13"/>
        <v>Error?</v>
      </c>
    </row>
    <row r="930" spans="1:4" x14ac:dyDescent="0.2">
      <c r="A930" s="5">
        <v>869</v>
      </c>
      <c r="B930" s="138">
        <f>'Expenditures 15-22'!F75</f>
        <v>16316</v>
      </c>
      <c r="D930" s="2" t="str">
        <f t="shared" si="13"/>
        <v>Error?</v>
      </c>
    </row>
    <row r="931" spans="1:4" x14ac:dyDescent="0.2">
      <c r="A931" s="5">
        <v>870</v>
      </c>
      <c r="B931" s="138">
        <f>'Expenditures 15-22'!F114</f>
        <v>1052782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129206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3790</v>
      </c>
      <c r="D949" s="2" t="str">
        <f t="shared" si="13"/>
        <v>Error?</v>
      </c>
    </row>
    <row r="950" spans="1:4" x14ac:dyDescent="0.2">
      <c r="A950" s="5">
        <v>889</v>
      </c>
      <c r="B950" s="138">
        <f>'Expenditures 15-22'!G14</f>
        <v>52043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209237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2695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2695</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6052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6052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2567</v>
      </c>
      <c r="D965" s="2" t="str">
        <f t="shared" si="14"/>
        <v>Error?</v>
      </c>
    </row>
    <row r="966" spans="1:4" x14ac:dyDescent="0.2">
      <c r="A966" s="5">
        <v>905</v>
      </c>
      <c r="B966" s="138">
        <f>'Expenditures 15-22'!G53</f>
        <v>2567</v>
      </c>
      <c r="C966" s="2" t="s">
        <v>573</v>
      </c>
      <c r="D966" s="2" t="str">
        <f t="shared" si="14"/>
        <v>Error?</v>
      </c>
    </row>
    <row r="967" spans="1:4" x14ac:dyDescent="0.2">
      <c r="A967" s="5">
        <v>906</v>
      </c>
      <c r="B967" s="138">
        <f>'Expenditures 15-22'!G55</f>
        <v>2567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2567</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20097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20097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33978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243215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397355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2036</v>
      </c>
      <c r="D1023" s="2" t="str">
        <f t="shared" ref="D1023:D1086" si="15">IF(ISBLANK(B1023),"OK",IF(A1023-B1023=0,"OK","Error?"))</f>
        <v>Error?</v>
      </c>
    </row>
    <row r="1024" spans="1:4" x14ac:dyDescent="0.2">
      <c r="A1024" s="5">
        <v>963</v>
      </c>
      <c r="B1024" s="138">
        <f>'Expenditures 15-22'!H53</f>
        <v>2036</v>
      </c>
      <c r="C1024" s="2" t="s">
        <v>573</v>
      </c>
      <c r="D1024" s="2" t="str">
        <f t="shared" si="15"/>
        <v>Error?</v>
      </c>
    </row>
    <row r="1025" spans="1:4" x14ac:dyDescent="0.2">
      <c r="A1025" s="5">
        <v>964</v>
      </c>
      <c r="B1025" s="138">
        <f>'Expenditures 15-22'!H55</f>
        <v>2895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2895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4931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1524185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1926471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6567152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75792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444981</v>
      </c>
      <c r="C1105" s="2" t="s">
        <v>573</v>
      </c>
      <c r="D1105" s="2" t="str">
        <f t="shared" si="16"/>
        <v>Error?</v>
      </c>
    </row>
    <row r="1106" spans="1:4" x14ac:dyDescent="0.2">
      <c r="A1106" s="5">
        <v>1045</v>
      </c>
      <c r="B1106" s="138">
        <f>'Expenditures 15-22'!K14</f>
        <v>703857</v>
      </c>
      <c r="C1106" s="2" t="s">
        <v>573</v>
      </c>
      <c r="D1106" s="2" t="str">
        <f t="shared" si="16"/>
        <v>Error?</v>
      </c>
    </row>
    <row r="1107" spans="1:4" x14ac:dyDescent="0.2">
      <c r="A1107" s="5">
        <v>1046</v>
      </c>
      <c r="B1107" s="138">
        <f>'Expenditures 15-22'!K15</f>
        <v>9177</v>
      </c>
      <c r="C1107" s="2" t="s">
        <v>573</v>
      </c>
      <c r="D1107" s="2" t="str">
        <f t="shared" si="16"/>
        <v>Error?</v>
      </c>
    </row>
    <row r="1108" spans="1:4" x14ac:dyDescent="0.2">
      <c r="A1108" s="5">
        <v>1047</v>
      </c>
      <c r="B1108" s="138">
        <f>'Expenditures 15-22'!K33</f>
        <v>10129776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272231</v>
      </c>
      <c r="C1110" s="2" t="s">
        <v>573</v>
      </c>
      <c r="D1110" s="2" t="str">
        <f t="shared" si="16"/>
        <v>Error?</v>
      </c>
    </row>
    <row r="1111" spans="1:4" x14ac:dyDescent="0.2">
      <c r="A1111" s="5">
        <v>1050</v>
      </c>
      <c r="B1111" s="138">
        <f>'Expenditures 15-22'!K38</f>
        <v>146709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418940</v>
      </c>
      <c r="C1115" s="2" t="s">
        <v>573</v>
      </c>
      <c r="D1115" s="2" t="str">
        <f t="shared" si="16"/>
        <v>Error?</v>
      </c>
    </row>
    <row r="1116" spans="1:4" x14ac:dyDescent="0.2">
      <c r="A1116" s="5">
        <v>1055</v>
      </c>
      <c r="B1116" s="138">
        <f>'Expenditures 15-22'!K44</f>
        <v>160992</v>
      </c>
      <c r="C1116" s="2" t="s">
        <v>573</v>
      </c>
      <c r="D1116" s="2" t="str">
        <f t="shared" si="16"/>
        <v>Error?</v>
      </c>
    </row>
    <row r="1117" spans="1:4" x14ac:dyDescent="0.2">
      <c r="A1117" s="5">
        <v>1056</v>
      </c>
      <c r="B1117" s="138">
        <f>'Expenditures 15-22'!K45</f>
        <v>153154</v>
      </c>
      <c r="C1117" s="2" t="s">
        <v>573</v>
      </c>
      <c r="D1117" s="2" t="str">
        <f t="shared" si="16"/>
        <v>Error?</v>
      </c>
    </row>
    <row r="1118" spans="1:4" x14ac:dyDescent="0.2">
      <c r="A1118" s="5">
        <v>1057</v>
      </c>
      <c r="B1118" s="138">
        <f>'Expenditures 15-22'!K46</f>
        <v>33230</v>
      </c>
      <c r="C1118" s="2" t="s">
        <v>573</v>
      </c>
      <c r="D1118" s="2" t="str">
        <f t="shared" si="16"/>
        <v>Error?</v>
      </c>
    </row>
    <row r="1119" spans="1:4" x14ac:dyDescent="0.2">
      <c r="A1119" s="5">
        <v>1058</v>
      </c>
      <c r="B1119" s="138">
        <f>'Expenditures 15-22'!K47</f>
        <v>347376</v>
      </c>
      <c r="C1119" s="2" t="s">
        <v>573</v>
      </c>
      <c r="D1119" s="2" t="str">
        <f t="shared" si="16"/>
        <v>Error?</v>
      </c>
    </row>
    <row r="1120" spans="1:4" x14ac:dyDescent="0.2">
      <c r="A1120" s="5">
        <v>1059</v>
      </c>
      <c r="B1120" s="138">
        <f>'Expenditures 15-22'!K49</f>
        <v>119738</v>
      </c>
      <c r="C1120" s="2" t="s">
        <v>573</v>
      </c>
      <c r="D1120" s="2" t="str">
        <f t="shared" si="16"/>
        <v>Error?</v>
      </c>
    </row>
    <row r="1121" spans="1:4" x14ac:dyDescent="0.2">
      <c r="A1121" s="5">
        <v>1060</v>
      </c>
      <c r="B1121" s="138">
        <f>'Expenditures 15-22'!K50</f>
        <v>220629</v>
      </c>
      <c r="C1121" s="2" t="s">
        <v>573</v>
      </c>
      <c r="D1121" s="2" t="str">
        <f t="shared" si="16"/>
        <v>Error?</v>
      </c>
    </row>
    <row r="1122" spans="1:4" x14ac:dyDescent="0.2">
      <c r="A1122" s="5">
        <v>1061</v>
      </c>
      <c r="B1122" s="138">
        <f>'Expenditures 15-22'!K53</f>
        <v>375616</v>
      </c>
      <c r="C1122" s="2" t="s">
        <v>573</v>
      </c>
      <c r="D1122" s="2" t="str">
        <f t="shared" si="16"/>
        <v>Error?</v>
      </c>
    </row>
    <row r="1123" spans="1:4" x14ac:dyDescent="0.2">
      <c r="A1123" s="5">
        <v>1062</v>
      </c>
      <c r="B1123" s="138">
        <f>'Expenditures 15-22'!K55</f>
        <v>1296098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1296098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282657</v>
      </c>
      <c r="C1127" s="2" t="s">
        <v>573</v>
      </c>
      <c r="D1127" s="2" t="str">
        <f t="shared" si="16"/>
        <v>Error?</v>
      </c>
    </row>
    <row r="1128" spans="1:4" x14ac:dyDescent="0.2">
      <c r="A1128" s="5">
        <v>1067</v>
      </c>
      <c r="B1128" s="138">
        <f>'Expenditures 15-22'!K61</f>
        <v>87556</v>
      </c>
      <c r="C1128" s="2" t="s">
        <v>573</v>
      </c>
      <c r="D1128" s="2" t="str">
        <f t="shared" si="16"/>
        <v>Error?</v>
      </c>
    </row>
    <row r="1129" spans="1:4" x14ac:dyDescent="0.2">
      <c r="A1129" s="5">
        <v>1068</v>
      </c>
      <c r="B1129" s="138">
        <f>'Expenditures 15-22'!K62</f>
        <v>175900</v>
      </c>
      <c r="C1129" s="2" t="s">
        <v>573</v>
      </c>
      <c r="D1129" s="2" t="str">
        <f t="shared" si="16"/>
        <v>Error?</v>
      </c>
    </row>
    <row r="1130" spans="1:4" x14ac:dyDescent="0.2">
      <c r="A1130" s="5">
        <v>1069</v>
      </c>
      <c r="B1130" s="138">
        <f>'Expenditures 15-22'!K63</f>
        <v>1022494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1568607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43837</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6699</v>
      </c>
      <c r="C1139" s="2" t="s">
        <v>573</v>
      </c>
      <c r="D1139" s="2" t="str">
        <f t="shared" si="16"/>
        <v>Error?</v>
      </c>
    </row>
    <row r="1140" spans="1:4" x14ac:dyDescent="0.2">
      <c r="A1140" s="10">
        <v>1079</v>
      </c>
      <c r="D1140" s="2" t="str">
        <f t="shared" si="16"/>
        <v>OK</v>
      </c>
    </row>
    <row r="1141" spans="1:4" x14ac:dyDescent="0.2">
      <c r="A1141" s="5">
        <v>1080</v>
      </c>
      <c r="B1141" s="138">
        <f>'Expenditures 15-22'!K72</f>
        <v>50536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4057173</v>
      </c>
      <c r="C1143" s="2" t="s">
        <v>573</v>
      </c>
      <c r="D1143" s="2" t="str">
        <f t="shared" si="16"/>
        <v>Error?</v>
      </c>
    </row>
    <row r="1144" spans="1:4" x14ac:dyDescent="0.2">
      <c r="A1144" s="5">
        <v>1083</v>
      </c>
      <c r="B1144" s="138">
        <f>'Expenditures 15-22'!K75</f>
        <v>148483</v>
      </c>
      <c r="C1144" s="2" t="s">
        <v>573</v>
      </c>
      <c r="D1144" s="2" t="str">
        <f t="shared" si="16"/>
        <v>Error?</v>
      </c>
    </row>
    <row r="1145" spans="1:4" x14ac:dyDescent="0.2">
      <c r="A1145" s="5">
        <v>1084</v>
      </c>
      <c r="B1145" s="138">
        <f>'Expenditures 15-22'!K102</f>
        <v>1546180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15881612</v>
      </c>
      <c r="C1152" s="2" t="s">
        <v>573</v>
      </c>
      <c r="D1152" s="2" t="str">
        <f t="shared" si="17"/>
        <v>Error?</v>
      </c>
    </row>
    <row r="1153" spans="1:4" x14ac:dyDescent="0.2">
      <c r="A1153" s="5">
        <v>1092</v>
      </c>
      <c r="B1153" s="138">
        <f>'Expenditures 15-22'!K115</f>
        <v>660398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605412</v>
      </c>
      <c r="D1221" s="2" t="str">
        <f t="shared" si="18"/>
        <v>Error?</v>
      </c>
    </row>
    <row r="1222" spans="1:4" x14ac:dyDescent="0.2">
      <c r="A1222" s="10">
        <v>1161</v>
      </c>
      <c r="D1222" s="2" t="str">
        <f t="shared" si="18"/>
        <v>OK</v>
      </c>
    </row>
    <row r="1223" spans="1:4" x14ac:dyDescent="0.2">
      <c r="A1223" s="5">
        <v>1162</v>
      </c>
      <c r="B1223" s="138">
        <f>'Expenditures 15-22'!C127</f>
        <v>605412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605412</v>
      </c>
      <c r="C1225" s="2" t="s">
        <v>573</v>
      </c>
      <c r="D1225" s="2" t="str">
        <f t="shared" si="18"/>
        <v>Error?</v>
      </c>
    </row>
    <row r="1226" spans="1:4" x14ac:dyDescent="0.2">
      <c r="A1226" s="5">
        <v>1165</v>
      </c>
      <c r="B1226" s="138">
        <f>'Expenditures 15-22'!C151</f>
        <v>605412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68845</v>
      </c>
      <c r="D1229" s="2" t="str">
        <f t="shared" si="18"/>
        <v>Error?</v>
      </c>
    </row>
    <row r="1230" spans="1:4" x14ac:dyDescent="0.2">
      <c r="A1230" s="10">
        <v>1169</v>
      </c>
      <c r="D1230" s="2" t="str">
        <f t="shared" si="18"/>
        <v>OK</v>
      </c>
    </row>
    <row r="1231" spans="1:4" x14ac:dyDescent="0.2">
      <c r="A1231" s="5">
        <v>1170</v>
      </c>
      <c r="B1231" s="138">
        <f>'Expenditures 15-22'!D127</f>
        <v>68845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68845</v>
      </c>
      <c r="C1233" s="2" t="s">
        <v>573</v>
      </c>
      <c r="D1233" s="2" t="str">
        <f t="shared" si="18"/>
        <v>Error?</v>
      </c>
    </row>
    <row r="1234" spans="1:4" x14ac:dyDescent="0.2">
      <c r="A1234" s="5">
        <v>1173</v>
      </c>
      <c r="B1234" s="138">
        <f>'Expenditures 15-22'!D151</f>
        <v>68845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413722</v>
      </c>
      <c r="D1237" s="2" t="str">
        <f t="shared" si="18"/>
        <v>Error?</v>
      </c>
    </row>
    <row r="1238" spans="1:4" x14ac:dyDescent="0.2">
      <c r="A1238" s="10">
        <v>1177</v>
      </c>
      <c r="D1238" s="2" t="str">
        <f t="shared" si="18"/>
        <v>OK</v>
      </c>
    </row>
    <row r="1239" spans="1:4" x14ac:dyDescent="0.2">
      <c r="A1239" s="5">
        <v>1178</v>
      </c>
      <c r="B1239" s="138">
        <f>'Expenditures 15-22'!E127</f>
        <v>413722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413722</v>
      </c>
      <c r="C1241" s="2" t="s">
        <v>573</v>
      </c>
      <c r="D1241" s="2" t="str">
        <f t="shared" si="18"/>
        <v>Error?</v>
      </c>
    </row>
    <row r="1242" spans="1:4" x14ac:dyDescent="0.2">
      <c r="A1242" s="5">
        <v>1181</v>
      </c>
      <c r="B1242" s="138">
        <f>'Expenditures 15-22'!E151</f>
        <v>413722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380097</v>
      </c>
      <c r="D1245" s="2" t="str">
        <f t="shared" si="18"/>
        <v>Error?</v>
      </c>
    </row>
    <row r="1246" spans="1:4" x14ac:dyDescent="0.2">
      <c r="A1246" s="10">
        <v>1185</v>
      </c>
      <c r="D1246" s="2" t="str">
        <f t="shared" si="18"/>
        <v>OK</v>
      </c>
    </row>
    <row r="1247" spans="1:4" x14ac:dyDescent="0.2">
      <c r="A1247" s="5">
        <v>1186</v>
      </c>
      <c r="B1247" s="138">
        <f>'Expenditures 15-22'!F127</f>
        <v>380097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380097</v>
      </c>
      <c r="C1249" s="2" t="s">
        <v>573</v>
      </c>
      <c r="D1249" s="2" t="str">
        <f t="shared" si="18"/>
        <v>Error?</v>
      </c>
    </row>
    <row r="1250" spans="1:4" x14ac:dyDescent="0.2">
      <c r="A1250" s="5">
        <v>1189</v>
      </c>
      <c r="B1250" s="138">
        <f>'Expenditures 15-22'!F151</f>
        <v>380097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115633</v>
      </c>
      <c r="D1252" s="2" t="str">
        <f t="shared" si="18"/>
        <v>Error?</v>
      </c>
    </row>
    <row r="1253" spans="1:4" x14ac:dyDescent="0.2">
      <c r="A1253" s="5">
        <v>1192</v>
      </c>
      <c r="B1253" s="138">
        <f>'Expenditures 15-22'!G124</f>
        <v>563092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678725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678725</v>
      </c>
      <c r="C1258" s="2" t="s">
        <v>573</v>
      </c>
      <c r="D1258" s="2" t="str">
        <f t="shared" si="18"/>
        <v>Error?</v>
      </c>
    </row>
    <row r="1259" spans="1:4" x14ac:dyDescent="0.2">
      <c r="A1259" s="5">
        <v>1198</v>
      </c>
      <c r="B1259" s="138">
        <f>'Expenditures 15-22'!G151</f>
        <v>678725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115633</v>
      </c>
      <c r="C1275" s="2" t="s">
        <v>573</v>
      </c>
      <c r="D1275" s="2" t="str">
        <f t="shared" si="18"/>
        <v>Error?</v>
      </c>
    </row>
    <row r="1276" spans="1:4" x14ac:dyDescent="0.2">
      <c r="A1276" s="5">
        <v>1215</v>
      </c>
      <c r="B1276" s="138">
        <f>'Expenditures 15-22'!K124</f>
        <v>2031168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2146801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2146801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2146801</v>
      </c>
      <c r="C1288" s="2" t="s">
        <v>573</v>
      </c>
      <c r="D1288" s="2" t="str">
        <f t="shared" si="19"/>
        <v>Error?</v>
      </c>
    </row>
    <row r="1289" spans="1:4" x14ac:dyDescent="0.2">
      <c r="A1289" s="5">
        <v>1228</v>
      </c>
      <c r="B1289" s="138">
        <f>'Expenditures 15-22'!K152</f>
        <v>201149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199585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493000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692585</v>
      </c>
      <c r="C1317" s="2" t="s">
        <v>573</v>
      </c>
      <c r="D1317" s="2" t="str">
        <f t="shared" si="19"/>
        <v>Error?</v>
      </c>
    </row>
    <row r="1318" spans="1:4" x14ac:dyDescent="0.2">
      <c r="A1318" s="5">
        <v>1257</v>
      </c>
      <c r="B1318" s="138">
        <f>'Expenditures 15-22'!H174</f>
        <v>692585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199585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493000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692585</v>
      </c>
      <c r="C1331" s="2" t="s">
        <v>573</v>
      </c>
      <c r="D1331" s="2" t="str">
        <f t="shared" si="19"/>
        <v>Error?</v>
      </c>
    </row>
    <row r="1332" spans="1:4" x14ac:dyDescent="0.2">
      <c r="A1332" s="5">
        <v>1271</v>
      </c>
      <c r="B1332" s="138">
        <f>'Expenditures 15-22'!K174</f>
        <v>692585</v>
      </c>
      <c r="C1332" s="2" t="s">
        <v>573</v>
      </c>
      <c r="D1332" s="2" t="str">
        <f t="shared" si="19"/>
        <v>Error?</v>
      </c>
    </row>
    <row r="1333" spans="1:4" x14ac:dyDescent="0.2">
      <c r="A1333" s="5">
        <v>1272</v>
      </c>
      <c r="B1333" s="138">
        <f>'Expenditures 15-22'!K175</f>
        <v>254336</v>
      </c>
      <c r="C1333" s="2" t="s">
        <v>573</v>
      </c>
      <c r="D1333" s="2" t="str">
        <f t="shared" si="19"/>
        <v>Error?</v>
      </c>
    </row>
    <row r="1334" spans="1:4" x14ac:dyDescent="0.2">
      <c r="A1334" s="10">
        <v>1273</v>
      </c>
      <c r="D1334" s="2" t="str">
        <f t="shared" si="19"/>
        <v>OK</v>
      </c>
    </row>
    <row r="1335" spans="1:4" x14ac:dyDescent="0.2">
      <c r="A1335" s="5">
        <v>1274</v>
      </c>
      <c r="B1335" s="138">
        <f>'Expenditures 15-22'!C182</f>
        <v>525726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525726</v>
      </c>
      <c r="C1339" s="2" t="s">
        <v>573</v>
      </c>
      <c r="D1339" s="2" t="str">
        <f t="shared" si="19"/>
        <v>Error?</v>
      </c>
    </row>
    <row r="1340" spans="1:4" x14ac:dyDescent="0.2">
      <c r="A1340" s="5">
        <v>1279</v>
      </c>
      <c r="B1340" s="138">
        <f>'Expenditures 15-22'!C210</f>
        <v>525726</v>
      </c>
      <c r="C1340" s="2" t="s">
        <v>573</v>
      </c>
      <c r="D1340" s="2" t="str">
        <f t="shared" si="19"/>
        <v>Error?</v>
      </c>
    </row>
    <row r="1341" spans="1:4" x14ac:dyDescent="0.2">
      <c r="A1341" s="5">
        <v>1280</v>
      </c>
      <c r="B1341" s="138">
        <f>'Expenditures 15-22'!D182</f>
        <v>10671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10671</v>
      </c>
      <c r="C1345" s="2" t="s">
        <v>573</v>
      </c>
      <c r="D1345" s="2" t="str">
        <f t="shared" si="20"/>
        <v>Error?</v>
      </c>
    </row>
    <row r="1346" spans="1:4" x14ac:dyDescent="0.2">
      <c r="A1346" s="5">
        <v>1285</v>
      </c>
      <c r="B1346" s="138">
        <f>'Expenditures 15-22'!D210</f>
        <v>10671</v>
      </c>
      <c r="C1346" s="2" t="s">
        <v>573</v>
      </c>
      <c r="D1346" s="2" t="str">
        <f t="shared" si="20"/>
        <v>Error?</v>
      </c>
    </row>
    <row r="1347" spans="1:4" x14ac:dyDescent="0.2">
      <c r="A1347" s="5">
        <v>1286</v>
      </c>
      <c r="B1347" s="138">
        <f>'Expenditures 15-22'!E182</f>
        <v>26733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26733</v>
      </c>
      <c r="C1351" s="2" t="s">
        <v>573</v>
      </c>
      <c r="D1351" s="2" t="str">
        <f t="shared" si="20"/>
        <v>Error?</v>
      </c>
    </row>
    <row r="1352" spans="1:4" x14ac:dyDescent="0.2">
      <c r="A1352" s="5">
        <v>1291</v>
      </c>
      <c r="B1352" s="138">
        <f>'Expenditures 15-22'!E196</f>
        <v>3744</v>
      </c>
      <c r="C1352" s="2" t="s">
        <v>573</v>
      </c>
      <c r="D1352" s="2" t="str">
        <f t="shared" si="20"/>
        <v>Error?</v>
      </c>
    </row>
    <row r="1353" spans="1:4" x14ac:dyDescent="0.2">
      <c r="A1353" s="5">
        <v>1292</v>
      </c>
      <c r="B1353" s="138">
        <f>'Expenditures 15-22'!E210</f>
        <v>30477</v>
      </c>
      <c r="C1353" s="2" t="s">
        <v>573</v>
      </c>
      <c r="D1353" s="2" t="str">
        <f t="shared" si="20"/>
        <v>Error?</v>
      </c>
    </row>
    <row r="1354" spans="1:4" x14ac:dyDescent="0.2">
      <c r="A1354" s="5">
        <v>1293</v>
      </c>
      <c r="B1354" s="138">
        <f>'Expenditures 15-22'!F182</f>
        <v>126032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126032</v>
      </c>
      <c r="C1358" s="2" t="s">
        <v>573</v>
      </c>
      <c r="D1358" s="2" t="str">
        <f t="shared" si="20"/>
        <v>Error?</v>
      </c>
    </row>
    <row r="1359" spans="1:4" x14ac:dyDescent="0.2">
      <c r="A1359" s="5">
        <v>1298</v>
      </c>
      <c r="B1359" s="138">
        <f>'Expenditures 15-22'!F210</f>
        <v>126032</v>
      </c>
      <c r="C1359" s="2" t="s">
        <v>573</v>
      </c>
      <c r="D1359" s="2" t="str">
        <f t="shared" si="20"/>
        <v>Error?</v>
      </c>
    </row>
    <row r="1360" spans="1:4" x14ac:dyDescent="0.2">
      <c r="A1360" s="5">
        <v>1299</v>
      </c>
      <c r="B1360" s="138">
        <f>'Expenditures 15-22'!G182</f>
        <v>45655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45655</v>
      </c>
      <c r="C1364" s="2" t="s">
        <v>573</v>
      </c>
      <c r="D1364" s="2" t="str">
        <f t="shared" si="20"/>
        <v>Error?</v>
      </c>
    </row>
    <row r="1365" spans="1:4" x14ac:dyDescent="0.2">
      <c r="A1365" s="5">
        <v>1304</v>
      </c>
      <c r="B1365" s="138">
        <f>'Expenditures 15-22'!G210</f>
        <v>45655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734817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734817</v>
      </c>
      <c r="C1381" s="2" t="s">
        <v>573</v>
      </c>
      <c r="D1381" s="2" t="str">
        <f t="shared" si="20"/>
        <v>Error?</v>
      </c>
    </row>
    <row r="1382" spans="1:4" x14ac:dyDescent="0.2">
      <c r="A1382" s="5">
        <v>1321</v>
      </c>
      <c r="B1382" s="138">
        <f>'Expenditures 15-22'!K196</f>
        <v>3744</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738561</v>
      </c>
      <c r="C1388" s="2" t="s">
        <v>573</v>
      </c>
      <c r="D1388" s="2" t="str">
        <f t="shared" si="20"/>
        <v>Error?</v>
      </c>
    </row>
    <row r="1389" spans="1:4" x14ac:dyDescent="0.2">
      <c r="A1389" s="5">
        <v>1328</v>
      </c>
      <c r="B1389" s="138">
        <f>'Expenditures 15-22'!K211</f>
        <v>18151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909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4956</v>
      </c>
      <c r="D1407" s="2" t="str">
        <f t="shared" ref="D1407:D1470" si="21">IF(ISBLANK(B1407),"OK",IF(A1407-B1407=0,"OK","Error?"))</f>
        <v>Error?</v>
      </c>
    </row>
    <row r="1408" spans="1:4" x14ac:dyDescent="0.2">
      <c r="A1408" s="5">
        <v>1347</v>
      </c>
      <c r="B1408" s="138">
        <f>'Expenditures 15-22'!D223</f>
        <v>15996</v>
      </c>
      <c r="D1408" s="2" t="str">
        <f t="shared" si="21"/>
        <v>Error?</v>
      </c>
    </row>
    <row r="1409" spans="1:4" x14ac:dyDescent="0.2">
      <c r="A1409" s="5">
        <v>1348</v>
      </c>
      <c r="B1409" s="138">
        <f>'Expenditures 15-22'!D224</f>
        <v>131</v>
      </c>
      <c r="D1409" s="2" t="str">
        <f t="shared" si="21"/>
        <v>Error?</v>
      </c>
    </row>
    <row r="1410" spans="1:4" x14ac:dyDescent="0.2">
      <c r="A1410" s="5">
        <v>1349</v>
      </c>
      <c r="B1410" s="138">
        <f>'Expenditures 15-22'!D229</f>
        <v>274268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3355</v>
      </c>
      <c r="D1412" s="2" t="str">
        <f t="shared" si="21"/>
        <v>Error?</v>
      </c>
    </row>
    <row r="1413" spans="1:4" x14ac:dyDescent="0.2">
      <c r="A1413" s="5">
        <v>1352</v>
      </c>
      <c r="B1413" s="138">
        <f>'Expenditures 15-22'!D234</f>
        <v>23126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26481</v>
      </c>
      <c r="C1417" s="2" t="s">
        <v>573</v>
      </c>
      <c r="D1417" s="2" t="str">
        <f t="shared" si="21"/>
        <v>Error?</v>
      </c>
    </row>
    <row r="1418" spans="1:4" x14ac:dyDescent="0.2">
      <c r="A1418" s="5">
        <v>1357</v>
      </c>
      <c r="B1418" s="138">
        <f>'Expenditures 15-22'!D240</f>
        <v>837</v>
      </c>
      <c r="D1418" s="2" t="str">
        <f t="shared" si="21"/>
        <v>Error?</v>
      </c>
    </row>
    <row r="1419" spans="1:4" x14ac:dyDescent="0.2">
      <c r="A1419" s="5">
        <v>1358</v>
      </c>
      <c r="B1419" s="138">
        <f>'Expenditures 15-22'!D241</f>
        <v>10142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10979</v>
      </c>
      <c r="C1421" s="2" t="s">
        <v>573</v>
      </c>
      <c r="D1421" s="2" t="str">
        <f t="shared" si="21"/>
        <v>Error?</v>
      </c>
    </row>
    <row r="1422" spans="1:4" x14ac:dyDescent="0.2">
      <c r="A1422" s="5">
        <v>1361</v>
      </c>
      <c r="B1422" s="138">
        <f>'Expenditures 15-22'!D245</f>
        <v>665</v>
      </c>
      <c r="D1422" s="2" t="str">
        <f t="shared" si="21"/>
        <v>Error?</v>
      </c>
    </row>
    <row r="1423" spans="1:4" x14ac:dyDescent="0.2">
      <c r="A1423" s="5">
        <v>1362</v>
      </c>
      <c r="B1423" s="138">
        <f>'Expenditures 15-22'!D246</f>
        <v>3079</v>
      </c>
      <c r="D1423" s="2" t="str">
        <f t="shared" si="21"/>
        <v>Error?</v>
      </c>
    </row>
    <row r="1424" spans="1:4" x14ac:dyDescent="0.2">
      <c r="A1424" s="5">
        <v>1363</v>
      </c>
      <c r="B1424" s="138">
        <f>'Expenditures 15-22'!D257</f>
        <v>39543</v>
      </c>
      <c r="C1424" s="2" t="s">
        <v>573</v>
      </c>
      <c r="D1424" s="2" t="str">
        <f t="shared" si="21"/>
        <v>Error?</v>
      </c>
    </row>
    <row r="1425" spans="1:4" x14ac:dyDescent="0.2">
      <c r="A1425" s="5">
        <v>1364</v>
      </c>
      <c r="B1425" s="138">
        <f>'Expenditures 15-22'!D259</f>
        <v>61773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61773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42819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111850</v>
      </c>
      <c r="D1431" s="2" t="str">
        <f t="shared" si="21"/>
        <v>Error?</v>
      </c>
    </row>
    <row r="1432" spans="1:4" x14ac:dyDescent="0.2">
      <c r="A1432" s="5">
        <v>1371</v>
      </c>
      <c r="B1432" s="138">
        <f>'Expenditures 15-22'!D267</f>
        <v>97045</v>
      </c>
      <c r="D1432" s="2" t="str">
        <f t="shared" si="21"/>
        <v>Error?</v>
      </c>
    </row>
    <row r="1433" spans="1:4" x14ac:dyDescent="0.2">
      <c r="A1433" s="5">
        <v>1372</v>
      </c>
      <c r="B1433" s="138">
        <f>'Expenditures 15-22'!D268</f>
        <v>68769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320483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6444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6444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465703</v>
      </c>
      <c r="C1446" s="2" t="s">
        <v>573</v>
      </c>
      <c r="D1446" s="2" t="str">
        <f t="shared" si="21"/>
        <v>Error?</v>
      </c>
    </row>
    <row r="1447" spans="1:4" x14ac:dyDescent="0.2">
      <c r="A1447" s="5">
        <v>1386</v>
      </c>
      <c r="B1447" s="138">
        <f>'Expenditures 15-22'!D280</f>
        <v>6892</v>
      </c>
      <c r="D1447" s="2" t="str">
        <f t="shared" si="21"/>
        <v>Error?</v>
      </c>
    </row>
    <row r="1448" spans="1:4" x14ac:dyDescent="0.2">
      <c r="A1448" s="5">
        <v>1387</v>
      </c>
      <c r="B1448" s="138">
        <f>'Expenditures 15-22'!D295</f>
        <v>746863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909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4956</v>
      </c>
      <c r="C1471" s="2" t="s">
        <v>573</v>
      </c>
      <c r="D1471" s="2" t="str">
        <f t="shared" ref="D1471:D1534" si="22">IF(ISBLANK(B1471),"OK",IF(A1471-B1471=0,"OK","Error?"))</f>
        <v>Error?</v>
      </c>
    </row>
    <row r="1472" spans="1:4" x14ac:dyDescent="0.2">
      <c r="A1472" s="5">
        <v>1411</v>
      </c>
      <c r="B1472" s="138">
        <f>'Expenditures 15-22'!K223</f>
        <v>15996</v>
      </c>
      <c r="C1472" s="2" t="s">
        <v>573</v>
      </c>
      <c r="D1472" s="2" t="str">
        <f t="shared" si="22"/>
        <v>Error?</v>
      </c>
    </row>
    <row r="1473" spans="1:4" x14ac:dyDescent="0.2">
      <c r="A1473" s="5">
        <v>1412</v>
      </c>
      <c r="B1473" s="138">
        <f>'Expenditures 15-22'!K224</f>
        <v>131</v>
      </c>
      <c r="C1473" s="2" t="s">
        <v>573</v>
      </c>
      <c r="D1473" s="2" t="str">
        <f t="shared" si="22"/>
        <v>Error?</v>
      </c>
    </row>
    <row r="1474" spans="1:4" x14ac:dyDescent="0.2">
      <c r="A1474" s="5">
        <v>1413</v>
      </c>
      <c r="B1474" s="138">
        <f>'Expenditures 15-22'!K229</f>
        <v>274268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3355</v>
      </c>
      <c r="C1476" s="2" t="s">
        <v>573</v>
      </c>
      <c r="D1476" s="2" t="str">
        <f t="shared" si="22"/>
        <v>Error?</v>
      </c>
    </row>
    <row r="1477" spans="1:4" x14ac:dyDescent="0.2">
      <c r="A1477" s="5">
        <v>1416</v>
      </c>
      <c r="B1477" s="138">
        <f>'Expenditures 15-22'!K234</f>
        <v>23126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26481</v>
      </c>
      <c r="C1481" s="2" t="s">
        <v>573</v>
      </c>
      <c r="D1481" s="2" t="str">
        <f t="shared" si="22"/>
        <v>Error?</v>
      </c>
    </row>
    <row r="1482" spans="1:4" x14ac:dyDescent="0.2">
      <c r="A1482" s="5">
        <v>1421</v>
      </c>
      <c r="B1482" s="138">
        <f>'Expenditures 15-22'!K240</f>
        <v>837</v>
      </c>
      <c r="C1482" s="2" t="s">
        <v>573</v>
      </c>
      <c r="D1482" s="2" t="str">
        <f t="shared" si="22"/>
        <v>Error?</v>
      </c>
    </row>
    <row r="1483" spans="1:4" x14ac:dyDescent="0.2">
      <c r="A1483" s="5">
        <v>1422</v>
      </c>
      <c r="B1483" s="138">
        <f>'Expenditures 15-22'!K241</f>
        <v>10142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10979</v>
      </c>
      <c r="C1485" s="2" t="s">
        <v>573</v>
      </c>
      <c r="D1485" s="2" t="str">
        <f t="shared" si="22"/>
        <v>Error?</v>
      </c>
    </row>
    <row r="1486" spans="1:4" x14ac:dyDescent="0.2">
      <c r="A1486" s="5">
        <v>1425</v>
      </c>
      <c r="B1486" s="138">
        <f>'Expenditures 15-22'!K245</f>
        <v>665</v>
      </c>
      <c r="C1486" s="2" t="s">
        <v>573</v>
      </c>
      <c r="D1486" s="2" t="str">
        <f t="shared" si="22"/>
        <v>Error?</v>
      </c>
    </row>
    <row r="1487" spans="1:4" x14ac:dyDescent="0.2">
      <c r="A1487" s="5">
        <v>1426</v>
      </c>
      <c r="B1487" s="138">
        <f>'Expenditures 15-22'!K246</f>
        <v>3079</v>
      </c>
      <c r="C1487" s="2" t="s">
        <v>573</v>
      </c>
      <c r="D1487" s="2" t="str">
        <f t="shared" si="22"/>
        <v>Error?</v>
      </c>
    </row>
    <row r="1488" spans="1:4" x14ac:dyDescent="0.2">
      <c r="A1488" s="5">
        <v>1427</v>
      </c>
      <c r="B1488" s="138">
        <f>'Expenditures 15-22'!K257</f>
        <v>39543</v>
      </c>
      <c r="C1488" s="2" t="s">
        <v>573</v>
      </c>
      <c r="D1488" s="2" t="str">
        <f t="shared" si="22"/>
        <v>Error?</v>
      </c>
    </row>
    <row r="1489" spans="1:4" x14ac:dyDescent="0.2">
      <c r="A1489" s="5">
        <v>1428</v>
      </c>
      <c r="B1489" s="138">
        <f>'Expenditures 15-22'!K259</f>
        <v>61773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61773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42819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111850</v>
      </c>
      <c r="C1495" s="2" t="s">
        <v>573</v>
      </c>
      <c r="D1495" s="2" t="str">
        <f t="shared" si="22"/>
        <v>Error?</v>
      </c>
    </row>
    <row r="1496" spans="1:4" x14ac:dyDescent="0.2">
      <c r="A1496" s="5">
        <v>1435</v>
      </c>
      <c r="B1496" s="138">
        <f>'Expenditures 15-22'!K267</f>
        <v>97045</v>
      </c>
      <c r="C1496" s="2" t="s">
        <v>573</v>
      </c>
      <c r="D1496" s="2" t="str">
        <f t="shared" si="22"/>
        <v>Error?</v>
      </c>
    </row>
    <row r="1497" spans="1:4" x14ac:dyDescent="0.2">
      <c r="A1497" s="5">
        <v>1436</v>
      </c>
      <c r="B1497" s="138">
        <f>'Expenditures 15-22'!K268</f>
        <v>68769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320483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6444</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6444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465703</v>
      </c>
      <c r="C1510" s="2" t="s">
        <v>573</v>
      </c>
      <c r="D1510" s="2" t="str">
        <f t="shared" si="22"/>
        <v>Error?</v>
      </c>
    </row>
    <row r="1511" spans="1:4" x14ac:dyDescent="0.2">
      <c r="A1511" s="5">
        <v>1450</v>
      </c>
      <c r="B1511" s="138">
        <f>'Expenditures 15-22'!K280</f>
        <v>6892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746863</v>
      </c>
      <c r="C1517" s="2" t="s">
        <v>573</v>
      </c>
      <c r="D1517" s="2" t="str">
        <f t="shared" si="22"/>
        <v>Error?</v>
      </c>
    </row>
    <row r="1518" spans="1:4" x14ac:dyDescent="0.2">
      <c r="A1518" s="5">
        <v>1457</v>
      </c>
      <c r="B1518" s="138">
        <f>'Expenditures 15-22'!K296</f>
        <v>24084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247866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247866</v>
      </c>
      <c r="C1535" s="2" t="s">
        <v>573</v>
      </c>
      <c r="D1535" s="2" t="str">
        <f t="shared" ref="D1535:D1598" si="23">IF(ISBLANK(B1535),"OK",IF(A1535-B1535=0,"OK","Error?"))</f>
        <v>Error?</v>
      </c>
    </row>
    <row r="1536" spans="1:4" x14ac:dyDescent="0.2">
      <c r="A1536" s="5">
        <v>1475</v>
      </c>
      <c r="B1536" s="138">
        <f>'Expenditures 15-22'!E312</f>
        <v>247866</v>
      </c>
      <c r="C1536" s="2" t="s">
        <v>573</v>
      </c>
      <c r="D1536" s="2" t="str">
        <f t="shared" si="23"/>
        <v>Error?</v>
      </c>
    </row>
    <row r="1537" spans="1:4" x14ac:dyDescent="0.2">
      <c r="A1537" s="5">
        <v>1476</v>
      </c>
      <c r="B1537" s="138">
        <f>'Expenditures 15-22'!F301</f>
        <v>315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315</v>
      </c>
      <c r="C1541" s="2" t="s">
        <v>573</v>
      </c>
      <c r="D1541" s="2" t="str">
        <f t="shared" si="23"/>
        <v>Error?</v>
      </c>
    </row>
    <row r="1542" spans="1:4" x14ac:dyDescent="0.2">
      <c r="A1542" s="5">
        <v>1481</v>
      </c>
      <c r="B1542" s="138">
        <f>'Expenditures 15-22'!F312</f>
        <v>315</v>
      </c>
      <c r="C1542" s="2" t="s">
        <v>573</v>
      </c>
      <c r="D1542" s="2" t="str">
        <f t="shared" si="23"/>
        <v>Error?</v>
      </c>
    </row>
    <row r="1543" spans="1:4" x14ac:dyDescent="0.2">
      <c r="A1543" s="5">
        <v>1482</v>
      </c>
      <c r="B1543" s="138">
        <f>'Expenditures 15-22'!G301</f>
        <v>3138996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3138996</v>
      </c>
      <c r="C1547" s="2" t="s">
        <v>573</v>
      </c>
      <c r="D1547" s="2" t="str">
        <f t="shared" si="23"/>
        <v>Error?</v>
      </c>
    </row>
    <row r="1548" spans="1:4" x14ac:dyDescent="0.2">
      <c r="A1548" s="5">
        <v>1487</v>
      </c>
      <c r="B1548" s="138">
        <f>'Expenditures 15-22'!G312</f>
        <v>3138996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3387177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3387177</v>
      </c>
      <c r="C1559" s="2" t="s">
        <v>573</v>
      </c>
      <c r="D1559" s="2" t="str">
        <f t="shared" si="23"/>
        <v>Error?</v>
      </c>
    </row>
    <row r="1560" spans="1:4" x14ac:dyDescent="0.2">
      <c r="A1560" s="5">
        <v>1499</v>
      </c>
      <c r="B1560" s="138">
        <f>'Expenditures 15-22'!K312</f>
        <v>3387177</v>
      </c>
      <c r="C1560" s="2" t="s">
        <v>573</v>
      </c>
      <c r="D1560" s="2" t="str">
        <f t="shared" si="23"/>
        <v>Error?</v>
      </c>
    </row>
    <row r="1561" spans="1:4" x14ac:dyDescent="0.2">
      <c r="A1561" s="5">
        <v>1500</v>
      </c>
      <c r="B1561" s="138">
        <f>'Expenditures 15-22'!K313</f>
        <v>-2760770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8270681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8931079</v>
      </c>
      <c r="C1630" s="2" t="s">
        <v>573</v>
      </c>
      <c r="D1630" s="2" t="str">
        <f t="shared" si="24"/>
        <v>Error?</v>
      </c>
    </row>
    <row r="1631" spans="1:4" x14ac:dyDescent="0.2">
      <c r="A1631" s="5">
        <v>1570</v>
      </c>
      <c r="B1631" s="138">
        <f>'Acct Summary 7-8'!D79</f>
        <v>1676579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1877728</v>
      </c>
      <c r="C1644" s="2" t="s">
        <v>573</v>
      </c>
      <c r="D1644" s="2" t="str">
        <f t="shared" si="24"/>
        <v>Error?</v>
      </c>
    </row>
    <row r="1645" spans="1:4" x14ac:dyDescent="0.2">
      <c r="A1645" s="5">
        <v>1584</v>
      </c>
      <c r="B1645" s="138">
        <f>'Acct Summary 7-8'!E79</f>
        <v>1669237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1923573</v>
      </c>
      <c r="C1658" s="2" t="s">
        <v>573</v>
      </c>
      <c r="D1658" s="2" t="str">
        <f t="shared" si="24"/>
        <v>Error?</v>
      </c>
    </row>
    <row r="1659" spans="1:4" x14ac:dyDescent="0.2">
      <c r="A1659" s="5">
        <v>1598</v>
      </c>
      <c r="B1659" s="138">
        <f>'Acct Summary 7-8'!F79</f>
        <v>812945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831096</v>
      </c>
      <c r="C1672" s="2" t="s">
        <v>573</v>
      </c>
      <c r="D1672" s="2" t="str">
        <f t="shared" si="25"/>
        <v>Error?</v>
      </c>
    </row>
    <row r="1673" spans="1:4" x14ac:dyDescent="0.2">
      <c r="A1673" s="5">
        <v>1612</v>
      </c>
      <c r="B1673" s="138">
        <f>'Acct Summary 7-8'!G79</f>
        <v>952507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976591</v>
      </c>
      <c r="C1686" s="2" t="s">
        <v>573</v>
      </c>
      <c r="D1686" s="2" t="str">
        <f t="shared" si="25"/>
        <v>Error?</v>
      </c>
    </row>
    <row r="1687" spans="1:4" x14ac:dyDescent="0.2">
      <c r="A1687" s="5">
        <v>1626</v>
      </c>
      <c r="B1687" s="138">
        <f>'Acct Summary 7-8'!H79</f>
        <v>3322178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1211408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1404677</v>
      </c>
      <c r="C1744" s="2" t="s">
        <v>573</v>
      </c>
      <c r="D1744" s="2" t="str">
        <f t="shared" si="26"/>
        <v>Error?</v>
      </c>
    </row>
    <row r="1745" spans="1:5" x14ac:dyDescent="0.2">
      <c r="A1745" s="5">
        <v>1684</v>
      </c>
      <c r="B1745" s="138">
        <f>'Tax Sched 23'!B5</f>
        <v>381705</v>
      </c>
      <c r="C1745" s="2" t="s">
        <v>573</v>
      </c>
      <c r="D1745" s="2" t="str">
        <f t="shared" si="26"/>
        <v>Error?</v>
      </c>
    </row>
    <row r="1746" spans="1:5" x14ac:dyDescent="0.2">
      <c r="A1746" s="5">
        <v>1685</v>
      </c>
      <c r="B1746" s="138">
        <f>'Tax Sched 23'!B6</f>
        <v>177029</v>
      </c>
      <c r="C1746" s="2" t="s">
        <v>573</v>
      </c>
      <c r="D1746" s="2" t="str">
        <f t="shared" si="26"/>
        <v>Error?</v>
      </c>
    </row>
    <row r="1747" spans="1:5" x14ac:dyDescent="0.2">
      <c r="A1747" s="5">
        <v>1686</v>
      </c>
      <c r="B1747" s="138">
        <f>'Tax Sched 23'!B7</f>
        <v>152682</v>
      </c>
      <c r="C1747" s="2" t="s">
        <v>573</v>
      </c>
      <c r="D1747" s="2" t="str">
        <f t="shared" si="26"/>
        <v>Error?</v>
      </c>
    </row>
    <row r="1748" spans="1:5" x14ac:dyDescent="0.2">
      <c r="A1748" s="5">
        <v>1687</v>
      </c>
      <c r="B1748" s="138">
        <f>'Tax Sched 23'!B8</f>
        <v>300545</v>
      </c>
      <c r="C1748" s="2" t="s">
        <v>573</v>
      </c>
      <c r="D1748" s="2" t="str">
        <f t="shared" si="26"/>
        <v>Error?</v>
      </c>
    </row>
    <row r="1749" spans="1:5" x14ac:dyDescent="0.2">
      <c r="A1749" s="5">
        <v>1688</v>
      </c>
      <c r="B1749" s="138">
        <f>'Tax Sched 23'!B10</f>
        <v>38171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574467</v>
      </c>
      <c r="C1752" s="2" t="s">
        <v>573</v>
      </c>
      <c r="D1752" s="2" t="str">
        <f t="shared" si="26"/>
        <v>Error?</v>
      </c>
    </row>
    <row r="1753" spans="1:5" x14ac:dyDescent="0.2">
      <c r="A1753" s="5">
        <v>1692</v>
      </c>
      <c r="B1753" s="138">
        <f>'Tax Sched 23'!B12</f>
        <v>38171</v>
      </c>
      <c r="C1753" s="2" t="s">
        <v>573</v>
      </c>
      <c r="D1753" s="2" t="str">
        <f t="shared" si="26"/>
        <v>Error?</v>
      </c>
    </row>
    <row r="1754" spans="1:5" x14ac:dyDescent="0.2">
      <c r="A1754" s="5">
        <v>1693</v>
      </c>
      <c r="B1754" s="138">
        <f>'Tax Sched 23'!B14</f>
        <v>30536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3503152</v>
      </c>
      <c r="C1759" s="2" t="s">
        <v>573</v>
      </c>
      <c r="D1759" s="2" t="str">
        <f t="shared" si="26"/>
        <v>Error?</v>
      </c>
    </row>
    <row r="1760" spans="1:5" x14ac:dyDescent="0.2">
      <c r="A1760" s="5">
        <v>1699</v>
      </c>
      <c r="B1760" s="138">
        <f>'Tax Sched 23'!D4</f>
        <v>801243</v>
      </c>
      <c r="C1760" s="2" t="s">
        <v>573</v>
      </c>
      <c r="D1760" s="2" t="str">
        <f t="shared" si="26"/>
        <v>Error?</v>
      </c>
    </row>
    <row r="1761" spans="1:5" x14ac:dyDescent="0.2">
      <c r="A1761" s="5">
        <v>1700</v>
      </c>
      <c r="B1761" s="138">
        <f>'Tax Sched 23'!D5</f>
        <v>217728</v>
      </c>
      <c r="C1761" s="2" t="s">
        <v>573</v>
      </c>
      <c r="D1761" s="2" t="str">
        <f t="shared" si="26"/>
        <v>Error?</v>
      </c>
    </row>
    <row r="1762" spans="1:5" s="8" customFormat="1" x14ac:dyDescent="0.2">
      <c r="A1762" s="5">
        <v>1701</v>
      </c>
      <c r="B1762" s="138">
        <f>'Tax Sched 23'!D6</f>
        <v>101961</v>
      </c>
      <c r="C1762" s="2" t="s">
        <v>573</v>
      </c>
      <c r="D1762" s="2" t="str">
        <f t="shared" si="26"/>
        <v>Error?</v>
      </c>
      <c r="E1762" s="9"/>
    </row>
    <row r="1763" spans="1:5" x14ac:dyDescent="0.2">
      <c r="A1763" s="5">
        <v>1702</v>
      </c>
      <c r="B1763" s="138">
        <f>'Tax Sched 23'!D7</f>
        <v>87091</v>
      </c>
      <c r="C1763" s="2" t="s">
        <v>573</v>
      </c>
      <c r="D1763" s="2" t="str">
        <f t="shared" si="26"/>
        <v>Error?</v>
      </c>
    </row>
    <row r="1764" spans="1:5" x14ac:dyDescent="0.2">
      <c r="A1764" s="5">
        <v>1703</v>
      </c>
      <c r="B1764" s="138">
        <f>'Tax Sched 23'!D8</f>
        <v>170807</v>
      </c>
      <c r="C1764" s="2" t="s">
        <v>573</v>
      </c>
      <c r="D1764" s="2" t="str">
        <f t="shared" si="26"/>
        <v>Error?</v>
      </c>
    </row>
    <row r="1765" spans="1:5" x14ac:dyDescent="0.2">
      <c r="A1765" s="5">
        <v>1704</v>
      </c>
      <c r="B1765" s="138">
        <f>'Tax Sched 23'!D10</f>
        <v>21773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327551</v>
      </c>
      <c r="C1768" s="2" t="s">
        <v>573</v>
      </c>
      <c r="D1768" s="2" t="str">
        <f t="shared" si="26"/>
        <v>Error?</v>
      </c>
    </row>
    <row r="1769" spans="1:5" x14ac:dyDescent="0.2">
      <c r="A1769" s="5">
        <v>1708</v>
      </c>
      <c r="B1769" s="138">
        <f>'Tax Sched 23'!D12</f>
        <v>21773</v>
      </c>
      <c r="C1769" s="2" t="s">
        <v>573</v>
      </c>
      <c r="D1769" s="2" t="str">
        <f t="shared" si="26"/>
        <v>Error?</v>
      </c>
    </row>
    <row r="1770" spans="1:5" x14ac:dyDescent="0.2">
      <c r="A1770" s="5">
        <v>1709</v>
      </c>
      <c r="B1770" s="138">
        <f>'Tax Sched 23'!D14</f>
        <v>17418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1997059</v>
      </c>
      <c r="C1775" s="2" t="s">
        <v>573</v>
      </c>
      <c r="D1775" s="2" t="str">
        <f t="shared" si="26"/>
        <v>Error?</v>
      </c>
    </row>
    <row r="1776" spans="1:5" x14ac:dyDescent="0.2">
      <c r="A1776" s="5">
        <v>1715</v>
      </c>
      <c r="B1776" s="138">
        <f>'Tax Sched 23'!C4</f>
        <v>603434</v>
      </c>
      <c r="D1776" s="2" t="str">
        <f t="shared" si="26"/>
        <v>Error?</v>
      </c>
    </row>
    <row r="1777" spans="1:4" x14ac:dyDescent="0.2">
      <c r="A1777" s="5">
        <v>1716</v>
      </c>
      <c r="B1777" s="138">
        <f>'Tax Sched 23'!C5</f>
        <v>163977</v>
      </c>
      <c r="D1777" s="2" t="str">
        <f t="shared" si="26"/>
        <v>Error?</v>
      </c>
    </row>
    <row r="1778" spans="1:4" x14ac:dyDescent="0.2">
      <c r="A1778" s="5">
        <v>1717</v>
      </c>
      <c r="B1778" s="138">
        <f>'Tax Sched 23'!C6</f>
        <v>75068</v>
      </c>
      <c r="D1778" s="2" t="str">
        <f t="shared" si="26"/>
        <v>Error?</v>
      </c>
    </row>
    <row r="1779" spans="1:4" x14ac:dyDescent="0.2">
      <c r="A1779" s="5">
        <v>1718</v>
      </c>
      <c r="B1779" s="138">
        <f>'Tax Sched 23'!C7</f>
        <v>65591</v>
      </c>
      <c r="D1779" s="2" t="str">
        <f t="shared" si="26"/>
        <v>Error?</v>
      </c>
    </row>
    <row r="1780" spans="1:4" x14ac:dyDescent="0.2">
      <c r="A1780" s="5">
        <v>1719</v>
      </c>
      <c r="B1780" s="138">
        <f>'Tax Sched 23'!C8</f>
        <v>129738</v>
      </c>
      <c r="D1780" s="2" t="str">
        <f t="shared" si="26"/>
        <v>Error?</v>
      </c>
    </row>
    <row r="1781" spans="1:4" x14ac:dyDescent="0.2">
      <c r="A1781" s="5">
        <v>1720</v>
      </c>
      <c r="B1781" s="138">
        <f>'Tax Sched 23'!C10</f>
        <v>16398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246916</v>
      </c>
      <c r="D1784" s="2" t="str">
        <f t="shared" si="26"/>
        <v>Error?</v>
      </c>
    </row>
    <row r="1785" spans="1:4" x14ac:dyDescent="0.2">
      <c r="A1785" s="5">
        <v>1724</v>
      </c>
      <c r="B1785" s="138">
        <f>'Tax Sched 23'!C12</f>
        <v>16398</v>
      </c>
      <c r="D1785" s="2" t="str">
        <f t="shared" si="26"/>
        <v>Error?</v>
      </c>
    </row>
    <row r="1786" spans="1:4" x14ac:dyDescent="0.2">
      <c r="A1786" s="5">
        <v>1725</v>
      </c>
      <c r="B1786" s="138">
        <f>'Tax Sched 23'!C14</f>
        <v>13118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1506093</v>
      </c>
      <c r="C1791" s="2" t="s">
        <v>573</v>
      </c>
      <c r="D1791" s="2" t="str">
        <f t="shared" ref="D1791:D1854" si="27">IF(ISBLANK(B1791),"OK",IF(A1791-B1791=0,"OK","Error?"))</f>
        <v>Error?</v>
      </c>
    </row>
    <row r="1792" spans="1:4" x14ac:dyDescent="0.2">
      <c r="A1792" s="5">
        <v>1731</v>
      </c>
      <c r="B1792" s="138">
        <f>'Tax Sched 23'!F4</f>
        <v>838497</v>
      </c>
      <c r="C1792" s="2" t="s">
        <v>573</v>
      </c>
      <c r="D1792" s="2" t="str">
        <f t="shared" si="27"/>
        <v>Error?</v>
      </c>
    </row>
    <row r="1793" spans="1:4" x14ac:dyDescent="0.2">
      <c r="A1793" s="5">
        <v>1732</v>
      </c>
      <c r="B1793" s="138">
        <f>'Tax Sched 23'!F5</f>
        <v>227852</v>
      </c>
      <c r="C1793" s="2" t="s">
        <v>573</v>
      </c>
      <c r="D1793" s="2" t="str">
        <f t="shared" si="27"/>
        <v>Error?</v>
      </c>
    </row>
    <row r="1794" spans="1:4" x14ac:dyDescent="0.2">
      <c r="A1794" s="5">
        <v>1733</v>
      </c>
      <c r="B1794" s="138">
        <f>'Tax Sched 23'!F6</f>
        <v>104311</v>
      </c>
      <c r="C1794" s="2" t="s">
        <v>573</v>
      </c>
      <c r="D1794" s="2" t="str">
        <f t="shared" si="27"/>
        <v>Error?</v>
      </c>
    </row>
    <row r="1795" spans="1:4" x14ac:dyDescent="0.2">
      <c r="A1795" s="5">
        <v>1734</v>
      </c>
      <c r="B1795" s="138">
        <f>'Tax Sched 23'!F7</f>
        <v>91141</v>
      </c>
      <c r="C1795" s="2" t="s">
        <v>573</v>
      </c>
      <c r="D1795" s="2" t="str">
        <f t="shared" si="27"/>
        <v>Error?</v>
      </c>
    </row>
    <row r="1796" spans="1:4" x14ac:dyDescent="0.2">
      <c r="A1796" s="5">
        <v>1735</v>
      </c>
      <c r="B1796" s="138">
        <f>'Tax Sched 23'!F8</f>
        <v>180277</v>
      </c>
      <c r="C1796" s="2" t="s">
        <v>573</v>
      </c>
      <c r="D1796" s="2" t="str">
        <f t="shared" si="27"/>
        <v>Error?</v>
      </c>
    </row>
    <row r="1797" spans="1:4" x14ac:dyDescent="0.2">
      <c r="A1797" s="5">
        <v>1736</v>
      </c>
      <c r="B1797" s="138">
        <f>'Tax Sched 23'!F10</f>
        <v>22785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343100</v>
      </c>
      <c r="C1800" s="2" t="s">
        <v>573</v>
      </c>
      <c r="D1800" s="2" t="str">
        <f t="shared" si="27"/>
        <v>Error?</v>
      </c>
    </row>
    <row r="1801" spans="1:4" x14ac:dyDescent="0.2">
      <c r="A1801" s="5">
        <v>1740</v>
      </c>
      <c r="B1801" s="138">
        <f>'Tax Sched 23'!F12</f>
        <v>22785</v>
      </c>
      <c r="C1801" s="2" t="s">
        <v>573</v>
      </c>
      <c r="D1801" s="2" t="str">
        <f t="shared" si="27"/>
        <v>Error?</v>
      </c>
    </row>
    <row r="1802" spans="1:4" x14ac:dyDescent="0.2">
      <c r="A1802" s="5">
        <v>1741</v>
      </c>
      <c r="B1802" s="138">
        <f>'Tax Sched 23'!F14</f>
        <v>18228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2092778</v>
      </c>
      <c r="C1807" s="2" t="s">
        <v>573</v>
      </c>
      <c r="D1807" s="2" t="str">
        <f t="shared" si="27"/>
        <v>Error?</v>
      </c>
    </row>
    <row r="1808" spans="1:4" x14ac:dyDescent="0.2">
      <c r="A1808" s="5">
        <v>1747</v>
      </c>
      <c r="B1808" s="138">
        <f>'Tax Sched 23'!E4</f>
        <v>1441931</v>
      </c>
      <c r="D1808" s="2" t="str">
        <f t="shared" si="27"/>
        <v>Error?</v>
      </c>
    </row>
    <row r="1809" spans="1:4" x14ac:dyDescent="0.2">
      <c r="A1809" s="5">
        <v>1748</v>
      </c>
      <c r="B1809" s="138">
        <f>'Tax Sched 23'!E5</f>
        <v>391829</v>
      </c>
      <c r="D1809" s="2" t="str">
        <f t="shared" si="27"/>
        <v>Error?</v>
      </c>
    </row>
    <row r="1810" spans="1:4" x14ac:dyDescent="0.2">
      <c r="A1810" s="5">
        <v>1749</v>
      </c>
      <c r="B1810" s="138">
        <f>'Tax Sched 23'!E6</f>
        <v>179379</v>
      </c>
      <c r="D1810" s="2" t="str">
        <f t="shared" si="27"/>
        <v>Error?</v>
      </c>
    </row>
    <row r="1811" spans="1:4" x14ac:dyDescent="0.2">
      <c r="A1811" s="5">
        <v>1750</v>
      </c>
      <c r="B1811" s="138">
        <f>'Tax Sched 23'!E7</f>
        <v>156732</v>
      </c>
      <c r="D1811" s="2" t="str">
        <f t="shared" si="27"/>
        <v>Error?</v>
      </c>
    </row>
    <row r="1812" spans="1:4" x14ac:dyDescent="0.2">
      <c r="A1812" s="5">
        <v>1751</v>
      </c>
      <c r="B1812" s="138">
        <f>'Tax Sched 23'!E8</f>
        <v>310015</v>
      </c>
      <c r="D1812" s="2" t="str">
        <f t="shared" si="27"/>
        <v>Error?</v>
      </c>
    </row>
    <row r="1813" spans="1:4" x14ac:dyDescent="0.2">
      <c r="A1813" s="5">
        <v>1752</v>
      </c>
      <c r="B1813" s="138">
        <f>'Tax Sched 23'!E10</f>
        <v>39183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590016</v>
      </c>
      <c r="D1816" s="2" t="str">
        <f t="shared" si="27"/>
        <v>Error?</v>
      </c>
    </row>
    <row r="1817" spans="1:4" x14ac:dyDescent="0.2">
      <c r="A1817" s="5">
        <v>1756</v>
      </c>
      <c r="B1817" s="138">
        <f>'Tax Sched 23'!E12</f>
        <v>39183</v>
      </c>
      <c r="D1817" s="2" t="str">
        <f t="shared" si="27"/>
        <v>Error?</v>
      </c>
    </row>
    <row r="1818" spans="1:4" x14ac:dyDescent="0.2">
      <c r="A1818" s="5">
        <v>1757</v>
      </c>
      <c r="B1818" s="138">
        <f>'Tax Sched 23'!E14</f>
        <v>31346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3598871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6438000</v>
      </c>
      <c r="C1939" s="2" t="s">
        <v>573</v>
      </c>
      <c r="D1939" s="2" t="str">
        <f t="shared" si="29"/>
        <v>Error?</v>
      </c>
    </row>
    <row r="1940" spans="1:5" x14ac:dyDescent="0.2">
      <c r="A1940" s="5">
        <v>1879</v>
      </c>
      <c r="B1940" s="138">
        <f>'Short-Term Long-Term Debt 24'!F49</f>
        <v>650000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30536</v>
      </c>
      <c r="D1972" s="2" t="str">
        <f t="shared" si="29"/>
        <v>Error?</v>
      </c>
    </row>
    <row r="1973" spans="1:5" x14ac:dyDescent="0.2">
      <c r="A1973" s="5">
        <v>1912</v>
      </c>
      <c r="B1973" s="138">
        <f>'Rest Tax Levies-Tort Im 25'!H6</f>
        <v>12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30548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30548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396790</v>
      </c>
      <c r="D2008" s="2" t="str">
        <f t="shared" si="30"/>
        <v>Error?</v>
      </c>
    </row>
    <row r="2009" spans="1:4" x14ac:dyDescent="0.2">
      <c r="A2009" s="5">
        <v>1948</v>
      </c>
      <c r="B2009" s="138">
        <f>'Cap Outlay Deprec 26'!C8</f>
        <v>22988062</v>
      </c>
      <c r="D2009" s="2" t="str">
        <f t="shared" si="30"/>
        <v>Error?</v>
      </c>
    </row>
    <row r="2010" spans="1:4" x14ac:dyDescent="0.2">
      <c r="A2010" s="5">
        <v>1949</v>
      </c>
      <c r="B2010" s="138">
        <f>'Cap Outlay Deprec 26'!C10</f>
        <v>2985451</v>
      </c>
      <c r="D2010" s="2" t="str">
        <f t="shared" si="30"/>
        <v>Error?</v>
      </c>
    </row>
    <row r="2011" spans="1:4" x14ac:dyDescent="0.2">
      <c r="A2011" s="5">
        <v>1950</v>
      </c>
      <c r="B2011" s="138">
        <f>'Cap Outlay Deprec 26'!C12</f>
        <v>4478353</v>
      </c>
      <c r="D2011" s="2" t="str">
        <f t="shared" si="30"/>
        <v>Error?</v>
      </c>
    </row>
    <row r="2012" spans="1:4" x14ac:dyDescent="0.2">
      <c r="A2012" s="5">
        <v>1951</v>
      </c>
      <c r="B2012" s="138">
        <f>'Cap Outlay Deprec 26'!C13</f>
        <v>1071512</v>
      </c>
      <c r="D2012" s="2" t="str">
        <f t="shared" si="30"/>
        <v>Error?</v>
      </c>
    </row>
    <row r="2013" spans="1:4" x14ac:dyDescent="0.2">
      <c r="A2013" s="5">
        <v>1952</v>
      </c>
      <c r="B2013" s="138">
        <f>'Cap Outlay Deprec 26'!C16</f>
        <v>31930654</v>
      </c>
      <c r="C2013" s="2" t="s">
        <v>573</v>
      </c>
      <c r="D2013" s="2" t="str">
        <f t="shared" si="30"/>
        <v>Error?</v>
      </c>
    </row>
    <row r="2014" spans="1:4" x14ac:dyDescent="0.2">
      <c r="A2014" s="5">
        <v>1953</v>
      </c>
      <c r="B2014" s="138">
        <f>'Cap Outlay Deprec 26'!D5</f>
        <v>28500</v>
      </c>
      <c r="D2014" s="2" t="str">
        <f t="shared" si="30"/>
        <v>Error?</v>
      </c>
    </row>
    <row r="2015" spans="1:4" x14ac:dyDescent="0.2">
      <c r="A2015" s="5">
        <v>1954</v>
      </c>
      <c r="B2015" s="138">
        <f>'Cap Outlay Deprec 26'!D8</f>
        <v>3511542</v>
      </c>
      <c r="D2015" s="2" t="str">
        <f t="shared" si="30"/>
        <v>Error?</v>
      </c>
    </row>
    <row r="2016" spans="1:4" x14ac:dyDescent="0.2">
      <c r="A2016" s="5">
        <v>1955</v>
      </c>
      <c r="B2016" s="138">
        <f>'Cap Outlay Deprec 26'!D10</f>
        <v>185754</v>
      </c>
      <c r="D2016" s="2" t="str">
        <f t="shared" si="30"/>
        <v>Error?</v>
      </c>
    </row>
    <row r="2017" spans="1:4" x14ac:dyDescent="0.2">
      <c r="A2017" s="5">
        <v>1956</v>
      </c>
      <c r="B2017" s="138">
        <f>'Cap Outlay Deprec 26'!D12</f>
        <v>345005</v>
      </c>
      <c r="D2017" s="2" t="str">
        <f t="shared" si="30"/>
        <v>Error?</v>
      </c>
    </row>
    <row r="2018" spans="1:4" x14ac:dyDescent="0.2">
      <c r="A2018" s="5">
        <v>1957</v>
      </c>
      <c r="B2018" s="138">
        <f>'Cap Outlay Deprec 26'!D13</f>
        <v>35790</v>
      </c>
      <c r="D2018" s="2" t="str">
        <f t="shared" si="30"/>
        <v>Error?</v>
      </c>
    </row>
    <row r="2019" spans="1:4" x14ac:dyDescent="0.2">
      <c r="A2019" s="5">
        <v>1958</v>
      </c>
      <c r="B2019" s="138">
        <f>'Cap Outlay Deprec 26'!D16</f>
        <v>4106591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365118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365118</v>
      </c>
      <c r="C2025" s="2" t="s">
        <v>573</v>
      </c>
      <c r="D2025" s="2" t="str">
        <f t="shared" si="30"/>
        <v>Error?</v>
      </c>
    </row>
    <row r="2026" spans="1:4" x14ac:dyDescent="0.2">
      <c r="A2026" s="5">
        <v>1965</v>
      </c>
      <c r="B2026" s="138">
        <f>'Cap Outlay Deprec 26'!F5</f>
        <v>425290</v>
      </c>
      <c r="C2026" s="2" t="s">
        <v>573</v>
      </c>
      <c r="D2026" s="2" t="str">
        <f t="shared" si="30"/>
        <v>Error?</v>
      </c>
    </row>
    <row r="2027" spans="1:4" x14ac:dyDescent="0.2">
      <c r="A2027" s="5">
        <v>1966</v>
      </c>
      <c r="B2027" s="138">
        <f>'Cap Outlay Deprec 26'!F8</f>
        <v>26499604</v>
      </c>
      <c r="C2027" s="2" t="s">
        <v>573</v>
      </c>
      <c r="D2027" s="2" t="str">
        <f t="shared" si="30"/>
        <v>Error?</v>
      </c>
    </row>
    <row r="2028" spans="1:4" x14ac:dyDescent="0.2">
      <c r="A2028" s="5">
        <v>1967</v>
      </c>
      <c r="B2028" s="138">
        <f>'Cap Outlay Deprec 26'!F10</f>
        <v>3171205</v>
      </c>
      <c r="C2028" s="2" t="s">
        <v>573</v>
      </c>
      <c r="D2028" s="2" t="str">
        <f t="shared" si="30"/>
        <v>Error?</v>
      </c>
    </row>
    <row r="2029" spans="1:4" x14ac:dyDescent="0.2">
      <c r="A2029" s="5">
        <v>1968</v>
      </c>
      <c r="B2029" s="138">
        <f>'Cap Outlay Deprec 26'!F12</f>
        <v>4458240</v>
      </c>
      <c r="C2029" s="2" t="s">
        <v>573</v>
      </c>
      <c r="D2029" s="2" t="str">
        <f t="shared" si="30"/>
        <v>Error?</v>
      </c>
    </row>
    <row r="2030" spans="1:4" x14ac:dyDescent="0.2">
      <c r="A2030" s="5">
        <v>1969</v>
      </c>
      <c r="B2030" s="138">
        <f>'Cap Outlay Deprec 26'!F13</f>
        <v>1107302</v>
      </c>
      <c r="C2030" s="2" t="s">
        <v>573</v>
      </c>
      <c r="D2030" s="2" t="str">
        <f t="shared" si="30"/>
        <v>Error?</v>
      </c>
    </row>
    <row r="2031" spans="1:4" x14ac:dyDescent="0.2">
      <c r="A2031" s="5">
        <v>1970</v>
      </c>
      <c r="B2031" s="138">
        <f>'Cap Outlay Deprec 26'!F16</f>
        <v>35672127</v>
      </c>
      <c r="C2031" s="2" t="s">
        <v>573</v>
      </c>
      <c r="D2031" s="2" t="str">
        <f t="shared" si="30"/>
        <v>Error?</v>
      </c>
    </row>
    <row r="2032" spans="1:4" x14ac:dyDescent="0.2">
      <c r="A2032" s="10">
        <v>1971</v>
      </c>
      <c r="D2032" s="2" t="str">
        <f t="shared" si="30"/>
        <v>OK</v>
      </c>
    </row>
    <row r="2033" spans="1:4" x14ac:dyDescent="0.2">
      <c r="A2033" s="5">
        <v>1972</v>
      </c>
      <c r="B2033" s="138">
        <f>'Cap Outlay Deprec 26'!H8</f>
        <v>9514216</v>
      </c>
      <c r="D2033" s="2" t="str">
        <f t="shared" si="30"/>
        <v>Error?</v>
      </c>
    </row>
    <row r="2034" spans="1:4" x14ac:dyDescent="0.2">
      <c r="A2034" s="5">
        <v>1973</v>
      </c>
      <c r="B2034" s="138">
        <f>'Cap Outlay Deprec 26'!H10</f>
        <v>1102722</v>
      </c>
      <c r="D2034" s="2" t="str">
        <f t="shared" si="30"/>
        <v>Error?</v>
      </c>
    </row>
    <row r="2035" spans="1:4" x14ac:dyDescent="0.2">
      <c r="A2035" s="5">
        <v>1974</v>
      </c>
      <c r="B2035" s="138">
        <f>'Cap Outlay Deprec 26'!H12</f>
        <v>2192096</v>
      </c>
      <c r="D2035" s="2" t="str">
        <f t="shared" si="30"/>
        <v>Error?</v>
      </c>
    </row>
    <row r="2036" spans="1:4" x14ac:dyDescent="0.2">
      <c r="A2036" s="5">
        <v>1975</v>
      </c>
      <c r="B2036" s="138">
        <f>'Cap Outlay Deprec 26'!H13</f>
        <v>987717</v>
      </c>
      <c r="D2036" s="2" t="str">
        <f t="shared" si="30"/>
        <v>Error?</v>
      </c>
    </row>
    <row r="2037" spans="1:4" x14ac:dyDescent="0.2">
      <c r="A2037" s="5">
        <v>1976</v>
      </c>
      <c r="B2037" s="138">
        <f>'Cap Outlay Deprec 26'!H16</f>
        <v>13800852</v>
      </c>
      <c r="C2037" s="2" t="s">
        <v>573</v>
      </c>
      <c r="D2037" s="2" t="str">
        <f t="shared" si="30"/>
        <v>Error?</v>
      </c>
    </row>
    <row r="2038" spans="1:4" x14ac:dyDescent="0.2">
      <c r="A2038" s="10">
        <v>1977</v>
      </c>
      <c r="D2038" s="2" t="str">
        <f t="shared" si="30"/>
        <v>OK</v>
      </c>
    </row>
    <row r="2039" spans="1:4" x14ac:dyDescent="0.2">
      <c r="A2039" s="5">
        <v>1978</v>
      </c>
      <c r="B2039" s="138">
        <f>'Cap Outlay Deprec 26'!I8</f>
        <v>449325</v>
      </c>
      <c r="D2039" s="2" t="str">
        <f t="shared" si="30"/>
        <v>Error?</v>
      </c>
    </row>
    <row r="2040" spans="1:4" x14ac:dyDescent="0.2">
      <c r="A2040" s="5">
        <v>1979</v>
      </c>
      <c r="B2040" s="138">
        <f>'Cap Outlay Deprec 26'!I10</f>
        <v>152697</v>
      </c>
      <c r="D2040" s="2" t="str">
        <f t="shared" si="30"/>
        <v>Error?</v>
      </c>
    </row>
    <row r="2041" spans="1:4" x14ac:dyDescent="0.2">
      <c r="A2041" s="5">
        <v>1980</v>
      </c>
      <c r="B2041" s="138">
        <f>'Cap Outlay Deprec 26'!I12</f>
        <v>453103</v>
      </c>
      <c r="D2041" s="2" t="str">
        <f t="shared" si="30"/>
        <v>Error?</v>
      </c>
    </row>
    <row r="2042" spans="1:4" x14ac:dyDescent="0.2">
      <c r="A2042" s="5">
        <v>1981</v>
      </c>
      <c r="B2042" s="138">
        <f>'Cap Outlay Deprec 26'!I13</f>
        <v>30495</v>
      </c>
      <c r="D2042" s="2" t="str">
        <f t="shared" si="30"/>
        <v>Error?</v>
      </c>
    </row>
    <row r="2043" spans="1:4" x14ac:dyDescent="0.2">
      <c r="A2043" s="5">
        <v>1982</v>
      </c>
      <c r="B2043" s="138">
        <f>'Cap Outlay Deprec 26'!I16</f>
        <v>1088813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365118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365118</v>
      </c>
      <c r="C2049" s="2" t="s">
        <v>573</v>
      </c>
      <c r="D2049" s="2" t="str">
        <f t="shared" si="31"/>
        <v>Error?</v>
      </c>
    </row>
    <row r="2050" spans="1:4" x14ac:dyDescent="0.2">
      <c r="A2050" s="10">
        <v>1989</v>
      </c>
      <c r="D2050" s="2" t="str">
        <f t="shared" si="31"/>
        <v>OK</v>
      </c>
    </row>
    <row r="2051" spans="1:4" x14ac:dyDescent="0.2">
      <c r="A2051" s="5">
        <v>1990</v>
      </c>
      <c r="B2051" s="138">
        <f>'Cap Outlay Deprec 26'!K8</f>
        <v>9963541</v>
      </c>
      <c r="C2051" s="2" t="s">
        <v>573</v>
      </c>
      <c r="D2051" s="2" t="str">
        <f t="shared" si="31"/>
        <v>Error?</v>
      </c>
    </row>
    <row r="2052" spans="1:4" x14ac:dyDescent="0.2">
      <c r="A2052" s="5">
        <v>1991</v>
      </c>
      <c r="B2052" s="138">
        <f>'Cap Outlay Deprec 26'!K10</f>
        <v>1255419</v>
      </c>
      <c r="C2052" s="2" t="s">
        <v>573</v>
      </c>
      <c r="D2052" s="2" t="str">
        <f t="shared" si="31"/>
        <v>Error?</v>
      </c>
    </row>
    <row r="2053" spans="1:4" x14ac:dyDescent="0.2">
      <c r="A2053" s="5">
        <v>1992</v>
      </c>
      <c r="B2053" s="138">
        <f>'Cap Outlay Deprec 26'!K12</f>
        <v>2280081</v>
      </c>
      <c r="C2053" s="2" t="s">
        <v>573</v>
      </c>
      <c r="D2053" s="2" t="str">
        <f t="shared" si="31"/>
        <v>Error?</v>
      </c>
    </row>
    <row r="2054" spans="1:4" x14ac:dyDescent="0.2">
      <c r="A2054" s="5">
        <v>1993</v>
      </c>
      <c r="B2054" s="138">
        <f>'Cap Outlay Deprec 26'!K13</f>
        <v>1018212</v>
      </c>
      <c r="C2054" s="2" t="s">
        <v>573</v>
      </c>
      <c r="D2054" s="2" t="str">
        <f t="shared" si="31"/>
        <v>Error?</v>
      </c>
    </row>
    <row r="2055" spans="1:4" x14ac:dyDescent="0.2">
      <c r="A2055" s="5">
        <v>1994</v>
      </c>
      <c r="B2055" s="138">
        <f>'Cap Outlay Deprec 26'!K16</f>
        <v>14524547</v>
      </c>
      <c r="C2055" s="2" t="s">
        <v>573</v>
      </c>
      <c r="D2055" s="2" t="str">
        <f t="shared" si="31"/>
        <v>Error?</v>
      </c>
    </row>
    <row r="2056" spans="1:4" x14ac:dyDescent="0.2">
      <c r="A2056" s="5">
        <v>1995</v>
      </c>
      <c r="B2056" s="138">
        <f>'Cap Outlay Deprec 26'!L5</f>
        <v>425290</v>
      </c>
      <c r="C2056" s="2" t="s">
        <v>573</v>
      </c>
      <c r="D2056" s="2" t="str">
        <f t="shared" si="31"/>
        <v>Error?</v>
      </c>
    </row>
    <row r="2057" spans="1:4" x14ac:dyDescent="0.2">
      <c r="A2057" s="5">
        <v>1996</v>
      </c>
      <c r="B2057" s="138">
        <f>'Cap Outlay Deprec 26'!L8</f>
        <v>16536063</v>
      </c>
      <c r="C2057" s="2" t="s">
        <v>573</v>
      </c>
      <c r="D2057" s="2" t="str">
        <f t="shared" si="31"/>
        <v>Error?</v>
      </c>
    </row>
    <row r="2058" spans="1:4" x14ac:dyDescent="0.2">
      <c r="A2058" s="5">
        <v>1997</v>
      </c>
      <c r="B2058" s="138">
        <f>'Cap Outlay Deprec 26'!L10</f>
        <v>1915786</v>
      </c>
      <c r="C2058" s="2" t="s">
        <v>573</v>
      </c>
      <c r="D2058" s="2" t="str">
        <f t="shared" si="31"/>
        <v>Error?</v>
      </c>
    </row>
    <row r="2059" spans="1:4" x14ac:dyDescent="0.2">
      <c r="A2059" s="5">
        <v>1998</v>
      </c>
      <c r="B2059" s="138">
        <f>'Cap Outlay Deprec 26'!L12</f>
        <v>2178159</v>
      </c>
      <c r="C2059" s="2" t="s">
        <v>573</v>
      </c>
      <c r="D2059" s="2" t="str">
        <f t="shared" si="31"/>
        <v>Error?</v>
      </c>
    </row>
    <row r="2060" spans="1:4" x14ac:dyDescent="0.2">
      <c r="A2060" s="5">
        <v>1999</v>
      </c>
      <c r="B2060" s="138">
        <f>'Cap Outlay Deprec 26'!L13</f>
        <v>89090</v>
      </c>
      <c r="C2060" s="2" t="s">
        <v>573</v>
      </c>
      <c r="D2060" s="2" t="str">
        <f t="shared" si="31"/>
        <v>Error?</v>
      </c>
    </row>
    <row r="2061" spans="1:4" x14ac:dyDescent="0.2">
      <c r="A2061" s="5">
        <v>2000</v>
      </c>
      <c r="B2061" s="138">
        <f>'Cap Outlay Deprec 26'!L16</f>
        <v>21147580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7871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29866</v>
      </c>
      <c r="C2088" s="2" t="s">
        <v>573</v>
      </c>
      <c r="D2088" s="2" t="str">
        <f t="shared" si="31"/>
        <v>Error?</v>
      </c>
    </row>
    <row r="2089" spans="1:4" x14ac:dyDescent="0.2">
      <c r="A2089" s="5">
        <v>2028</v>
      </c>
      <c r="B2089" s="138">
        <f>'Expenditures 15-22'!K92</f>
        <v>1516314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65035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595550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1811443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2660404</v>
      </c>
      <c r="C2551" s="2" t="s">
        <v>573</v>
      </c>
      <c r="D2551" s="2" t="str">
        <f t="shared" si="38"/>
        <v>Error?</v>
      </c>
    </row>
    <row r="2552" spans="1:4" x14ac:dyDescent="0.2">
      <c r="A2552" s="10">
        <v>2491</v>
      </c>
      <c r="D2552" s="2" t="str">
        <f t="shared" si="38"/>
        <v>OK</v>
      </c>
    </row>
    <row r="2553" spans="1:4" x14ac:dyDescent="0.2">
      <c r="A2553" s="5">
        <v>2492</v>
      </c>
      <c r="B2553" s="138">
        <f>'Acct Summary 7-8'!C6</f>
        <v>11464020</v>
      </c>
      <c r="C2553" s="2" t="s">
        <v>573</v>
      </c>
      <c r="D2553" s="2" t="str">
        <f t="shared" si="38"/>
        <v>Error?</v>
      </c>
    </row>
    <row r="2554" spans="1:4" x14ac:dyDescent="0.2">
      <c r="A2554" s="5">
        <v>2493</v>
      </c>
      <c r="B2554" s="138">
        <f>'Acct Summary 7-8'!C7</f>
        <v>2417586</v>
      </c>
      <c r="C2554" s="2" t="s">
        <v>573</v>
      </c>
      <c r="D2554" s="2" t="str">
        <f t="shared" si="38"/>
        <v>Error?</v>
      </c>
    </row>
    <row r="2555" spans="1:4" x14ac:dyDescent="0.2">
      <c r="A2555" s="5">
        <v>2494</v>
      </c>
      <c r="B2555" s="138">
        <f>'Acct Summary 7-8'!C8</f>
        <v>16542010</v>
      </c>
      <c r="C2555" s="2" t="s">
        <v>573</v>
      </c>
      <c r="D2555" s="2" t="str">
        <f t="shared" si="38"/>
        <v>Error?</v>
      </c>
    </row>
    <row r="2556" spans="1:4" x14ac:dyDescent="0.2">
      <c r="A2556" s="5">
        <v>2495</v>
      </c>
      <c r="B2556" s="138">
        <f>'Acct Summary 7-8'!C12</f>
        <v>10129776</v>
      </c>
      <c r="C2556" s="2" t="s">
        <v>573</v>
      </c>
      <c r="D2556" s="2" t="str">
        <f t="shared" si="38"/>
        <v>Error?</v>
      </c>
    </row>
    <row r="2557" spans="1:4" x14ac:dyDescent="0.2">
      <c r="A2557" s="5">
        <v>2496</v>
      </c>
      <c r="B2557" s="138">
        <f>'Acct Summary 7-8'!C13</f>
        <v>4057173</v>
      </c>
      <c r="C2557" s="2" t="s">
        <v>573</v>
      </c>
      <c r="D2557" s="2" t="str">
        <f t="shared" si="38"/>
        <v>Error?</v>
      </c>
    </row>
    <row r="2558" spans="1:4" x14ac:dyDescent="0.2">
      <c r="A2558" s="5">
        <v>2497</v>
      </c>
      <c r="B2558" s="138">
        <f>'Acct Summary 7-8'!C14</f>
        <v>148483</v>
      </c>
      <c r="C2558" s="2" t="s">
        <v>573</v>
      </c>
      <c r="D2558" s="2" t="str">
        <f t="shared" si="38"/>
        <v>Error?</v>
      </c>
    </row>
    <row r="2559" spans="1:4" x14ac:dyDescent="0.2">
      <c r="A2559" s="5">
        <v>2498</v>
      </c>
      <c r="B2559" s="138">
        <f>'Acct Summary 7-8'!C15</f>
        <v>1546180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15881612</v>
      </c>
      <c r="C2561" s="2" t="s">
        <v>573</v>
      </c>
      <c r="D2561" s="2" t="str">
        <f t="shared" si="39"/>
        <v>Error?</v>
      </c>
    </row>
    <row r="2562" spans="1:4" x14ac:dyDescent="0.2">
      <c r="A2562" s="5">
        <v>2501</v>
      </c>
      <c r="B2562" s="138">
        <f>'Acct Summary 7-8'!C20</f>
        <v>660398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577252</v>
      </c>
      <c r="C2564" s="2" t="s">
        <v>573</v>
      </c>
      <c r="D2564" s="2" t="str">
        <f t="shared" si="39"/>
        <v>Error?</v>
      </c>
    </row>
    <row r="2565" spans="1:4" x14ac:dyDescent="0.2">
      <c r="A2565" s="10">
        <v>2504</v>
      </c>
      <c r="D2565" s="2" t="str">
        <f t="shared" si="39"/>
        <v>OK</v>
      </c>
    </row>
    <row r="2566" spans="1:4" x14ac:dyDescent="0.2">
      <c r="A2566" s="5">
        <v>2505</v>
      </c>
      <c r="B2566" s="138">
        <f>'Acct Summary 7-8'!D6</f>
        <v>1770698</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2347950</v>
      </c>
      <c r="C2568" s="2" t="s">
        <v>573</v>
      </c>
      <c r="D2568" s="2" t="str">
        <f t="shared" si="39"/>
        <v>Error?</v>
      </c>
    </row>
    <row r="2569" spans="1:4" x14ac:dyDescent="0.2">
      <c r="A2569" s="5">
        <v>2508</v>
      </c>
      <c r="B2569" s="138">
        <f>'Acct Summary 7-8'!D13</f>
        <v>2146801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2146801</v>
      </c>
      <c r="C2573" s="2" t="s">
        <v>573</v>
      </c>
      <c r="D2573" s="2" t="str">
        <f t="shared" si="39"/>
        <v>Error?</v>
      </c>
    </row>
    <row r="2574" spans="1:4" x14ac:dyDescent="0.2">
      <c r="A2574" s="5">
        <v>2513</v>
      </c>
      <c r="B2574" s="138">
        <f>'Acct Summary 7-8'!D20</f>
        <v>201149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180348</v>
      </c>
      <c r="C2591" s="2" t="s">
        <v>573</v>
      </c>
      <c r="D2591" s="2" t="str">
        <f t="shared" si="39"/>
        <v>Error?</v>
      </c>
    </row>
    <row r="2592" spans="1:4" x14ac:dyDescent="0.2">
      <c r="A2592" s="10">
        <v>2531</v>
      </c>
      <c r="D2592" s="2" t="str">
        <f t="shared" si="39"/>
        <v>OK</v>
      </c>
    </row>
    <row r="2593" spans="1:4" x14ac:dyDescent="0.2">
      <c r="A2593" s="5">
        <v>2532</v>
      </c>
      <c r="B2593" s="138">
        <f>'Acct Summary 7-8'!F6</f>
        <v>576364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756712</v>
      </c>
      <c r="C2595" s="2" t="s">
        <v>573</v>
      </c>
      <c r="D2595" s="2" t="str">
        <f t="shared" si="39"/>
        <v>Error?</v>
      </c>
    </row>
    <row r="2596" spans="1:4" x14ac:dyDescent="0.2">
      <c r="A2596" s="5">
        <v>2535</v>
      </c>
      <c r="B2596" s="138">
        <f>'Acct Summary 7-8'!F13</f>
        <v>734817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3744</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738561</v>
      </c>
      <c r="C2600" s="2" t="s">
        <v>573</v>
      </c>
      <c r="D2600" s="2" t="str">
        <f t="shared" si="39"/>
        <v>Error?</v>
      </c>
    </row>
    <row r="2601" spans="1:4" x14ac:dyDescent="0.2">
      <c r="A2601" s="5">
        <v>2540</v>
      </c>
      <c r="B2601" s="138">
        <f>'Acct Summary 7-8'!F20</f>
        <v>18151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770947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770947</v>
      </c>
      <c r="C2606" s="2" t="s">
        <v>573</v>
      </c>
      <c r="D2606" s="2" t="str">
        <f t="shared" si="39"/>
        <v>Error?</v>
      </c>
    </row>
    <row r="2607" spans="1:4" x14ac:dyDescent="0.2">
      <c r="A2607" s="5">
        <v>2546</v>
      </c>
      <c r="B2607" s="138">
        <f>'Acct Summary 7-8'!G12</f>
        <v>274268</v>
      </c>
      <c r="C2607" s="2" t="s">
        <v>573</v>
      </c>
      <c r="D2607" s="2" t="str">
        <f t="shared" si="39"/>
        <v>Error?</v>
      </c>
    </row>
    <row r="2608" spans="1:4" x14ac:dyDescent="0.2">
      <c r="A2608" s="5">
        <v>2547</v>
      </c>
      <c r="B2608" s="138">
        <f>'Acct Summary 7-8'!G13</f>
        <v>465703</v>
      </c>
      <c r="C2608" s="2" t="s">
        <v>573</v>
      </c>
      <c r="D2608" s="2" t="str">
        <f t="shared" si="39"/>
        <v>Error?</v>
      </c>
    </row>
    <row r="2609" spans="1:4" x14ac:dyDescent="0.2">
      <c r="A2609" s="5">
        <v>2548</v>
      </c>
      <c r="B2609" s="138">
        <f>'Acct Summary 7-8'!G14</f>
        <v>6892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746863</v>
      </c>
      <c r="C2612" s="2" t="s">
        <v>573</v>
      </c>
      <c r="D2612" s="2" t="str">
        <f t="shared" si="39"/>
        <v>Error?</v>
      </c>
    </row>
    <row r="2613" spans="1:4" x14ac:dyDescent="0.2">
      <c r="A2613" s="5">
        <v>2552</v>
      </c>
      <c r="B2613" s="138">
        <f>'Acct Summary 7-8'!G20</f>
        <v>24084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946921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946921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692585</v>
      </c>
      <c r="C2634" s="2" t="s">
        <v>573</v>
      </c>
      <c r="D2634" s="2" t="str">
        <f t="shared" si="40"/>
        <v>Error?</v>
      </c>
    </row>
    <row r="2635" spans="1:4" x14ac:dyDescent="0.2">
      <c r="A2635" s="5">
        <v>2574</v>
      </c>
      <c r="B2635" s="138">
        <f>'Acct Summary 7-8'!E17</f>
        <v>692585</v>
      </c>
      <c r="C2635" s="2" t="s">
        <v>573</v>
      </c>
      <c r="D2635" s="2" t="str">
        <f t="shared" si="40"/>
        <v>Error?</v>
      </c>
    </row>
    <row r="2636" spans="1:4" x14ac:dyDescent="0.2">
      <c r="A2636" s="5">
        <v>2575</v>
      </c>
      <c r="B2636" s="138">
        <f>'Acct Summary 7-8'!E20</f>
        <v>254336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36246</v>
      </c>
      <c r="C2655" s="2" t="s">
        <v>573</v>
      </c>
      <c r="D2655" s="2" t="str">
        <f t="shared" si="40"/>
        <v>Error?</v>
      </c>
    </row>
    <row r="2656" spans="1:4" x14ac:dyDescent="0.2">
      <c r="A2656" s="5">
        <v>2595</v>
      </c>
      <c r="B2656" s="138">
        <f>'Acct Summary 7-8'!H6</f>
        <v>590161</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626407</v>
      </c>
      <c r="C2658" s="2" t="s">
        <v>573</v>
      </c>
      <c r="D2658" s="2" t="str">
        <f t="shared" si="40"/>
        <v>Error?</v>
      </c>
    </row>
    <row r="2659" spans="1:4" x14ac:dyDescent="0.2">
      <c r="A2659" s="5">
        <v>2598</v>
      </c>
      <c r="B2659" s="138">
        <f>'Acct Summary 7-8'!H13</f>
        <v>3387177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3387177</v>
      </c>
      <c r="C2661" s="2" t="s">
        <v>573</v>
      </c>
      <c r="D2661" s="2" t="str">
        <f t="shared" si="40"/>
        <v>Error?</v>
      </c>
    </row>
    <row r="2662" spans="1:4" x14ac:dyDescent="0.2">
      <c r="A2662" s="5">
        <v>2601</v>
      </c>
      <c r="B2662" s="138">
        <f>'Acct Summary 7-8'!H20</f>
        <v>-2760770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27005</v>
      </c>
      <c r="D2718" s="2" t="str">
        <f t="shared" si="41"/>
        <v>Error?</v>
      </c>
    </row>
    <row r="2719" spans="1:4" x14ac:dyDescent="0.2">
      <c r="A2719" s="5">
        <v>2658</v>
      </c>
      <c r="B2719" s="138">
        <f>'Expenditures 15-22'!D51</f>
        <v>6788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1456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35249</v>
      </c>
      <c r="C2724" s="2" t="s">
        <v>573</v>
      </c>
      <c r="D2724" s="2" t="str">
        <f t="shared" si="41"/>
        <v>Error?</v>
      </c>
    </row>
    <row r="2725" spans="1:4" x14ac:dyDescent="0.2">
      <c r="A2725" s="5">
        <v>2664</v>
      </c>
      <c r="B2725" s="138">
        <f>'Expenditures 15-22'!D247</f>
        <v>3899</v>
      </c>
      <c r="D2725" s="2" t="str">
        <f t="shared" si="41"/>
        <v>Error?</v>
      </c>
    </row>
    <row r="2726" spans="1:4" x14ac:dyDescent="0.2">
      <c r="A2726" s="5">
        <v>2665</v>
      </c>
      <c r="B2726" s="138">
        <f>'Expenditures 15-22'!K247</f>
        <v>3899</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21995</v>
      </c>
      <c r="C2789" s="2" t="s">
        <v>573</v>
      </c>
      <c r="D2789" s="2" t="str">
        <f t="shared" si="42"/>
        <v>Error?</v>
      </c>
    </row>
    <row r="2790" spans="1:4" x14ac:dyDescent="0.2">
      <c r="A2790" s="5">
        <v>2729</v>
      </c>
      <c r="B2790" s="138">
        <f>'Expenditures 15-22'!E102</f>
        <v>21995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3744</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3744</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102261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535834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305094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535834</v>
      </c>
      <c r="D2912" s="2" t="str">
        <f t="shared" si="44"/>
        <v>Error?</v>
      </c>
    </row>
    <row r="2913" spans="1:4" x14ac:dyDescent="0.2">
      <c r="A2913" s="5">
        <v>2852</v>
      </c>
      <c r="B2913" s="138">
        <f>'Assets-Liab 5-6'!I41</f>
        <v>535834</v>
      </c>
      <c r="C2913" s="2" t="s">
        <v>573</v>
      </c>
      <c r="D2913" s="2" t="str">
        <f t="shared" si="44"/>
        <v>Error?</v>
      </c>
    </row>
    <row r="2914" spans="1:4" x14ac:dyDescent="0.2">
      <c r="A2914" s="5">
        <v>2853</v>
      </c>
      <c r="B2914" s="138">
        <f>'Assets-Liab 5-6'!L33</f>
        <v>208665</v>
      </c>
      <c r="D2914" s="2" t="str">
        <f t="shared" si="44"/>
        <v>Error?</v>
      </c>
    </row>
    <row r="2915" spans="1:4" x14ac:dyDescent="0.2">
      <c r="A2915" s="10">
        <v>2854</v>
      </c>
      <c r="D2915" s="2" t="str">
        <f t="shared" si="44"/>
        <v>OK</v>
      </c>
    </row>
    <row r="2916" spans="1:4" x14ac:dyDescent="0.2">
      <c r="A2916" s="5">
        <v>2855</v>
      </c>
      <c r="B2916" s="138">
        <f>'Assets-Liab 5-6'!L34</f>
        <v>208665</v>
      </c>
      <c r="C2916" s="2" t="s">
        <v>573</v>
      </c>
      <c r="D2916" s="2" t="str">
        <f t="shared" si="44"/>
        <v>Error?</v>
      </c>
    </row>
    <row r="2917" spans="1:4" x14ac:dyDescent="0.2">
      <c r="A2917" s="5">
        <v>2856</v>
      </c>
      <c r="B2917" s="138">
        <f>'Assets-Liab 5-6'!L41</f>
        <v>305094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21995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7871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21995</v>
      </c>
      <c r="C2973" s="2" t="s">
        <v>573</v>
      </c>
      <c r="D2973" s="2" t="str">
        <f t="shared" si="45"/>
        <v>Error?</v>
      </c>
    </row>
    <row r="2974" spans="1:4" x14ac:dyDescent="0.2">
      <c r="A2974" s="5">
        <v>2913</v>
      </c>
      <c r="B2974" s="138">
        <f>'Expenditures 15-22'!K79</f>
        <v>7871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3744</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3744</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457155</v>
      </c>
      <c r="D3055" s="2" t="str">
        <f t="shared" si="46"/>
        <v>Error?</v>
      </c>
    </row>
    <row r="3056" spans="1:4" x14ac:dyDescent="0.2">
      <c r="A3056" s="5">
        <v>2995</v>
      </c>
      <c r="B3056" s="138">
        <f>'Expenditures 15-22'!D10</f>
        <v>95158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552313</v>
      </c>
      <c r="C3062" s="2" t="s">
        <v>573</v>
      </c>
      <c r="D3062" s="2" t="str">
        <f t="shared" si="46"/>
        <v>Error?</v>
      </c>
    </row>
    <row r="3063" spans="1:4" x14ac:dyDescent="0.2">
      <c r="A3063" s="10">
        <v>3002</v>
      </c>
      <c r="D3063" s="2" t="str">
        <f t="shared" si="46"/>
        <v>OK</v>
      </c>
    </row>
    <row r="3064" spans="1:4" x14ac:dyDescent="0.2">
      <c r="A3064" s="5">
        <v>3003</v>
      </c>
      <c r="B3064" s="138">
        <f>'Expenditures 15-22'!D219</f>
        <v>49808</v>
      </c>
      <c r="D3064" s="2" t="str">
        <f t="shared" si="46"/>
        <v>Error?</v>
      </c>
    </row>
    <row r="3065" spans="1:4" x14ac:dyDescent="0.2">
      <c r="A3065" s="5">
        <v>3004</v>
      </c>
      <c r="B3065" s="138">
        <f>'Expenditures 15-22'!K219</f>
        <v>49808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96429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48803</v>
      </c>
      <c r="C3225" s="2" t="s">
        <v>573</v>
      </c>
      <c r="D3225" s="2" t="str">
        <f t="shared" si="49"/>
        <v>Error?</v>
      </c>
    </row>
    <row r="3226" spans="1:4" x14ac:dyDescent="0.2">
      <c r="A3226" s="5">
        <v>3165</v>
      </c>
      <c r="B3226" s="138">
        <f>'Acct Summary 7-8'!I8</f>
        <v>48803</v>
      </c>
      <c r="C3226" s="2" t="s">
        <v>573</v>
      </c>
      <c r="D3226" s="2" t="str">
        <f t="shared" si="49"/>
        <v>Error?</v>
      </c>
    </row>
    <row r="3227" spans="1:4" x14ac:dyDescent="0.2">
      <c r="A3227" s="5">
        <v>3166</v>
      </c>
      <c r="B3227" s="138">
        <f>'Acct Summary 7-8'!I20</f>
        <v>48803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660398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650000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650000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201149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18151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24084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254336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650000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650000</v>
      </c>
      <c r="C3299" s="2" t="s">
        <v>573</v>
      </c>
      <c r="D3299" s="2" t="str">
        <f t="shared" si="50"/>
        <v>Error?</v>
      </c>
    </row>
    <row r="3300" spans="1:4" x14ac:dyDescent="0.2">
      <c r="A3300" s="5">
        <v>3239</v>
      </c>
      <c r="B3300" s="138">
        <f>'Acct Summary 7-8'!H78</f>
        <v>-2110770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665549</v>
      </c>
      <c r="C3317" s="2" t="s">
        <v>573</v>
      </c>
      <c r="D3317" s="2" t="str">
        <f t="shared" si="50"/>
        <v>Error?</v>
      </c>
    </row>
    <row r="3318" spans="1:4" x14ac:dyDescent="0.2">
      <c r="A3318" s="5">
        <v>3257</v>
      </c>
      <c r="B3318" s="138">
        <f>'Acct Summary 7-8'!I76</f>
        <v>665000</v>
      </c>
      <c r="C3318" s="2" t="s">
        <v>573</v>
      </c>
      <c r="D3318" s="2" t="str">
        <f t="shared" si="50"/>
        <v>Error?</v>
      </c>
    </row>
    <row r="3319" spans="1:4" x14ac:dyDescent="0.2">
      <c r="A3319" s="5">
        <v>3258</v>
      </c>
      <c r="B3319" s="138">
        <f>'Acct Summary 7-8'!I77</f>
        <v>549</v>
      </c>
      <c r="C3319" s="2" t="s">
        <v>573</v>
      </c>
      <c r="D3319" s="2" t="str">
        <f t="shared" si="50"/>
        <v>Error?</v>
      </c>
    </row>
    <row r="3320" spans="1:4" x14ac:dyDescent="0.2">
      <c r="A3320" s="5">
        <v>3259</v>
      </c>
      <c r="B3320" s="138">
        <f>'Acct Summary 7-8'!I78</f>
        <v>49352</v>
      </c>
      <c r="C3320" s="2" t="s">
        <v>573</v>
      </c>
      <c r="D3320" s="2" t="str">
        <f t="shared" si="50"/>
        <v>Error?</v>
      </c>
    </row>
    <row r="3321" spans="1:4" x14ac:dyDescent="0.2">
      <c r="A3321" s="5">
        <v>3260</v>
      </c>
      <c r="B3321" s="138">
        <f>'Acct Summary 7-8'!I79</f>
        <v>486482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535834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86938</v>
      </c>
      <c r="D3366" s="2" t="str">
        <f t="shared" si="51"/>
        <v>Error?</v>
      </c>
    </row>
    <row r="3367" spans="1:4" x14ac:dyDescent="0.2">
      <c r="A3367" s="5">
        <v>3306</v>
      </c>
      <c r="B3367" s="138">
        <f>'Expenditures 15-22'!C19</f>
        <v>150471</v>
      </c>
      <c r="D3367" s="2" t="str">
        <f t="shared" si="51"/>
        <v>Error?</v>
      </c>
    </row>
    <row r="3368" spans="1:4" x14ac:dyDescent="0.2">
      <c r="A3368" s="5">
        <v>3307</v>
      </c>
      <c r="B3368" s="138">
        <f>'Expenditures 15-22'!D8</f>
        <v>7461</v>
      </c>
      <c r="D3368" s="2" t="str">
        <f t="shared" si="51"/>
        <v>Error?</v>
      </c>
    </row>
    <row r="3369" spans="1:4" x14ac:dyDescent="0.2">
      <c r="A3369" s="5">
        <v>3308</v>
      </c>
      <c r="B3369" s="138">
        <f>'Expenditures 15-22'!D19</f>
        <v>10806</v>
      </c>
      <c r="D3369" s="2" t="str">
        <f t="shared" si="51"/>
        <v>Error?</v>
      </c>
    </row>
    <row r="3370" spans="1:4" x14ac:dyDescent="0.2">
      <c r="A3370" s="5">
        <v>3309</v>
      </c>
      <c r="B3370" s="138">
        <f>'Expenditures 15-22'!E8</f>
        <v>637970</v>
      </c>
      <c r="D3370" s="2" t="str">
        <f t="shared" si="51"/>
        <v>Error?</v>
      </c>
    </row>
    <row r="3371" spans="1:4" x14ac:dyDescent="0.2">
      <c r="A3371" s="5">
        <v>3310</v>
      </c>
      <c r="B3371" s="138">
        <f>'Expenditures 15-22'!E19</f>
        <v>915</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2688</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175</v>
      </c>
      <c r="D3375" s="2" t="str">
        <f t="shared" si="51"/>
        <v>Error?</v>
      </c>
    </row>
    <row r="3376" spans="1:4" x14ac:dyDescent="0.2">
      <c r="A3376" s="5">
        <v>3315</v>
      </c>
      <c r="B3376" s="138">
        <f>'Expenditures 15-22'!H8</f>
        <v>15133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747502</v>
      </c>
      <c r="C3380" s="2" t="s">
        <v>573</v>
      </c>
      <c r="D3380" s="2" t="str">
        <f t="shared" si="51"/>
        <v>Error?</v>
      </c>
    </row>
    <row r="3381" spans="1:4" x14ac:dyDescent="0.2">
      <c r="A3381" s="5">
        <v>3320</v>
      </c>
      <c r="B3381" s="138">
        <f>'Expenditures 15-22'!K19</f>
        <v>165055</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123954</v>
      </c>
      <c r="D3387" s="2" t="str">
        <f t="shared" si="51"/>
        <v>Error?</v>
      </c>
    </row>
    <row r="3388" spans="1:4" x14ac:dyDescent="0.2">
      <c r="A3388" s="5">
        <v>3327</v>
      </c>
      <c r="B3388" s="138">
        <f>'Expenditures 15-22'!D217</f>
        <v>55542</v>
      </c>
      <c r="D3388" s="2" t="str">
        <f t="shared" si="51"/>
        <v>Error?</v>
      </c>
    </row>
    <row r="3389" spans="1:4" x14ac:dyDescent="0.2">
      <c r="A3389" s="5">
        <v>3328</v>
      </c>
      <c r="B3389" s="138">
        <f>'Expenditures 15-22'!D228</f>
        <v>4187</v>
      </c>
      <c r="D3389" s="2" t="str">
        <f t="shared" si="51"/>
        <v>Error?</v>
      </c>
    </row>
    <row r="3390" spans="1:4" x14ac:dyDescent="0.2">
      <c r="A3390" s="5">
        <v>3329</v>
      </c>
      <c r="B3390" s="138">
        <f>'Expenditures 15-22'!K215</f>
        <v>123954</v>
      </c>
      <c r="C3390" s="2" t="s">
        <v>573</v>
      </c>
      <c r="D3390" s="2" t="str">
        <f t="shared" si="51"/>
        <v>Error?</v>
      </c>
    </row>
    <row r="3391" spans="1:4" x14ac:dyDescent="0.2">
      <c r="A3391" s="5">
        <v>3330</v>
      </c>
      <c r="B3391" s="138">
        <f>'Expenditures 15-22'!K217</f>
        <v>55542</v>
      </c>
      <c r="C3391" s="2" t="s">
        <v>573</v>
      </c>
      <c r="D3391" s="2" t="str">
        <f t="shared" ref="D3391:D3454" si="52">IF(ISBLANK(B3391),"OK",IF(A3391-B3391=0,"OK","Error?"))</f>
        <v>Error?</v>
      </c>
    </row>
    <row r="3392" spans="1:4" x14ac:dyDescent="0.2">
      <c r="A3392" s="5">
        <v>3331</v>
      </c>
      <c r="B3392" s="138">
        <f>'Expenditures 15-22'!K228</f>
        <v>4187</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2532942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1250635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910102</v>
      </c>
      <c r="D3417" s="2" t="str">
        <f t="shared" si="52"/>
        <v>Error?</v>
      </c>
    </row>
    <row r="3418" spans="1:4" x14ac:dyDescent="0.2">
      <c r="A3418" s="10">
        <v>3357</v>
      </c>
      <c r="D3418" s="2" t="str">
        <f t="shared" si="52"/>
        <v>OK</v>
      </c>
    </row>
    <row r="3419" spans="1:4" x14ac:dyDescent="0.2">
      <c r="A3419" s="5">
        <v>3358</v>
      </c>
      <c r="B3419" s="138">
        <f>'Assets-Liab 5-6'!F4</f>
        <v>414288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976591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1211408</v>
      </c>
      <c r="D3425" s="2" t="str">
        <f t="shared" si="52"/>
        <v>Error?</v>
      </c>
    </row>
    <row r="3426" spans="1:4" x14ac:dyDescent="0.2">
      <c r="A3426" s="10">
        <v>3365</v>
      </c>
      <c r="D3426" s="2" t="str">
        <f t="shared" si="52"/>
        <v>OK</v>
      </c>
    </row>
    <row r="3427" spans="1:4" x14ac:dyDescent="0.2">
      <c r="A3427" s="5">
        <v>3366</v>
      </c>
      <c r="B3427" s="138">
        <f>'Assets-Liab 5-6'!I4</f>
        <v>433573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305094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366998</v>
      </c>
      <c r="C3446" s="2" t="s">
        <v>573</v>
      </c>
      <c r="D3446" s="2" t="str">
        <f t="shared" si="52"/>
        <v>Error?</v>
      </c>
    </row>
    <row r="3447" spans="1:4" x14ac:dyDescent="0.2">
      <c r="A3447" s="5">
        <v>3386</v>
      </c>
      <c r="B3447" s="138">
        <f>'Tax Sched 23'!D16</f>
        <v>207941</v>
      </c>
      <c r="C3447" s="2" t="s">
        <v>573</v>
      </c>
      <c r="D3447" s="2" t="str">
        <f t="shared" si="52"/>
        <v>Error?</v>
      </c>
    </row>
    <row r="3448" spans="1:4" x14ac:dyDescent="0.2">
      <c r="A3448" s="5">
        <v>3387</v>
      </c>
      <c r="B3448" s="138">
        <f>'Tax Sched 23'!C16</f>
        <v>159057</v>
      </c>
      <c r="D3448" s="2" t="str">
        <f t="shared" si="52"/>
        <v>Error?</v>
      </c>
    </row>
    <row r="3449" spans="1:4" x14ac:dyDescent="0.2">
      <c r="A3449" s="5">
        <v>3388</v>
      </c>
      <c r="B3449" s="138">
        <f>'Tax Sched 23'!F16</f>
        <v>221017</v>
      </c>
      <c r="C3449" s="2" t="s">
        <v>573</v>
      </c>
      <c r="D3449" s="2" t="str">
        <f t="shared" si="52"/>
        <v>Error?</v>
      </c>
    </row>
    <row r="3450" spans="1:4" x14ac:dyDescent="0.2">
      <c r="A3450" s="5">
        <v>3389</v>
      </c>
      <c r="B3450" s="138">
        <f>'Tax Sched 23'!E16</f>
        <v>380074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103123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103123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103123</v>
      </c>
      <c r="D3567" s="2" t="str">
        <f t="shared" si="54"/>
        <v>Error?</v>
      </c>
    </row>
    <row r="3568" spans="1:4" x14ac:dyDescent="0.2">
      <c r="A3568" s="5">
        <v>3507</v>
      </c>
      <c r="B3568" s="138">
        <f>'Assets-Liab 5-6'!K41</f>
        <v>103123</v>
      </c>
      <c r="C3568" s="2" t="s">
        <v>573</v>
      </c>
      <c r="D3568" s="2" t="str">
        <f t="shared" si="54"/>
        <v>Error?</v>
      </c>
    </row>
    <row r="3569" spans="1:4" x14ac:dyDescent="0.2">
      <c r="A3569" s="5">
        <v>3508</v>
      </c>
      <c r="B3569" s="138">
        <f>'Acct Summary 7-8'!K4</f>
        <v>39846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39846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39846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39846</v>
      </c>
      <c r="C3588" s="2" t="s">
        <v>573</v>
      </c>
      <c r="D3588" s="2" t="str">
        <f t="shared" si="55"/>
        <v>Error?</v>
      </c>
    </row>
    <row r="3589" spans="1:4" x14ac:dyDescent="0.2">
      <c r="A3589" s="5">
        <v>3528</v>
      </c>
      <c r="B3589" s="138">
        <f>'Acct Summary 7-8'!K79</f>
        <v>63277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103123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39846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38171</v>
      </c>
      <c r="C3725" s="2" t="s">
        <v>573</v>
      </c>
      <c r="D3725" s="2" t="str">
        <f t="shared" si="57"/>
        <v>Error?</v>
      </c>
    </row>
    <row r="3726" spans="1:4" x14ac:dyDescent="0.2">
      <c r="A3726" s="5">
        <v>3665</v>
      </c>
      <c r="B3726" s="138">
        <f>'Tax Sched 23'!D13</f>
        <v>21773</v>
      </c>
      <c r="C3726" s="2" t="s">
        <v>573</v>
      </c>
      <c r="D3726" s="2" t="str">
        <f t="shared" si="57"/>
        <v>Error?</v>
      </c>
    </row>
    <row r="3727" spans="1:4" x14ac:dyDescent="0.2">
      <c r="A3727" s="5">
        <v>3666</v>
      </c>
      <c r="B3727" s="138">
        <f>'Tax Sched 23'!C13</f>
        <v>16398</v>
      </c>
      <c r="D3727" s="2" t="str">
        <f t="shared" si="57"/>
        <v>Error?</v>
      </c>
    </row>
    <row r="3728" spans="1:4" x14ac:dyDescent="0.2">
      <c r="A3728" s="5">
        <v>3667</v>
      </c>
      <c r="B3728" s="138">
        <f>'Tax Sched 23'!F13</f>
        <v>22785</v>
      </c>
      <c r="C3728" s="2" t="s">
        <v>573</v>
      </c>
      <c r="D3728" s="2" t="str">
        <f t="shared" si="57"/>
        <v>Error?</v>
      </c>
    </row>
    <row r="3729" spans="1:4" x14ac:dyDescent="0.2">
      <c r="A3729" s="5">
        <v>3668</v>
      </c>
      <c r="B3729" s="138">
        <f>'Tax Sched 23'!E13</f>
        <v>39183</v>
      </c>
      <c r="D3729" s="2" t="str">
        <f t="shared" si="57"/>
        <v>Error?</v>
      </c>
    </row>
    <row r="3730" spans="1:4" x14ac:dyDescent="0.2">
      <c r="A3730" s="5">
        <v>3669</v>
      </c>
      <c r="B3730" s="138">
        <f>'ICR Computation 30'!E10</f>
        <v>441734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4956780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21498790</v>
      </c>
      <c r="C4122" s="2" t="s">
        <v>573</v>
      </c>
      <c r="D4122" s="2" t="str">
        <f t="shared" si="63"/>
        <v>Error?</v>
      </c>
    </row>
    <row r="4123" spans="1:4" x14ac:dyDescent="0.2">
      <c r="A4123" s="5">
        <v>4062</v>
      </c>
      <c r="B4123" s="138">
        <f>'Acct Summary 7-8'!D10</f>
        <v>2347950</v>
      </c>
      <c r="C4123" s="2" t="s">
        <v>573</v>
      </c>
      <c r="D4123" s="2" t="str">
        <f t="shared" si="63"/>
        <v>Error?</v>
      </c>
    </row>
    <row r="4124" spans="1:4" x14ac:dyDescent="0.2">
      <c r="A4124" s="5">
        <v>4063</v>
      </c>
      <c r="B4124" s="138">
        <f>'Acct Summary 7-8'!E10</f>
        <v>946921</v>
      </c>
      <c r="C4124" s="2" t="s">
        <v>573</v>
      </c>
      <c r="D4124" s="2" t="str">
        <f t="shared" si="63"/>
        <v>Error?</v>
      </c>
    </row>
    <row r="4125" spans="1:4" x14ac:dyDescent="0.2">
      <c r="A4125" s="5">
        <v>4064</v>
      </c>
      <c r="B4125" s="138">
        <f>'Acct Summary 7-8'!F10</f>
        <v>756712</v>
      </c>
      <c r="C4125" s="2" t="s">
        <v>573</v>
      </c>
      <c r="D4125" s="2" t="str">
        <f t="shared" si="63"/>
        <v>Error?</v>
      </c>
    </row>
    <row r="4126" spans="1:4" x14ac:dyDescent="0.2">
      <c r="A4126" s="5">
        <v>4065</v>
      </c>
      <c r="B4126" s="138">
        <f>'Acct Summary 7-8'!G10</f>
        <v>770947</v>
      </c>
      <c r="C4126" s="2" t="s">
        <v>573</v>
      </c>
      <c r="D4126" s="2" t="str">
        <f t="shared" si="63"/>
        <v>Error?</v>
      </c>
    </row>
    <row r="4127" spans="1:4" x14ac:dyDescent="0.2">
      <c r="A4127" s="5">
        <v>4066</v>
      </c>
      <c r="B4127" s="138">
        <f>'Acct Summary 7-8'!H10</f>
        <v>626407</v>
      </c>
      <c r="C4127" s="2" t="s">
        <v>573</v>
      </c>
      <c r="D4127" s="2" t="str">
        <f t="shared" si="63"/>
        <v>Error?</v>
      </c>
    </row>
    <row r="4128" spans="1:4" x14ac:dyDescent="0.2">
      <c r="A4128" s="5">
        <v>4067</v>
      </c>
      <c r="B4128" s="138">
        <f>'Acct Summary 7-8'!I10</f>
        <v>48803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39846</v>
      </c>
      <c r="C4130" s="2" t="s">
        <v>573</v>
      </c>
      <c r="D4130" s="2" t="str">
        <f t="shared" si="63"/>
        <v>Error?</v>
      </c>
    </row>
    <row r="4131" spans="1:4" x14ac:dyDescent="0.2">
      <c r="A4131" s="5">
        <v>4070</v>
      </c>
      <c r="B4131" s="138">
        <f>'Acct Summary 7-8'!C18</f>
        <v>4956780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20838392</v>
      </c>
      <c r="C4136" s="2" t="s">
        <v>573</v>
      </c>
      <c r="D4136" s="2" t="str">
        <f t="shared" si="63"/>
        <v>Error?</v>
      </c>
    </row>
    <row r="4137" spans="1:4" x14ac:dyDescent="0.2">
      <c r="A4137" s="5">
        <v>4076</v>
      </c>
      <c r="B4137" s="138">
        <f>'Acct Summary 7-8'!D19</f>
        <v>2146801</v>
      </c>
      <c r="C4137" s="2" t="s">
        <v>573</v>
      </c>
      <c r="D4137" s="2" t="str">
        <f t="shared" si="63"/>
        <v>Error?</v>
      </c>
    </row>
    <row r="4138" spans="1:4" x14ac:dyDescent="0.2">
      <c r="A4138" s="5">
        <v>4077</v>
      </c>
      <c r="B4138" s="138">
        <f>'Acct Summary 7-8'!E19</f>
        <v>692585</v>
      </c>
      <c r="C4138" s="2" t="s">
        <v>573</v>
      </c>
      <c r="D4138" s="2" t="str">
        <f t="shared" si="63"/>
        <v>Error?</v>
      </c>
    </row>
    <row r="4139" spans="1:4" x14ac:dyDescent="0.2">
      <c r="A4139" s="5">
        <v>4078</v>
      </c>
      <c r="B4139" s="138">
        <f>'Acct Summary 7-8'!F19</f>
        <v>738561</v>
      </c>
      <c r="C4139" s="2" t="s">
        <v>573</v>
      </c>
      <c r="D4139" s="2" t="str">
        <f t="shared" si="63"/>
        <v>Error?</v>
      </c>
    </row>
    <row r="4140" spans="1:4" x14ac:dyDescent="0.2">
      <c r="A4140" s="5">
        <v>4079</v>
      </c>
      <c r="B4140" s="138">
        <f>'Acct Summary 7-8'!G19</f>
        <v>746863</v>
      </c>
      <c r="C4140" s="2" t="s">
        <v>573</v>
      </c>
      <c r="D4140" s="2" t="str">
        <f t="shared" si="63"/>
        <v>Error?</v>
      </c>
    </row>
    <row r="4141" spans="1:4" x14ac:dyDescent="0.2">
      <c r="A4141" s="5">
        <v>4080</v>
      </c>
      <c r="B4141" s="138">
        <f>'Acct Summary 7-8'!H19</f>
        <v>3387177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6595000</v>
      </c>
      <c r="C4171" s="2" t="s">
        <v>573</v>
      </c>
      <c r="D4171" s="2" t="str">
        <f t="shared" si="64"/>
        <v>Error?</v>
      </c>
    </row>
    <row r="4172" spans="1:4" x14ac:dyDescent="0.2">
      <c r="A4172" s="5">
        <v>4111</v>
      </c>
      <c r="B4172" s="138">
        <f>'Short-Term Long-Term Debt 24'!J49</f>
        <v>4671427</v>
      </c>
      <c r="C4172" s="2" t="s">
        <v>573</v>
      </c>
      <c r="D4172" s="2" t="str">
        <f t="shared" si="64"/>
        <v>Error?</v>
      </c>
    </row>
    <row r="4173" spans="1:4" x14ac:dyDescent="0.2">
      <c r="A4173" s="5">
        <v>4112</v>
      </c>
      <c r="B4173" s="138">
        <f>'Short-Term Long-Term Debt 24'!H49</f>
        <v>493000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12175737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23120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7077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7146</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7146</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13800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86916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70082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78365796</v>
      </c>
      <c r="D4995" s="2" t="str">
        <f t="shared" si="77"/>
        <v>Error?</v>
      </c>
    </row>
    <row r="4996" spans="1:4" x14ac:dyDescent="0.2">
      <c r="A4996" s="12">
        <v>4935</v>
      </c>
      <c r="B4996" s="138">
        <f>'FP Info 3'!H31</f>
        <v>10814479.848000001</v>
      </c>
      <c r="D4996" s="2" t="str">
        <f t="shared" si="77"/>
        <v>Error?</v>
      </c>
    </row>
    <row r="4997" spans="1:4" x14ac:dyDescent="0.2">
      <c r="A4997" s="12">
        <v>4936</v>
      </c>
      <c r="B4997" s="138">
        <f>'FP Info 3'!H37</f>
        <v>6595000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38171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1404677</v>
      </c>
      <c r="D5061" s="2" t="str">
        <f t="shared" si="78"/>
        <v>Error?</v>
      </c>
    </row>
    <row r="5062" spans="1:4" x14ac:dyDescent="0.2">
      <c r="A5062" s="10">
        <v>5001</v>
      </c>
      <c r="D5062" s="2" t="str">
        <f t="shared" si="78"/>
        <v>OK</v>
      </c>
    </row>
    <row r="5063" spans="1:4" x14ac:dyDescent="0.2">
      <c r="A5063" s="5">
        <v>5002</v>
      </c>
      <c r="B5063" s="138">
        <f>'Revenues 9-14'!C7</f>
        <v>30536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1473384</v>
      </c>
      <c r="C5066" s="2" t="s">
        <v>573</v>
      </c>
      <c r="D5066" s="2" t="str">
        <f t="shared" si="78"/>
        <v>Error?</v>
      </c>
    </row>
    <row r="5067" spans="1:4" x14ac:dyDescent="0.2">
      <c r="A5067" s="5">
        <v>5006</v>
      </c>
      <c r="B5067" s="138">
        <f>'Revenues 9-14'!C14</f>
        <v>156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267342</v>
      </c>
      <c r="D5069" s="2" t="str">
        <f t="shared" si="78"/>
        <v>Error?</v>
      </c>
    </row>
    <row r="5070" spans="1:4" x14ac:dyDescent="0.2">
      <c r="A5070" s="5">
        <v>5009</v>
      </c>
      <c r="B5070" s="138">
        <f>'Revenues 9-14'!C17</f>
        <v>4625</v>
      </c>
      <c r="D5070" s="2" t="str">
        <f t="shared" si="78"/>
        <v>Error?</v>
      </c>
    </row>
    <row r="5071" spans="1:4" x14ac:dyDescent="0.2">
      <c r="A5071" s="5">
        <v>5010</v>
      </c>
      <c r="B5071" s="138">
        <f>'Revenues 9-14'!C18</f>
        <v>272123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2416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2416</v>
      </c>
      <c r="C5087" s="2" t="s">
        <v>573</v>
      </c>
      <c r="D5087" s="2" t="str">
        <f t="shared" si="78"/>
        <v>Error?</v>
      </c>
    </row>
    <row r="5088" spans="1:4" x14ac:dyDescent="0.2">
      <c r="A5088" s="5">
        <v>5027</v>
      </c>
      <c r="B5088" s="138">
        <f>'Revenues 9-14'!C65</f>
        <v>171116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171116</v>
      </c>
      <c r="C5090" s="2" t="s">
        <v>573</v>
      </c>
      <c r="D5090" s="2" t="str">
        <f t="shared" si="78"/>
        <v>Error?</v>
      </c>
    </row>
    <row r="5091" spans="1:4" x14ac:dyDescent="0.2">
      <c r="A5091" s="5">
        <v>5030</v>
      </c>
      <c r="B5091" s="138">
        <f>'Revenues 9-14'!C70</f>
        <v>21405</v>
      </c>
      <c r="D5091" s="2" t="str">
        <f t="shared" si="78"/>
        <v>Error?</v>
      </c>
    </row>
    <row r="5092" spans="1:4" x14ac:dyDescent="0.2">
      <c r="A5092" s="5">
        <v>5031</v>
      </c>
      <c r="B5092" s="138">
        <f>'Revenues 9-14'!C71</f>
        <v>26311</v>
      </c>
      <c r="D5092" s="2" t="str">
        <f t="shared" si="78"/>
        <v>Error?</v>
      </c>
    </row>
    <row r="5093" spans="1:4" x14ac:dyDescent="0.2">
      <c r="A5093" s="5">
        <v>5032</v>
      </c>
      <c r="B5093" s="138">
        <f>'Revenues 9-14'!C72</f>
        <v>14364</v>
      </c>
      <c r="D5093" s="2" t="str">
        <f t="shared" si="78"/>
        <v>Error?</v>
      </c>
    </row>
    <row r="5094" spans="1:4" x14ac:dyDescent="0.2">
      <c r="A5094" s="5">
        <v>5033</v>
      </c>
      <c r="B5094" s="138">
        <f>'Revenues 9-14'!C73</f>
        <v>3928</v>
      </c>
      <c r="D5094" s="2" t="str">
        <f t="shared" si="78"/>
        <v>Error?</v>
      </c>
    </row>
    <row r="5095" spans="1:4" x14ac:dyDescent="0.2">
      <c r="A5095" s="5">
        <v>5034</v>
      </c>
      <c r="B5095" s="138">
        <f>'Revenues 9-14'!C74</f>
        <v>51684</v>
      </c>
      <c r="D5095" s="2" t="str">
        <f t="shared" si="78"/>
        <v>Error?</v>
      </c>
    </row>
    <row r="5096" spans="1:4" x14ac:dyDescent="0.2">
      <c r="A5096" s="5">
        <v>5035</v>
      </c>
      <c r="B5096" s="138">
        <f>'Revenues 9-14'!C75</f>
        <v>198653</v>
      </c>
      <c r="C5096" s="2" t="s">
        <v>573</v>
      </c>
      <c r="D5096" s="2" t="str">
        <f t="shared" si="78"/>
        <v>Error?</v>
      </c>
    </row>
    <row r="5097" spans="1:4" x14ac:dyDescent="0.2">
      <c r="A5097" s="5">
        <v>5036</v>
      </c>
      <c r="B5097" s="138">
        <f>'Revenues 9-14'!C77</f>
        <v>45853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45853</v>
      </c>
      <c r="C5102" s="2" t="s">
        <v>573</v>
      </c>
      <c r="D5102" s="2" t="str">
        <f t="shared" si="78"/>
        <v>Error?</v>
      </c>
    </row>
    <row r="5103" spans="1:4" x14ac:dyDescent="0.2">
      <c r="A5103" s="5">
        <v>5042</v>
      </c>
      <c r="B5103" s="138">
        <f>'Revenues 9-14'!C84</f>
        <v>13999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13999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99415</v>
      </c>
      <c r="D5114" s="2" t="str">
        <f t="shared" si="78"/>
        <v>Error?</v>
      </c>
    </row>
    <row r="5115" spans="1:4" x14ac:dyDescent="0.2">
      <c r="A5115" s="5">
        <v>5054</v>
      </c>
      <c r="B5115" s="138">
        <f>'Revenues 9-14'!C98</f>
        <v>306977</v>
      </c>
      <c r="D5115" s="2" t="str">
        <f t="shared" si="78"/>
        <v>Error?</v>
      </c>
    </row>
    <row r="5116" spans="1:4" x14ac:dyDescent="0.2">
      <c r="A5116" s="5">
        <v>5055</v>
      </c>
      <c r="B5116" s="138">
        <f>'Revenues 9-14'!C99</f>
        <v>61557</v>
      </c>
      <c r="D5116" s="2" t="str">
        <f t="shared" si="78"/>
        <v>Error?</v>
      </c>
    </row>
    <row r="5117" spans="1:4" x14ac:dyDescent="0.2">
      <c r="A5117" s="5">
        <v>5056</v>
      </c>
      <c r="B5117" s="138">
        <f>'Revenues 9-14'!C105</f>
        <v>2911</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482860</v>
      </c>
      <c r="C5120" s="2" t="s">
        <v>573</v>
      </c>
      <c r="D5120" s="2" t="str">
        <f t="shared" si="79"/>
        <v>Error?</v>
      </c>
    </row>
    <row r="5121" spans="1:4" x14ac:dyDescent="0.2">
      <c r="A5121" s="5">
        <v>5060</v>
      </c>
      <c r="B5121" s="138">
        <f>'Revenues 9-14'!C109</f>
        <v>2660404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10144467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10144467</v>
      </c>
      <c r="C5132" s="2" t="s">
        <v>573</v>
      </c>
      <c r="D5132" s="2" t="str">
        <f t="shared" si="79"/>
        <v>Error?</v>
      </c>
    </row>
    <row r="5133" spans="1:4" x14ac:dyDescent="0.2">
      <c r="A5133" s="5">
        <v>5072</v>
      </c>
      <c r="B5133" s="138">
        <f>'Revenues 9-14'!C125</f>
        <v>163931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1072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165003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35793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52600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16917</v>
      </c>
      <c r="D5167" s="2" t="str">
        <f t="shared" si="79"/>
        <v>Error?</v>
      </c>
    </row>
    <row r="5168" spans="1:4" x14ac:dyDescent="0.2">
      <c r="A5168" s="5">
        <v>5107</v>
      </c>
      <c r="B5168" s="138">
        <f>'Revenues 9-14'!C148</f>
        <v>24139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990812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1319553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11464020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704179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239011</v>
      </c>
      <c r="D5241" s="2" t="str">
        <f t="shared" si="80"/>
        <v>Error?</v>
      </c>
    </row>
    <row r="5242" spans="1:4" x14ac:dyDescent="0.2">
      <c r="A5242" s="5">
        <v>5181</v>
      </c>
      <c r="B5242" s="138">
        <f>'Revenues 9-14'!C194</f>
        <v>46653</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989843</v>
      </c>
      <c r="C5246" s="2" t="s">
        <v>573</v>
      </c>
      <c r="D5246" s="2" t="str">
        <f t="shared" si="80"/>
        <v>Error?</v>
      </c>
    </row>
    <row r="5247" spans="1:4" x14ac:dyDescent="0.2">
      <c r="A5247" s="5">
        <v>5186</v>
      </c>
      <c r="B5247" s="138">
        <f>'Revenues 9-14'!C200</f>
        <v>622728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622728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666956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666956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2417586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2417586</v>
      </c>
      <c r="C5326" s="2" t="s">
        <v>573</v>
      </c>
      <c r="D5326" s="2" t="str">
        <f t="shared" si="82"/>
        <v>Error?</v>
      </c>
    </row>
    <row r="5327" spans="1:5" x14ac:dyDescent="0.2">
      <c r="A5327" s="5">
        <v>5266</v>
      </c>
      <c r="B5327" s="138">
        <f>'Revenues 9-14'!C268</f>
        <v>16542010</v>
      </c>
      <c r="C5327" s="2" t="s">
        <v>573</v>
      </c>
      <c r="D5327" s="2" t="str">
        <f t="shared" si="82"/>
        <v>Error?</v>
      </c>
    </row>
    <row r="5328" spans="1:5" x14ac:dyDescent="0.2">
      <c r="A5328" s="5">
        <v>5267</v>
      </c>
      <c r="B5328" s="138">
        <f>'Revenues 9-14'!D5</f>
        <v>381705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381705</v>
      </c>
      <c r="C5334" s="2" t="s">
        <v>573</v>
      </c>
      <c r="D5334" s="2" t="str">
        <f t="shared" si="82"/>
        <v>Error?</v>
      </c>
    </row>
    <row r="5335" spans="1:4" x14ac:dyDescent="0.2">
      <c r="A5335" s="5">
        <v>5274</v>
      </c>
      <c r="B5335" s="138">
        <f>'Revenues 9-14'!D14</f>
        <v>40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82968</v>
      </c>
      <c r="D5337" s="2" t="str">
        <f t="shared" si="82"/>
        <v>Error?</v>
      </c>
    </row>
    <row r="5338" spans="1:4" x14ac:dyDescent="0.2">
      <c r="A5338" s="5">
        <v>5277</v>
      </c>
      <c r="B5338" s="138">
        <f>'Revenues 9-14'!D17</f>
        <v>1198</v>
      </c>
      <c r="D5338" s="2" t="str">
        <f t="shared" si="82"/>
        <v>Error?</v>
      </c>
    </row>
    <row r="5339" spans="1:4" x14ac:dyDescent="0.2">
      <c r="A5339" s="5">
        <v>5278</v>
      </c>
      <c r="B5339" s="138">
        <f>'Revenues 9-14'!D18</f>
        <v>84206</v>
      </c>
      <c r="C5339" s="2" t="s">
        <v>573</v>
      </c>
      <c r="D5339" s="2" t="str">
        <f t="shared" si="82"/>
        <v>Error?</v>
      </c>
    </row>
    <row r="5340" spans="1:4" x14ac:dyDescent="0.2">
      <c r="A5340" s="5">
        <v>5279</v>
      </c>
      <c r="B5340" s="138">
        <f>'Revenues 9-14'!D65</f>
        <v>16543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16543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12334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81007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94798</v>
      </c>
      <c r="C5355" s="2" t="s">
        <v>573</v>
      </c>
      <c r="D5355" s="2" t="str">
        <f t="shared" si="82"/>
        <v>Error?</v>
      </c>
    </row>
    <row r="5356" spans="1:4" x14ac:dyDescent="0.2">
      <c r="A5356" s="5">
        <v>5295</v>
      </c>
      <c r="B5356" s="138">
        <f>'Revenues 9-14'!D109</f>
        <v>577252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1770698</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1770698</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1770698</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2347950</v>
      </c>
      <c r="C5508" s="2" t="s">
        <v>573</v>
      </c>
      <c r="D5508" s="2" t="str">
        <f t="shared" si="85"/>
        <v>Error?</v>
      </c>
    </row>
    <row r="5509" spans="1:4" x14ac:dyDescent="0.2">
      <c r="A5509" s="5">
        <v>5448</v>
      </c>
      <c r="B5509" s="138">
        <f>'Revenues 9-14'!E5</f>
        <v>177029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177029</v>
      </c>
      <c r="C5513" s="2" t="s">
        <v>573</v>
      </c>
      <c r="D5513" s="2" t="str">
        <f t="shared" si="85"/>
        <v>Error?</v>
      </c>
    </row>
    <row r="5514" spans="1:4" x14ac:dyDescent="0.2">
      <c r="A5514" s="5">
        <v>5453</v>
      </c>
      <c r="B5514" s="138">
        <f>'Revenues 9-14'!E14</f>
        <v>19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561</v>
      </c>
      <c r="D5517" s="2" t="str">
        <f t="shared" si="85"/>
        <v>Error?</v>
      </c>
    </row>
    <row r="5518" spans="1:4" x14ac:dyDescent="0.2">
      <c r="A5518" s="5">
        <v>5457</v>
      </c>
      <c r="B5518" s="138">
        <f>'Revenues 9-14'!E18</f>
        <v>580</v>
      </c>
      <c r="C5518" s="2" t="s">
        <v>573</v>
      </c>
      <c r="D5518" s="2" t="str">
        <f t="shared" si="85"/>
        <v>Error?</v>
      </c>
    </row>
    <row r="5519" spans="1:4" x14ac:dyDescent="0.2">
      <c r="A5519" s="5">
        <v>5458</v>
      </c>
      <c r="B5519" s="138">
        <f>'Revenues 9-14'!E65</f>
        <v>32412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32412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736900</v>
      </c>
      <c r="C5526" s="2" t="s">
        <v>573</v>
      </c>
      <c r="D5526" s="2" t="str">
        <f t="shared" si="85"/>
        <v>Error?</v>
      </c>
    </row>
    <row r="5527" spans="1:4" x14ac:dyDescent="0.2">
      <c r="A5527" s="5">
        <v>5466</v>
      </c>
      <c r="B5527" s="138">
        <f>'Revenues 9-14'!E109</f>
        <v>946921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946921</v>
      </c>
      <c r="C5552" s="2" t="s">
        <v>573</v>
      </c>
      <c r="D5552" s="2" t="str">
        <f t="shared" si="85"/>
        <v>Error?</v>
      </c>
    </row>
    <row r="5553" spans="1:4" x14ac:dyDescent="0.2">
      <c r="A5553" s="5">
        <v>5492</v>
      </c>
      <c r="B5553" s="138">
        <f>'Revenues 9-14'!F5</f>
        <v>152682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152682</v>
      </c>
      <c r="C5557" s="2" t="s">
        <v>573</v>
      </c>
      <c r="D5557" s="2" t="str">
        <f t="shared" si="85"/>
        <v>Error?</v>
      </c>
    </row>
    <row r="5558" spans="1:4" x14ac:dyDescent="0.2">
      <c r="A5558" s="5">
        <v>5497</v>
      </c>
      <c r="B5558" s="138">
        <f>'Revenues 9-14'!F14</f>
        <v>16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479</v>
      </c>
      <c r="D5561" s="2" t="str">
        <f t="shared" si="85"/>
        <v>Error?</v>
      </c>
    </row>
    <row r="5562" spans="1:4" x14ac:dyDescent="0.2">
      <c r="A5562" s="5">
        <v>5501</v>
      </c>
      <c r="B5562" s="138">
        <f>'Revenues 9-14'!F18</f>
        <v>495</v>
      </c>
      <c r="C5562" s="2" t="s">
        <v>573</v>
      </c>
      <c r="D5562" s="2" t="str">
        <f t="shared" si="85"/>
        <v>Error?</v>
      </c>
    </row>
    <row r="5563" spans="1:4" x14ac:dyDescent="0.2">
      <c r="A5563" s="5">
        <v>5502</v>
      </c>
      <c r="B5563" s="138">
        <f>'Revenues 9-14'!F42</f>
        <v>6049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2606</v>
      </c>
      <c r="D5565" s="2" t="str">
        <f t="shared" si="85"/>
        <v>Error?</v>
      </c>
    </row>
    <row r="5566" spans="1:4" x14ac:dyDescent="0.2">
      <c r="A5566" s="5">
        <v>5505</v>
      </c>
      <c r="B5566" s="138">
        <f>'Revenues 9-14'!F45</f>
        <v>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8661</v>
      </c>
      <c r="C5579" s="2" t="s">
        <v>573</v>
      </c>
      <c r="D5579" s="2" t="str">
        <f t="shared" si="86"/>
        <v>Error?</v>
      </c>
    </row>
    <row r="5580" spans="1:4" x14ac:dyDescent="0.2">
      <c r="A5580" s="5">
        <v>5519</v>
      </c>
      <c r="B5580" s="138">
        <f>'Revenues 9-14'!F65</f>
        <v>12583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12583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5927</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5927</v>
      </c>
      <c r="C5587" s="2" t="s">
        <v>573</v>
      </c>
      <c r="D5587" s="2" t="str">
        <f t="shared" si="86"/>
        <v>Error?</v>
      </c>
    </row>
    <row r="5588" spans="1:4" x14ac:dyDescent="0.2">
      <c r="A5588" s="5">
        <v>5527</v>
      </c>
      <c r="B5588" s="138">
        <f>'Revenues 9-14'!F109</f>
        <v>180348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469100</v>
      </c>
      <c r="D5615" s="2" t="str">
        <f t="shared" si="86"/>
        <v>Error?</v>
      </c>
    </row>
    <row r="5616" spans="1:4" x14ac:dyDescent="0.2">
      <c r="A5616" s="10">
        <v>5555</v>
      </c>
      <c r="D5616" s="2" t="str">
        <f t="shared" si="86"/>
        <v>OK</v>
      </c>
    </row>
    <row r="5617" spans="1:5" x14ac:dyDescent="0.2">
      <c r="A5617" s="5">
        <v>5556</v>
      </c>
      <c r="B5617" s="138">
        <f>'Revenues 9-14'!F153</f>
        <v>107264</v>
      </c>
      <c r="D5617" s="2" t="str">
        <f t="shared" si="86"/>
        <v>Error?</v>
      </c>
    </row>
    <row r="5618" spans="1:5" x14ac:dyDescent="0.2">
      <c r="A5618" s="5">
        <v>5557</v>
      </c>
      <c r="B5618" s="138">
        <f>'Revenues 9-14'!F155</f>
        <v>576364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576364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576364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756712</v>
      </c>
      <c r="C5720" s="2" t="s">
        <v>573</v>
      </c>
      <c r="D5720" s="2" t="str">
        <f t="shared" si="88"/>
        <v>Error?</v>
      </c>
    </row>
    <row r="5721" spans="1:4" x14ac:dyDescent="0.2">
      <c r="A5721" s="5">
        <v>5660</v>
      </c>
      <c r="B5721" s="138">
        <f>'Revenues 9-14'!G5</f>
        <v>300545</v>
      </c>
      <c r="D5721" s="2" t="str">
        <f t="shared" si="88"/>
        <v>Error?</v>
      </c>
    </row>
    <row r="5722" spans="1:4" x14ac:dyDescent="0.2">
      <c r="A5722" s="5">
        <v>5661</v>
      </c>
      <c r="B5722" s="138">
        <f>'Revenues 9-14'!G7</f>
        <v>0</v>
      </c>
      <c r="D5722" s="2" t="str">
        <f t="shared" si="88"/>
        <v>Error?</v>
      </c>
    </row>
    <row r="5723" spans="1:4" x14ac:dyDescent="0.2">
      <c r="A5723" s="5">
        <v>5662</v>
      </c>
      <c r="B5723" s="138">
        <f>'Revenues 9-14'!G8</f>
        <v>366998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667543</v>
      </c>
      <c r="C5725" s="2" t="s">
        <v>573</v>
      </c>
      <c r="D5725" s="2" t="str">
        <f t="shared" si="88"/>
        <v>Error?</v>
      </c>
    </row>
    <row r="5726" spans="1:4" x14ac:dyDescent="0.2">
      <c r="A5726" s="5">
        <v>5665</v>
      </c>
      <c r="B5726" s="138">
        <f>'Revenues 9-14'!G14</f>
        <v>70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82624</v>
      </c>
      <c r="D5728" s="2" t="str">
        <f t="shared" si="88"/>
        <v>Error?</v>
      </c>
    </row>
    <row r="5729" spans="1:4" x14ac:dyDescent="0.2">
      <c r="A5729" s="5">
        <v>5668</v>
      </c>
      <c r="B5729" s="138">
        <f>'Revenues 9-14'!G17</f>
        <v>2085</v>
      </c>
      <c r="D5729" s="2" t="str">
        <f t="shared" si="88"/>
        <v>Error?</v>
      </c>
    </row>
    <row r="5730" spans="1:4" x14ac:dyDescent="0.2">
      <c r="A5730" s="5">
        <v>5669</v>
      </c>
      <c r="B5730" s="138">
        <f>'Revenues 9-14'!G18</f>
        <v>84779</v>
      </c>
      <c r="C5730" s="2" t="s">
        <v>573</v>
      </c>
      <c r="D5730" s="2" t="str">
        <f t="shared" si="88"/>
        <v>Error?</v>
      </c>
    </row>
    <row r="5731" spans="1:4" x14ac:dyDescent="0.2">
      <c r="A5731" s="5">
        <v>5670</v>
      </c>
      <c r="B5731" s="138">
        <f>'Revenues 9-14'!G65</f>
        <v>17788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17788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837</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837</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770947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28000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28000</v>
      </c>
      <c r="C5878" s="2" t="s">
        <v>573</v>
      </c>
      <c r="D5878" s="2" t="str">
        <f t="shared" si="90"/>
        <v>Error?</v>
      </c>
    </row>
    <row r="5879" spans="1:4" x14ac:dyDescent="0.2">
      <c r="A5879" s="5">
        <v>5818</v>
      </c>
      <c r="B5879" s="138">
        <f>'Revenues 9-14'!H65</f>
        <v>8246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8246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590161</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590161</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590161</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626407</v>
      </c>
      <c r="C5915" s="2" t="s">
        <v>573</v>
      </c>
      <c r="D5915" s="2" t="str">
        <f t="shared" si="91"/>
        <v>Error?</v>
      </c>
    </row>
    <row r="5916" spans="1:4" x14ac:dyDescent="0.2">
      <c r="A5916" s="5">
        <v>5855</v>
      </c>
      <c r="B5916" s="138">
        <f>'Revenues 9-14'!I5</f>
        <v>38171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38171</v>
      </c>
      <c r="C5918" s="2" t="s">
        <v>573</v>
      </c>
      <c r="D5918" s="2" t="str">
        <f t="shared" si="91"/>
        <v>Error?</v>
      </c>
    </row>
    <row r="5919" spans="1:4" x14ac:dyDescent="0.2">
      <c r="A5919" s="5">
        <v>5858</v>
      </c>
      <c r="B5919" s="138">
        <f>'Revenues 9-14'!I14</f>
        <v>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120</v>
      </c>
      <c r="D5922" s="2" t="str">
        <f t="shared" si="91"/>
        <v>Error?</v>
      </c>
    </row>
    <row r="5923" spans="1:4" x14ac:dyDescent="0.2">
      <c r="A5923" s="5">
        <v>5862</v>
      </c>
      <c r="B5923" s="138">
        <f>'Revenues 9-14'!I18</f>
        <v>124</v>
      </c>
      <c r="C5923" s="2" t="s">
        <v>573</v>
      </c>
      <c r="D5923" s="2" t="str">
        <f t="shared" si="91"/>
        <v>Error?</v>
      </c>
    </row>
    <row r="5924" spans="1:4" x14ac:dyDescent="0.2">
      <c r="A5924" s="5">
        <v>5863</v>
      </c>
      <c r="B5924" s="138">
        <f>'Revenues 9-14'!I65</f>
        <v>10508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10508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48803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38171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38171</v>
      </c>
      <c r="C5987" s="2" t="s">
        <v>573</v>
      </c>
      <c r="D5987" s="2" t="str">
        <f t="shared" si="92"/>
        <v>Error?</v>
      </c>
    </row>
    <row r="5988" spans="1:4" x14ac:dyDescent="0.2">
      <c r="A5988" s="5">
        <v>5927</v>
      </c>
      <c r="B5988" s="138">
        <f>'Revenues 9-14'!K14</f>
        <v>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120</v>
      </c>
      <c r="D5991" s="2" t="str">
        <f t="shared" si="92"/>
        <v>Error?</v>
      </c>
    </row>
    <row r="5992" spans="1:4" x14ac:dyDescent="0.2">
      <c r="A5992" s="5">
        <v>5931</v>
      </c>
      <c r="B5992" s="138">
        <f>'Revenues 9-14'!K18</f>
        <v>124</v>
      </c>
      <c r="C5992" s="2" t="s">
        <v>573</v>
      </c>
      <c r="D5992" s="2" t="str">
        <f t="shared" si="92"/>
        <v>Error?</v>
      </c>
    </row>
    <row r="5993" spans="1:4" x14ac:dyDescent="0.2">
      <c r="A5993" s="5">
        <v>5932</v>
      </c>
      <c r="B5993" s="138">
        <f>'Revenues 9-14'!K65</f>
        <v>1551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1551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39846</v>
      </c>
      <c r="C6023" s="2" t="s">
        <v>573</v>
      </c>
      <c r="D6023" s="2" t="str">
        <f t="shared" si="93"/>
        <v>Error?</v>
      </c>
    </row>
    <row r="6024" spans="1:5" x14ac:dyDescent="0.2">
      <c r="A6024" s="5">
        <v>5963</v>
      </c>
      <c r="B6024" s="138">
        <f>'Revenues 9-14'!G109</f>
        <v>770947</v>
      </c>
      <c r="C6024" s="2" t="s">
        <v>573</v>
      </c>
      <c r="D6024" s="2" t="str">
        <f t="shared" si="93"/>
        <v>Error?</v>
      </c>
    </row>
    <row r="6025" spans="1:5" x14ac:dyDescent="0.2">
      <c r="A6025" s="5">
        <v>5964</v>
      </c>
      <c r="B6025" s="138">
        <f>'Revenues 9-14'!H109</f>
        <v>36246</v>
      </c>
      <c r="C6025" s="2" t="s">
        <v>573</v>
      </c>
      <c r="D6025" s="2" t="str">
        <f t="shared" si="93"/>
        <v>Error?</v>
      </c>
    </row>
    <row r="6026" spans="1:5" x14ac:dyDescent="0.2">
      <c r="A6026" s="5">
        <v>5965</v>
      </c>
      <c r="B6026" s="138">
        <f>'Revenues 9-14'!I109</f>
        <v>48803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39846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80961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92965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1713.4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230258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230258</v>
      </c>
      <c r="D6215" s="2" t="str">
        <f t="shared" si="96"/>
        <v>Error?</v>
      </c>
      <c r="E6215" s="2" t="s">
        <v>190</v>
      </c>
    </row>
    <row r="6216" spans="1:5" x14ac:dyDescent="0.2">
      <c r="A6216">
        <v>6155</v>
      </c>
      <c r="B6216" s="138">
        <f>'Assets-Liab 5-6'!J41</f>
        <v>230258</v>
      </c>
      <c r="D6216" s="2" t="str">
        <f t="shared" si="96"/>
        <v>Error?</v>
      </c>
      <c r="E6216" s="2" t="s">
        <v>190</v>
      </c>
    </row>
    <row r="6217" spans="1:5" x14ac:dyDescent="0.2">
      <c r="A6217">
        <v>6156</v>
      </c>
      <c r="B6217" s="138">
        <f>'Assets-Liab 5-6'!J4</f>
        <v>230258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583614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583614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583614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610154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610154</v>
      </c>
      <c r="D6229" s="2" t="str">
        <f t="shared" si="96"/>
        <v>Error?</v>
      </c>
      <c r="E6229" s="2" t="s">
        <v>190</v>
      </c>
    </row>
    <row r="6230" spans="1:5" x14ac:dyDescent="0.2">
      <c r="A6230">
        <v>6169</v>
      </c>
      <c r="B6230" s="138">
        <f>'Acct Summary 7-8'!J20</f>
        <v>-26540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15000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-26540</v>
      </c>
      <c r="D6263" s="2" t="str">
        <f t="shared" si="96"/>
        <v>Error?</v>
      </c>
      <c r="E6263" s="2" t="s">
        <v>190</v>
      </c>
    </row>
    <row r="6264" spans="1:5" x14ac:dyDescent="0.2">
      <c r="A6264">
        <v>6203</v>
      </c>
      <c r="B6264" s="138">
        <f>'Acct Summary 7-8'!J79</f>
        <v>256798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230258</v>
      </c>
      <c r="D6266" s="2" t="str">
        <f t="shared" si="96"/>
        <v>Error?</v>
      </c>
      <c r="E6266" s="2" t="s">
        <v>190</v>
      </c>
    </row>
    <row r="6267" spans="1:5" x14ac:dyDescent="0.2">
      <c r="A6267">
        <v>6206</v>
      </c>
      <c r="B6267" s="138">
        <f>'Acct Summary 7-8'!C82</f>
        <v>660398</v>
      </c>
      <c r="D6267" s="2" t="str">
        <f t="shared" si="96"/>
        <v>Error?</v>
      </c>
      <c r="E6267" s="2" t="s">
        <v>190</v>
      </c>
    </row>
    <row r="6268" spans="1:5" x14ac:dyDescent="0.2">
      <c r="A6268">
        <v>6207</v>
      </c>
      <c r="B6268" s="138">
        <f>'Acct Summary 7-8'!D82</f>
        <v>201149</v>
      </c>
      <c r="D6268" s="2" t="str">
        <f t="shared" si="96"/>
        <v>Error?</v>
      </c>
      <c r="E6268" s="2" t="s">
        <v>190</v>
      </c>
    </row>
    <row r="6269" spans="1:5" x14ac:dyDescent="0.2">
      <c r="A6269">
        <v>6208</v>
      </c>
      <c r="B6269" s="138">
        <f>'Acct Summary 7-8'!E82</f>
        <v>254336</v>
      </c>
      <c r="D6269" s="2" t="str">
        <f t="shared" si="96"/>
        <v>Error?</v>
      </c>
      <c r="E6269" s="2" t="s">
        <v>190</v>
      </c>
    </row>
    <row r="6270" spans="1:5" x14ac:dyDescent="0.2">
      <c r="A6270">
        <v>6209</v>
      </c>
      <c r="B6270" s="138">
        <f>'Acct Summary 7-8'!F82</f>
        <v>18151</v>
      </c>
      <c r="D6270" s="2" t="str">
        <f t="shared" si="96"/>
        <v>Error?</v>
      </c>
      <c r="E6270" s="2" t="s">
        <v>190</v>
      </c>
    </row>
    <row r="6271" spans="1:5" x14ac:dyDescent="0.2">
      <c r="A6271">
        <v>6210</v>
      </c>
      <c r="B6271" s="138">
        <f>'Acct Summary 7-8'!G82</f>
        <v>24084</v>
      </c>
      <c r="D6271" s="2" t="str">
        <f t="shared" ref="D6271:D6334" si="97">IF(ISBLANK(B6271),"OK",IF(A6271-B6271=0,"OK","Error?"))</f>
        <v>Error?</v>
      </c>
      <c r="E6271" s="2" t="s">
        <v>190</v>
      </c>
    </row>
    <row r="6272" spans="1:5" x14ac:dyDescent="0.2">
      <c r="A6272">
        <v>6211</v>
      </c>
      <c r="B6272" s="138">
        <f>'Acct Summary 7-8'!H82</f>
        <v>-2110770</v>
      </c>
      <c r="D6272" s="2" t="str">
        <f t="shared" si="97"/>
        <v>Error?</v>
      </c>
      <c r="E6272" s="2" t="s">
        <v>190</v>
      </c>
    </row>
    <row r="6273" spans="1:5" x14ac:dyDescent="0.2">
      <c r="A6273">
        <v>6212</v>
      </c>
      <c r="B6273" s="138">
        <f>'Acct Summary 7-8'!I82</f>
        <v>49352</v>
      </c>
      <c r="D6273" s="2" t="str">
        <f t="shared" si="97"/>
        <v>Error?</v>
      </c>
      <c r="E6273" s="2" t="s">
        <v>190</v>
      </c>
    </row>
    <row r="6274" spans="1:5" x14ac:dyDescent="0.2">
      <c r="A6274">
        <v>6213</v>
      </c>
      <c r="B6274" s="138">
        <f>'Acct Summary 7-8'!J82</f>
        <v>-26540</v>
      </c>
      <c r="D6274" s="2" t="str">
        <f t="shared" si="97"/>
        <v>Error?</v>
      </c>
      <c r="E6274" s="2" t="s">
        <v>190</v>
      </c>
    </row>
    <row r="6275" spans="1:5" x14ac:dyDescent="0.2">
      <c r="A6275">
        <v>6214</v>
      </c>
      <c r="B6275" s="138">
        <f>'Acct Summary 7-8'!K82</f>
        <v>39846</v>
      </c>
      <c r="D6275" s="2" t="str">
        <f t="shared" si="97"/>
        <v>Error?</v>
      </c>
      <c r="E6275" s="2" t="s">
        <v>190</v>
      </c>
    </row>
    <row r="6276" spans="1:5" x14ac:dyDescent="0.2">
      <c r="A6276">
        <v>6215</v>
      </c>
      <c r="B6276" s="138">
        <f>'Acct Summary 7-8'!C83</f>
        <v>7.3943809029121788E-2</v>
      </c>
      <c r="D6276" s="2" t="str">
        <f t="shared" si="97"/>
        <v>Error?</v>
      </c>
      <c r="E6276" s="2" t="s">
        <v>190</v>
      </c>
    </row>
    <row r="6277" spans="1:5" x14ac:dyDescent="0.2">
      <c r="A6277">
        <v>6216</v>
      </c>
      <c r="B6277" s="138">
        <f>'Acct Summary 7-8'!D83</f>
        <v>0.10712360895720786</v>
      </c>
      <c r="D6277" s="2" t="str">
        <f t="shared" si="97"/>
        <v>Error?</v>
      </c>
      <c r="E6277" s="2" t="s">
        <v>190</v>
      </c>
    </row>
    <row r="6278" spans="1:5" x14ac:dyDescent="0.2">
      <c r="A6278">
        <v>6217</v>
      </c>
      <c r="B6278" s="138">
        <f>'Acct Summary 7-8'!E83</f>
        <v>0.13222061237083282</v>
      </c>
      <c r="D6278" s="2" t="str">
        <f t="shared" si="97"/>
        <v>Error?</v>
      </c>
      <c r="E6278" s="2" t="s">
        <v>190</v>
      </c>
    </row>
    <row r="6279" spans="1:5" x14ac:dyDescent="0.2">
      <c r="A6279">
        <v>6218</v>
      </c>
      <c r="B6279" s="138">
        <f>'Acct Summary 7-8'!F83</f>
        <v>2.1839835590593625E-2</v>
      </c>
      <c r="D6279" s="2" t="str">
        <f t="shared" si="97"/>
        <v>Error?</v>
      </c>
      <c r="E6279" s="2" t="s">
        <v>190</v>
      </c>
    </row>
    <row r="6280" spans="1:5" x14ac:dyDescent="0.2">
      <c r="A6280">
        <v>6219</v>
      </c>
      <c r="B6280" s="138">
        <f>'Acct Summary 7-8'!G83</f>
        <v>2.4661296284729226E-2</v>
      </c>
      <c r="D6280" s="2" t="str">
        <f t="shared" si="97"/>
        <v>Error?</v>
      </c>
      <c r="E6280" s="2" t="s">
        <v>190</v>
      </c>
    </row>
    <row r="6281" spans="1:5" x14ac:dyDescent="0.2">
      <c r="A6281">
        <v>6220</v>
      </c>
      <c r="B6281" s="138">
        <f>'Acct Summary 7-8'!H83</f>
        <v>-1.7424104843289792</v>
      </c>
      <c r="D6281" s="2" t="str">
        <f t="shared" si="97"/>
        <v>Error?</v>
      </c>
      <c r="E6281" s="2" t="s">
        <v>190</v>
      </c>
    </row>
    <row r="6282" spans="1:5" x14ac:dyDescent="0.2">
      <c r="A6282">
        <v>6221</v>
      </c>
      <c r="B6282" s="138">
        <f>'Acct Summary 7-8'!I83</f>
        <v>9.2103151349111859E-2</v>
      </c>
      <c r="D6282" s="2" t="str">
        <f t="shared" si="97"/>
        <v>Error?</v>
      </c>
      <c r="E6282" s="2" t="s">
        <v>190</v>
      </c>
    </row>
    <row r="6283" spans="1:5" x14ac:dyDescent="0.2">
      <c r="A6283">
        <v>6222</v>
      </c>
      <c r="B6283" s="138">
        <f>'Acct Summary 7-8'!J83</f>
        <v>-0.11526201044046244</v>
      </c>
      <c r="D6283" s="2" t="str">
        <f t="shared" si="97"/>
        <v>Error?</v>
      </c>
      <c r="E6283" s="2" t="s">
        <v>190</v>
      </c>
    </row>
    <row r="6284" spans="1:5" x14ac:dyDescent="0.2">
      <c r="A6284">
        <v>6223</v>
      </c>
      <c r="B6284" s="138">
        <f>'Acct Summary 7-8'!K83</f>
        <v>0.3863929482268747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650000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574467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574467</v>
      </c>
      <c r="D6301" s="2" t="str">
        <f t="shared" si="97"/>
        <v>Error?</v>
      </c>
      <c r="E6301" s="2" t="s">
        <v>190</v>
      </c>
    </row>
    <row r="6302" spans="1:5" x14ac:dyDescent="0.2">
      <c r="A6302">
        <v>6241</v>
      </c>
      <c r="B6302" s="138">
        <f>'Revenues 9-14'!J14</f>
        <v>61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1803</v>
      </c>
      <c r="D6305" s="2" t="str">
        <f t="shared" si="97"/>
        <v>Error?</v>
      </c>
      <c r="E6305" s="2" t="s">
        <v>190</v>
      </c>
    </row>
    <row r="6306" spans="1:5" x14ac:dyDescent="0.2">
      <c r="A6306">
        <v>6245</v>
      </c>
      <c r="B6306" s="138">
        <f>'Revenues 9-14'!J18</f>
        <v>1864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2884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2884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1457</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4399</v>
      </c>
      <c r="D6329" s="2" t="str">
        <f t="shared" si="97"/>
        <v>Error?</v>
      </c>
      <c r="E6329" s="2" t="s">
        <v>190</v>
      </c>
    </row>
    <row r="6330" spans="1:5" x14ac:dyDescent="0.2">
      <c r="A6330">
        <v>6269</v>
      </c>
      <c r="B6330" s="138">
        <f>'Revenues 9-14'!C100</f>
        <v>12000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4399</v>
      </c>
      <c r="D6351" s="2" t="str">
        <f t="shared" si="98"/>
        <v>Error?</v>
      </c>
      <c r="E6351" s="2" t="s">
        <v>190</v>
      </c>
    </row>
    <row r="6352" spans="1:5" x14ac:dyDescent="0.2">
      <c r="A6352">
        <v>6291</v>
      </c>
      <c r="B6352" s="138">
        <f>'Revenues 9-14'!J109</f>
        <v>583614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16807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280783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345853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135932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382162</v>
      </c>
      <c r="D6880" s="2" t="str">
        <f t="shared" si="106"/>
        <v>Error?</v>
      </c>
    </row>
    <row r="6881" spans="1:4" x14ac:dyDescent="0.2">
      <c r="A6881">
        <v>6820</v>
      </c>
      <c r="B6881" s="138">
        <f>'Expenditures 15-22'!K22</f>
        <v>382162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1516314</v>
      </c>
      <c r="D6983" s="2" t="str">
        <f t="shared" si="108"/>
        <v>Error?</v>
      </c>
    </row>
    <row r="6984" spans="1:4" x14ac:dyDescent="0.2">
      <c r="A6984">
        <v>6923</v>
      </c>
      <c r="B6984" s="138">
        <f>'Expenditures 15-22'!K86</f>
        <v>1516314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1516314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590334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583614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17367</v>
      </c>
      <c r="D7073" s="2" t="str">
        <f t="shared" si="109"/>
        <v>Error?</v>
      </c>
    </row>
    <row r="7074" spans="1:4" x14ac:dyDescent="0.2">
      <c r="A7074">
        <v>7013</v>
      </c>
      <c r="B7074" s="138">
        <f>'Expenditures 15-22'!K216</f>
        <v>17367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1418</v>
      </c>
      <c r="D7079" s="2" t="str">
        <f t="shared" si="109"/>
        <v>Error?</v>
      </c>
    </row>
    <row r="7080" spans="1:4" x14ac:dyDescent="0.2">
      <c r="A7080">
        <v>7019</v>
      </c>
      <c r="B7080" s="138">
        <f>'Expenditures 15-22'!K226</f>
        <v>1418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31900</v>
      </c>
      <c r="D7089" s="2" t="str">
        <f t="shared" si="109"/>
        <v>Error?</v>
      </c>
    </row>
    <row r="7090" spans="1:4" x14ac:dyDescent="0.2">
      <c r="A7090">
        <v>7029</v>
      </c>
      <c r="B7090" s="138">
        <f>'Expenditures 15-22'!K252</f>
        <v>31900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89897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89897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16990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16990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17342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17342</v>
      </c>
      <c r="D7153" s="2" t="str">
        <f t="shared" si="110"/>
        <v>Error?</v>
      </c>
    </row>
    <row r="7154" spans="1:4" x14ac:dyDescent="0.2">
      <c r="A7154">
        <v>7093</v>
      </c>
      <c r="B7154" s="138">
        <f>'Expenditures 15-22'!C323</f>
        <v>212901</v>
      </c>
      <c r="D7154" s="2" t="str">
        <f t="shared" si="110"/>
        <v>Error?</v>
      </c>
    </row>
    <row r="7155" spans="1:4" x14ac:dyDescent="0.2">
      <c r="A7155">
        <v>7094</v>
      </c>
      <c r="B7155" s="138">
        <f>'Expenditures 15-22'!D323</f>
        <v>26337</v>
      </c>
      <c r="D7155" s="2" t="str">
        <f t="shared" si="110"/>
        <v>Error?</v>
      </c>
    </row>
    <row r="7156" spans="1:4" x14ac:dyDescent="0.2">
      <c r="A7156">
        <v>7095</v>
      </c>
      <c r="B7156" s="138">
        <f>'Expenditures 15-22'!E323</f>
        <v>3000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242238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8579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8579</v>
      </c>
      <c r="D7198" s="2" t="str">
        <f t="shared" si="111"/>
        <v>Error?</v>
      </c>
    </row>
    <row r="7199" spans="1:4" x14ac:dyDescent="0.2">
      <c r="A7199">
        <v>7138</v>
      </c>
      <c r="B7199" s="138">
        <f>'Expenditures 15-22'!C330</f>
        <v>212901</v>
      </c>
      <c r="D7199" s="2" t="str">
        <f t="shared" si="111"/>
        <v>Error?</v>
      </c>
    </row>
    <row r="7200" spans="1:4" x14ac:dyDescent="0.2">
      <c r="A7200">
        <v>7139</v>
      </c>
      <c r="B7200" s="138">
        <f>'Expenditures 15-22'!D330</f>
        <v>26337</v>
      </c>
      <c r="D7200" s="2" t="str">
        <f t="shared" si="111"/>
        <v>Error?</v>
      </c>
    </row>
    <row r="7201" spans="1:4" x14ac:dyDescent="0.2">
      <c r="A7201">
        <v>7140</v>
      </c>
      <c r="B7201" s="138">
        <f>'Expenditures 15-22'!E330</f>
        <v>351096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590334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212901</v>
      </c>
      <c r="D7216" s="2" t="str">
        <f t="shared" si="111"/>
        <v>Error?</v>
      </c>
    </row>
    <row r="7217" spans="1:4" x14ac:dyDescent="0.2">
      <c r="A7217">
        <v>7156</v>
      </c>
      <c r="B7217" s="138">
        <f>'Expenditures 15-22'!D342</f>
        <v>26337</v>
      </c>
      <c r="D7217" s="2" t="str">
        <f t="shared" si="111"/>
        <v>Error?</v>
      </c>
    </row>
    <row r="7218" spans="1:4" x14ac:dyDescent="0.2">
      <c r="A7218">
        <v>7157</v>
      </c>
      <c r="B7218" s="138">
        <f>'Expenditures 15-22'!E342</f>
        <v>351096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19820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610154</v>
      </c>
      <c r="D7224" s="2" t="str">
        <f t="shared" si="111"/>
        <v>Error?</v>
      </c>
    </row>
    <row r="7225" spans="1:4" x14ac:dyDescent="0.2">
      <c r="A7225">
        <v>7164</v>
      </c>
      <c r="B7225" s="138">
        <f>'Expenditures 15-22'!K343</f>
        <v>-26540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30945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32952</v>
      </c>
      <c r="D7248" s="2" t="str">
        <f t="shared" si="112"/>
        <v>Error?</v>
      </c>
    </row>
    <row r="7249" spans="1:4" x14ac:dyDescent="0.2">
      <c r="A7249">
        <f t="shared" si="113"/>
        <v>7188</v>
      </c>
      <c r="B7249" s="138">
        <f>'Expenditures 15-22'!G7</f>
        <v>1173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101250</v>
      </c>
      <c r="D7263" s="2" t="str">
        <f t="shared" si="112"/>
        <v>Error?</v>
      </c>
    </row>
    <row r="7264" spans="1:4" x14ac:dyDescent="0.2">
      <c r="A7264">
        <f t="shared" si="113"/>
        <v>7203</v>
      </c>
      <c r="B7264" s="138">
        <f>'Expenditures 15-22'!D17</f>
        <v>8304</v>
      </c>
      <c r="D7264" s="2" t="str">
        <f t="shared" si="112"/>
        <v>Error?</v>
      </c>
    </row>
    <row r="7265" spans="1:5" x14ac:dyDescent="0.2">
      <c r="A7265">
        <f t="shared" si="113"/>
        <v>7204</v>
      </c>
      <c r="B7265" s="138">
        <f>'Expenditures 15-22'!E17</f>
        <v>1387</v>
      </c>
      <c r="D7265" s="2" t="str">
        <f t="shared" si="112"/>
        <v>Error?</v>
      </c>
    </row>
    <row r="7266" spans="1:5" x14ac:dyDescent="0.2">
      <c r="A7266">
        <f t="shared" si="113"/>
        <v>7205</v>
      </c>
      <c r="B7266" s="138">
        <f>'Expenditures 15-22'!F17</f>
        <v>2141</v>
      </c>
      <c r="D7266" s="2" t="str">
        <f t="shared" si="112"/>
        <v>Error?</v>
      </c>
    </row>
    <row r="7267" spans="1:5" x14ac:dyDescent="0.2">
      <c r="A7267">
        <f t="shared" si="113"/>
        <v>7206</v>
      </c>
      <c r="B7267" s="138">
        <f>'Expenditures 15-22'!G17</f>
        <v>22850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10486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10486</v>
      </c>
      <c r="D7618" s="2" t="str">
        <f t="shared" si="124"/>
        <v>Error?</v>
      </c>
      <c r="E7618" s="2" t="s">
        <v>19</v>
      </c>
    </row>
    <row r="7619" spans="1:5" x14ac:dyDescent="0.2">
      <c r="A7619">
        <f t="shared" si="123"/>
        <v>7558</v>
      </c>
      <c r="B7619" s="138">
        <f>'Cap Outlay Deprec 26'!H14</f>
        <v>4101</v>
      </c>
      <c r="D7619" s="2" t="str">
        <f t="shared" si="124"/>
        <v>Error?</v>
      </c>
      <c r="E7619" s="2" t="s">
        <v>19</v>
      </c>
    </row>
    <row r="7620" spans="1:5" x14ac:dyDescent="0.2">
      <c r="A7620">
        <f t="shared" si="123"/>
        <v>7559</v>
      </c>
      <c r="B7620" s="138">
        <f>'Cap Outlay Deprec 26'!I14</f>
        <v>3193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7294</v>
      </c>
      <c r="D7622" s="2" t="str">
        <f t="shared" si="124"/>
        <v>Error?</v>
      </c>
      <c r="E7622" s="2" t="s">
        <v>19</v>
      </c>
    </row>
    <row r="7623" spans="1:5" x14ac:dyDescent="0.2">
      <c r="A7623">
        <f t="shared" si="123"/>
        <v>7562</v>
      </c>
      <c r="B7623" s="138">
        <f>'Cap Outlay Deprec 26'!L14</f>
        <v>3192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1088813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650000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188436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188436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26852</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26852</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540412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11856</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736900</v>
      </c>
      <c r="D7713" s="2" t="str">
        <f t="shared" si="126"/>
        <v>Error?</v>
      </c>
      <c r="E7713" s="2" t="s">
        <v>827</v>
      </c>
    </row>
    <row r="7714" spans="1:6" x14ac:dyDescent="0.2">
      <c r="A7714">
        <v>7653</v>
      </c>
      <c r="B7714" s="138">
        <f>'Rest Tax Levies-Tort Im 25'!K9</f>
        <v>24139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748756</v>
      </c>
      <c r="D7718" s="2" t="str">
        <f t="shared" si="126"/>
        <v>Error?</v>
      </c>
      <c r="E7718" s="2" t="s">
        <v>827</v>
      </c>
    </row>
    <row r="7719" spans="1:6" x14ac:dyDescent="0.2">
      <c r="A7719">
        <v>7658</v>
      </c>
      <c r="B7719" s="138">
        <f>'Rest Tax Levies-Tort Im 25'!K12</f>
        <v>24139</v>
      </c>
      <c r="D7719" s="2" t="str">
        <f t="shared" si="126"/>
        <v>Error?</v>
      </c>
      <c r="E7719" s="2" t="s">
        <v>827</v>
      </c>
    </row>
    <row r="7720" spans="1:6" x14ac:dyDescent="0.2">
      <c r="A7720">
        <v>7659</v>
      </c>
      <c r="B7720" s="138">
        <f>'Rest Tax Levies-Tort Im 25'!H14</f>
        <v>30548</v>
      </c>
      <c r="D7720" s="2" t="str">
        <f t="shared" si="126"/>
        <v>Error?</v>
      </c>
      <c r="E7720" s="2" t="s">
        <v>827</v>
      </c>
    </row>
    <row r="7721" spans="1:6" x14ac:dyDescent="0.2">
      <c r="A7721">
        <v>7660</v>
      </c>
      <c r="B7721" s="138">
        <f>'Rest Tax Levies-Tort Im 25'!K14</f>
        <v>24139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514549</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514549</v>
      </c>
      <c r="D7727" s="2" t="str">
        <f t="shared" si="126"/>
        <v>Error?</v>
      </c>
      <c r="E7727" s="2" t="s">
        <v>827</v>
      </c>
    </row>
    <row r="7728" spans="1:6" x14ac:dyDescent="0.2">
      <c r="A7728">
        <v>7667</v>
      </c>
      <c r="B7728" s="138">
        <f>'Revenues 9-14'!E103</f>
        <v>736900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514549</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774619</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774619</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650000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19820</v>
      </c>
      <c r="D7787" s="2" t="str">
        <f t="shared" si="127"/>
        <v>Error?</v>
      </c>
      <c r="E7787" s="4" t="s">
        <v>1852</v>
      </c>
    </row>
    <row r="7788" spans="1:5" x14ac:dyDescent="0.2">
      <c r="A7788">
        <v>7727</v>
      </c>
      <c r="B7788" s="138">
        <f>'Expenditures 15-22'!K333</f>
        <v>19820</v>
      </c>
      <c r="D7788" s="2" t="str">
        <f t="shared" si="127"/>
        <v>Error?</v>
      </c>
      <c r="E7788" s="4" t="s">
        <v>1852</v>
      </c>
    </row>
    <row r="7789" spans="1:5" x14ac:dyDescent="0.2">
      <c r="A7789">
        <v>7728</v>
      </c>
      <c r="B7789" s="138">
        <f>'Expenditures 15-22'!H334</f>
        <v>19820</v>
      </c>
      <c r="D7789" s="2" t="str">
        <f t="shared" si="127"/>
        <v>Error?</v>
      </c>
      <c r="E7789" s="4" t="s">
        <v>1852</v>
      </c>
    </row>
    <row r="7790" spans="1:5" x14ac:dyDescent="0.2">
      <c r="A7790">
        <v>7729</v>
      </c>
      <c r="B7790" s="138">
        <f>'Expenditures 15-22'!K334</f>
        <v>19820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19820</v>
      </c>
      <c r="D7796" s="2" t="str">
        <f t="shared" si="127"/>
        <v>Error?</v>
      </c>
      <c r="E7796" s="4" t="s">
        <v>1852</v>
      </c>
    </row>
    <row r="7797" spans="1:5" x14ac:dyDescent="0.2">
      <c r="A7797">
        <v>7736</v>
      </c>
      <c r="B7797" s="138">
        <f>'Contracts Paid in CY 29'!D141</f>
        <v>993405</v>
      </c>
      <c r="D7797" s="2" t="str">
        <f t="shared" si="127"/>
        <v>Error?</v>
      </c>
      <c r="E7797" s="4" t="s">
        <v>1901</v>
      </c>
    </row>
    <row r="7798" spans="1:5" x14ac:dyDescent="0.2">
      <c r="A7798">
        <v>7737</v>
      </c>
      <c r="B7798" s="138">
        <f>'Contracts Paid in CY 29'!F141</f>
        <v>223760</v>
      </c>
      <c r="D7798" s="2" t="str">
        <f t="shared" si="127"/>
        <v>Error?</v>
      </c>
      <c r="E7798" s="4" t="s">
        <v>1901</v>
      </c>
    </row>
    <row r="7799" spans="1:5" x14ac:dyDescent="0.2">
      <c r="A7799">
        <v>7738</v>
      </c>
      <c r="B7799" s="138">
        <f>'Contracts Paid in CY 29'!G141</f>
        <v>769645</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18" t="s">
        <v>1191</v>
      </c>
      <c r="B2" s="2518"/>
      <c r="C2" s="2518"/>
      <c r="D2" s="2518"/>
      <c r="E2" s="2518"/>
      <c r="F2" s="2518"/>
      <c r="G2" s="2518"/>
      <c r="H2" s="2518"/>
      <c r="I2" s="2518"/>
      <c r="J2" s="2518"/>
      <c r="K2" s="2518"/>
      <c r="L2" s="2518"/>
    </row>
    <row r="3" spans="1:29" ht="13.5" customHeight="1" x14ac:dyDescent="0.2">
      <c r="A3" s="2549" t="s">
        <v>1190</v>
      </c>
      <c r="B3" s="2549"/>
      <c r="C3" s="2549"/>
      <c r="D3" s="2549"/>
      <c r="E3" s="2549"/>
      <c r="F3" s="2549"/>
      <c r="G3" s="2549"/>
      <c r="H3" s="2549"/>
      <c r="I3" s="2549"/>
      <c r="J3" s="2549"/>
      <c r="K3" s="2549"/>
      <c r="L3" s="2549"/>
    </row>
    <row r="4" spans="1:29" ht="13.5" customHeight="1" x14ac:dyDescent="0.2">
      <c r="A4" s="2518" t="s">
        <v>1986</v>
      </c>
      <c r="B4" s="2539"/>
      <c r="C4" s="2539"/>
      <c r="D4" s="2539"/>
      <c r="E4" s="2539"/>
      <c r="F4" s="2539"/>
      <c r="G4" s="2539"/>
      <c r="H4" s="2539"/>
      <c r="I4" s="2539"/>
      <c r="J4" s="2539"/>
      <c r="K4" s="2539"/>
      <c r="L4" s="2539"/>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40" t="str">
        <f>COVER!A17</f>
        <v>Kewanee CUSD 229</v>
      </c>
      <c r="B7" s="2541"/>
      <c r="C7" s="2541"/>
      <c r="D7" s="2542"/>
      <c r="E7" s="2543">
        <f>COVER!A13</f>
        <v>28037229026</v>
      </c>
      <c r="F7" s="2544"/>
      <c r="G7" s="2550" t="str">
        <f>COVER!T23</f>
        <v>066-005027</v>
      </c>
      <c r="H7" s="2551"/>
      <c r="I7" s="2551"/>
      <c r="J7" s="2551"/>
      <c r="K7" s="2551"/>
      <c r="L7" s="2552"/>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53"/>
      <c r="B9" s="2554"/>
      <c r="C9" s="2554"/>
      <c r="D9" s="2554"/>
      <c r="E9" s="2554"/>
      <c r="F9" s="2555"/>
      <c r="G9" s="2524" t="str">
        <f>COVER!T13</f>
        <v>Gorenz and Associates, Ltd.</v>
      </c>
      <c r="H9" s="2556"/>
      <c r="I9" s="2556"/>
      <c r="J9" s="2556"/>
      <c r="K9" s="2556"/>
      <c r="L9" s="2557"/>
    </row>
    <row r="10" spans="1:29" ht="13.5" customHeight="1" x14ac:dyDescent="0.2">
      <c r="A10" s="2530" t="str">
        <f>COVER!A38</f>
        <v xml:space="preserve">Dr. Chris Sullens </v>
      </c>
      <c r="B10" s="2531"/>
      <c r="C10" s="2531"/>
      <c r="D10" s="2531"/>
      <c r="E10" s="2531"/>
      <c r="F10" s="2532"/>
      <c r="G10" s="2524" t="str">
        <f>COVER!T17</f>
        <v>4200 N Knoxville Ave</v>
      </c>
      <c r="H10" s="2525"/>
      <c r="I10" s="2525"/>
      <c r="J10" s="2525"/>
      <c r="K10" s="2525"/>
      <c r="L10" s="2526"/>
    </row>
    <row r="11" spans="1:29" ht="13.5" customHeight="1" x14ac:dyDescent="0.2">
      <c r="A11" s="1181" t="s">
        <v>1519</v>
      </c>
      <c r="B11" s="1182"/>
      <c r="C11" s="1183"/>
      <c r="D11" s="1188"/>
      <c r="E11" s="1183"/>
      <c r="F11" s="1187"/>
      <c r="G11" s="2524" t="str">
        <f>COVER!T19</f>
        <v>Peoria</v>
      </c>
      <c r="H11" s="2525"/>
      <c r="I11" s="2525"/>
      <c r="J11" s="2525"/>
      <c r="K11" s="2525"/>
      <c r="L11" s="2526"/>
    </row>
    <row r="12" spans="1:29" ht="13.5" customHeight="1" x14ac:dyDescent="0.2">
      <c r="A12" s="2533" t="s">
        <v>1518</v>
      </c>
      <c r="B12" s="2534"/>
      <c r="C12" s="2534"/>
      <c r="D12" s="2534"/>
      <c r="E12" s="2534"/>
      <c r="F12" s="2535"/>
      <c r="G12" s="2527"/>
      <c r="H12" s="2528"/>
      <c r="I12" s="2528"/>
      <c r="J12" s="2528"/>
      <c r="K12" s="2528"/>
      <c r="L12" s="2529"/>
    </row>
    <row r="13" spans="1:29" ht="13.5" customHeight="1" x14ac:dyDescent="0.2">
      <c r="A13" s="2524"/>
      <c r="B13" s="2525"/>
      <c r="C13" s="2525"/>
      <c r="D13" s="2525"/>
      <c r="E13" s="2525"/>
      <c r="F13" s="2526"/>
      <c r="G13" s="2519" t="s">
        <v>1520</v>
      </c>
      <c r="H13" s="2520"/>
      <c r="I13" s="2536" t="str">
        <f>COVER!T25</f>
        <v>rrumbold@gornezcpa.com</v>
      </c>
      <c r="J13" s="2537"/>
      <c r="K13" s="2537"/>
      <c r="L13" s="2538"/>
    </row>
    <row r="14" spans="1:29" ht="13.5" customHeight="1" x14ac:dyDescent="0.2">
      <c r="A14" s="2524" t="str">
        <f>COVER!A19</f>
        <v>1001 N. Main</v>
      </c>
      <c r="B14" s="2525"/>
      <c r="C14" s="2525"/>
      <c r="D14" s="2525"/>
      <c r="E14" s="2525"/>
      <c r="F14" s="2526"/>
      <c r="G14" s="1192" t="s">
        <v>1185</v>
      </c>
      <c r="H14" s="1190"/>
      <c r="I14" s="1190"/>
      <c r="J14" s="1190"/>
      <c r="K14" s="1190"/>
      <c r="L14" s="1191"/>
    </row>
    <row r="15" spans="1:29" ht="13.5" customHeight="1" x14ac:dyDescent="0.2">
      <c r="A15" s="2524" t="str">
        <f>COVER!A21</f>
        <v>Kewanee</v>
      </c>
      <c r="B15" s="2525"/>
      <c r="C15" s="2525"/>
      <c r="D15" s="2525"/>
      <c r="E15" s="2525"/>
      <c r="F15" s="2526"/>
      <c r="G15" s="2521" t="str">
        <f>COVER!T15</f>
        <v>Russell J. Rumbold II, CPA</v>
      </c>
      <c r="H15" s="2522"/>
      <c r="I15" s="2522"/>
      <c r="J15" s="2522"/>
      <c r="K15" s="2522"/>
      <c r="L15" s="2523"/>
    </row>
    <row r="16" spans="1:29" ht="12.2" customHeight="1" x14ac:dyDescent="0.2">
      <c r="A16" s="2546">
        <f>COVER!A25</f>
        <v>61443</v>
      </c>
      <c r="B16" s="2547"/>
      <c r="C16" s="2547"/>
      <c r="D16" s="2547"/>
      <c r="E16" s="2547"/>
      <c r="F16" s="2548"/>
      <c r="G16" s="2558"/>
      <c r="H16" s="2559"/>
      <c r="I16" s="2559"/>
      <c r="J16" s="2559"/>
      <c r="K16" s="2559"/>
      <c r="L16" s="2560"/>
    </row>
    <row r="17" spans="1:13" ht="12.2" customHeight="1" x14ac:dyDescent="0.2">
      <c r="A17" s="2561"/>
      <c r="B17" s="2547"/>
      <c r="C17" s="2547"/>
      <c r="D17" s="2547"/>
      <c r="E17" s="2547"/>
      <c r="F17" s="2548"/>
      <c r="G17" s="1192" t="s">
        <v>1184</v>
      </c>
      <c r="H17" s="1190"/>
      <c r="I17" s="1190"/>
      <c r="J17" s="1190"/>
      <c r="K17" s="1194" t="s">
        <v>1183</v>
      </c>
      <c r="L17" s="1187"/>
      <c r="M17" s="1180"/>
    </row>
    <row r="18" spans="1:13" ht="12.2" customHeight="1" x14ac:dyDescent="0.2">
      <c r="A18" s="2530"/>
      <c r="B18" s="2531"/>
      <c r="C18" s="2531"/>
      <c r="D18" s="2531"/>
      <c r="E18" s="2531"/>
      <c r="F18" s="2532"/>
      <c r="G18" s="2540" t="str">
        <f>COVER!T21</f>
        <v>309-685-7621</v>
      </c>
      <c r="H18" s="2541"/>
      <c r="I18" s="2541"/>
      <c r="J18" s="2541"/>
      <c r="K18" s="2540" t="str">
        <f>COVER!X21</f>
        <v>309-685-4758</v>
      </c>
      <c r="L18" s="2545"/>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2099</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2099</v>
      </c>
      <c r="C26" s="1199" t="s">
        <v>1699</v>
      </c>
    </row>
    <row r="27" spans="1:13" s="1195" customFormat="1" ht="9" customHeight="1" x14ac:dyDescent="0.2">
      <c r="B27" s="1200"/>
      <c r="C27" s="1199"/>
    </row>
    <row r="28" spans="1:13" s="1195" customFormat="1" ht="12.2" customHeight="1" x14ac:dyDescent="0.2">
      <c r="A28" s="1202"/>
      <c r="B28" s="1198" t="s">
        <v>2099</v>
      </c>
      <c r="C28" s="1199" t="s">
        <v>1700</v>
      </c>
    </row>
    <row r="29" spans="1:13" s="1195" customFormat="1" ht="9" customHeight="1" x14ac:dyDescent="0.2">
      <c r="A29" s="1202"/>
      <c r="B29" s="1200"/>
      <c r="C29" s="1199"/>
    </row>
    <row r="30" spans="1:13" s="1195" customFormat="1" ht="12.2" customHeight="1" x14ac:dyDescent="0.2">
      <c r="B30" s="1198" t="s">
        <v>2099</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2099</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2099</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2099</v>
      </c>
      <c r="C38" s="1199" t="s">
        <v>1566</v>
      </c>
    </row>
    <row r="39" spans="1:8" ht="9" customHeight="1" x14ac:dyDescent="0.2">
      <c r="B39" s="1200"/>
      <c r="C39" s="1203"/>
    </row>
    <row r="40" spans="1:8" s="1195" customFormat="1" ht="13.5" customHeight="1" x14ac:dyDescent="0.2">
      <c r="B40" s="1198" t="s">
        <v>2099</v>
      </c>
      <c r="C40" s="1199" t="s">
        <v>1567</v>
      </c>
    </row>
    <row r="41" spans="1:8" ht="9" customHeight="1" x14ac:dyDescent="0.2">
      <c r="A41" s="1204"/>
      <c r="B41" s="1200"/>
      <c r="C41" s="1203"/>
    </row>
    <row r="42" spans="1:8" s="1195" customFormat="1" ht="13.5" customHeight="1" x14ac:dyDescent="0.2">
      <c r="B42" s="1198" t="s">
        <v>2099</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2"/>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62" t="str">
        <f>'Single Audit Cover'!A7</f>
        <v>Kewanee CUSD 229</v>
      </c>
      <c r="B1" s="2539"/>
      <c r="C1" s="2539"/>
      <c r="D1" s="2539"/>
    </row>
    <row r="2" spans="1:11" s="1209" customFormat="1" ht="12.75" x14ac:dyDescent="0.2">
      <c r="A2" s="2563">
        <f>'Single Audit Cover'!E7</f>
        <v>28037229026</v>
      </c>
      <c r="B2" s="2564"/>
      <c r="C2" s="2564"/>
      <c r="D2" s="2564"/>
    </row>
    <row r="3" spans="1:11" s="1209" customFormat="1" ht="12.75" x14ac:dyDescent="0.2">
      <c r="A3" s="2562" t="s">
        <v>1513</v>
      </c>
      <c r="B3" s="2539"/>
      <c r="C3" s="2539"/>
      <c r="D3" s="2539"/>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66" t="str">
        <f>'Single Audit Cover'!A7</f>
        <v>Kewanee CUSD 229</v>
      </c>
      <c r="B1" s="2566"/>
      <c r="C1" s="2566"/>
      <c r="D1" s="2566"/>
      <c r="E1" s="2566"/>
    </row>
    <row r="2" spans="1:5" x14ac:dyDescent="0.2">
      <c r="A2" s="2567">
        <f>'Single Audit Cover'!E7</f>
        <v>28037229026</v>
      </c>
      <c r="B2" s="2567"/>
      <c r="C2" s="2567"/>
      <c r="D2" s="2567"/>
      <c r="E2" s="2567"/>
    </row>
    <row r="3" spans="1:5" ht="4.5" customHeight="1" x14ac:dyDescent="0.2"/>
    <row r="4" spans="1:5" x14ac:dyDescent="0.2">
      <c r="A4" s="2566" t="s">
        <v>1245</v>
      </c>
      <c r="B4" s="2566"/>
      <c r="C4" s="2566"/>
      <c r="D4" s="2566"/>
      <c r="E4" s="2566"/>
    </row>
    <row r="5" spans="1:5" x14ac:dyDescent="0.2">
      <c r="A5" s="2569" t="str">
        <f>'Single Audit Cover'!A4</f>
        <v>Year Ending June 30, 2019</v>
      </c>
      <c r="B5" s="2569"/>
      <c r="C5" s="2569"/>
      <c r="D5" s="2569"/>
      <c r="E5" s="2569"/>
    </row>
    <row r="6" spans="1:5" x14ac:dyDescent="0.2">
      <c r="A6" s="2566" t="s">
        <v>1244</v>
      </c>
      <c r="B6" s="2566"/>
      <c r="C6" s="2566"/>
      <c r="D6" s="2566"/>
      <c r="E6" s="2566"/>
    </row>
    <row r="8" spans="1:5" x14ac:dyDescent="0.2">
      <c r="A8" s="1254" t="s">
        <v>1243</v>
      </c>
    </row>
    <row r="10" spans="1:5" x14ac:dyDescent="0.2">
      <c r="A10" s="1255" t="s">
        <v>1242</v>
      </c>
      <c r="B10" s="1256" t="s">
        <v>1241</v>
      </c>
      <c r="C10" s="1256"/>
      <c r="D10" s="1257">
        <f>SUM('Acct Summary 7-8'!C7:K7)</f>
        <v>2417586</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92965</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-7077</v>
      </c>
    </row>
    <row r="19" spans="1:4" ht="13.5" thickBot="1" x14ac:dyDescent="0.25">
      <c r="A19" s="1259" t="s">
        <v>1235</v>
      </c>
      <c r="D19" s="1260">
        <f>SUM(D10:D17)</f>
        <v>2503474</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68" t="s">
        <v>2277</v>
      </c>
      <c r="B24" s="2568"/>
      <c r="D24" s="1262">
        <v>-92965</v>
      </c>
    </row>
    <row r="25" spans="1:4" x14ac:dyDescent="0.2">
      <c r="A25" s="2565"/>
      <c r="B25" s="2565"/>
      <c r="D25" s="1262"/>
    </row>
    <row r="26" spans="1:4" x14ac:dyDescent="0.2">
      <c r="A26" s="2565"/>
      <c r="B26" s="2565"/>
      <c r="D26" s="1262"/>
    </row>
    <row r="27" spans="1:4" x14ac:dyDescent="0.2">
      <c r="A27" s="2565"/>
      <c r="B27" s="2565"/>
      <c r="D27" s="1262"/>
    </row>
    <row r="28" spans="1:4" x14ac:dyDescent="0.2">
      <c r="A28" s="2565"/>
      <c r="B28" s="2565"/>
      <c r="D28" s="1262"/>
    </row>
    <row r="29" spans="1:4" x14ac:dyDescent="0.2">
      <c r="A29" s="2565"/>
      <c r="B29" s="2565"/>
      <c r="D29" s="1262"/>
    </row>
    <row r="30" spans="1:4" x14ac:dyDescent="0.2">
      <c r="A30" s="2565"/>
      <c r="B30" s="2565"/>
      <c r="D30" s="1262"/>
    </row>
    <row r="32" spans="1:4" x14ac:dyDescent="0.2">
      <c r="A32" s="1254" t="s">
        <v>1233</v>
      </c>
      <c r="D32" s="1257">
        <f>SUM(D19:D30)</f>
        <v>2410509</v>
      </c>
    </row>
    <row r="33" spans="1:4" x14ac:dyDescent="0.2">
      <c r="D33" s="1263"/>
    </row>
    <row r="34" spans="1:4" x14ac:dyDescent="0.2">
      <c r="A34" s="317" t="s">
        <v>1232</v>
      </c>
    </row>
    <row r="35" spans="1:4" x14ac:dyDescent="0.2">
      <c r="A35" s="317" t="s">
        <v>1231</v>
      </c>
      <c r="B35" s="1252" t="s">
        <v>1230</v>
      </c>
      <c r="D35" s="1264">
        <v>2410509</v>
      </c>
    </row>
    <row r="37" spans="1:4" x14ac:dyDescent="0.2">
      <c r="A37" s="1254" t="s">
        <v>1229</v>
      </c>
    </row>
    <row r="39" spans="1:4" ht="13.35" customHeight="1" x14ac:dyDescent="0.2">
      <c r="A39" s="1261" t="s">
        <v>1228</v>
      </c>
    </row>
    <row r="40" spans="1:4" x14ac:dyDescent="0.2">
      <c r="A40" s="2565"/>
      <c r="B40" s="2565"/>
      <c r="D40" s="1262"/>
    </row>
    <row r="41" spans="1:4" x14ac:dyDescent="0.2">
      <c r="A41" s="2565"/>
      <c r="B41" s="2565"/>
      <c r="D41" s="1265"/>
    </row>
    <row r="42" spans="1:4" x14ac:dyDescent="0.2">
      <c r="A42" s="2565"/>
      <c r="B42" s="2565"/>
      <c r="D42" s="1265"/>
    </row>
    <row r="43" spans="1:4" x14ac:dyDescent="0.2">
      <c r="A43" s="2565"/>
      <c r="B43" s="2565"/>
      <c r="D43" s="1265"/>
    </row>
    <row r="44" spans="1:4" x14ac:dyDescent="0.2">
      <c r="A44" s="2565"/>
      <c r="B44" s="2565"/>
      <c r="D44" s="1265"/>
    </row>
    <row r="45" spans="1:4" x14ac:dyDescent="0.2">
      <c r="A45" s="2565"/>
      <c r="B45" s="2565"/>
      <c r="D45" s="1265"/>
    </row>
    <row r="47" spans="1:4" x14ac:dyDescent="0.2">
      <c r="B47" s="1266" t="s">
        <v>1227</v>
      </c>
      <c r="C47" s="1266"/>
      <c r="D47" s="1267">
        <f>SUM(D35:D45)</f>
        <v>2410509</v>
      </c>
    </row>
    <row r="49" spans="2:4" x14ac:dyDescent="0.2">
      <c r="B49" s="1266" t="s">
        <v>1226</v>
      </c>
      <c r="C49" s="1266"/>
      <c r="D49" s="126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49" t="str">
        <f>'Single Audit Cover'!A7</f>
        <v>Kewanee CUSD 229</v>
      </c>
      <c r="C1" s="2570"/>
      <c r="D1" s="2570"/>
      <c r="E1" s="2570"/>
      <c r="F1" s="2570"/>
      <c r="G1" s="2570"/>
      <c r="H1" s="2570"/>
      <c r="I1" s="2570"/>
      <c r="J1" s="2570"/>
      <c r="K1" s="2570"/>
      <c r="L1" s="2570"/>
      <c r="M1" s="2570"/>
    </row>
    <row r="2" spans="2:14" ht="15" x14ac:dyDescent="0.2">
      <c r="B2" s="2571">
        <f>'Single Audit Cover'!E7</f>
        <v>28037229026</v>
      </c>
      <c r="C2" s="2571"/>
      <c r="D2" s="2571"/>
      <c r="E2" s="2571"/>
      <c r="F2" s="2571"/>
      <c r="G2" s="2571"/>
      <c r="H2" s="2571"/>
      <c r="I2" s="2571"/>
      <c r="J2" s="2571"/>
      <c r="K2" s="2571"/>
      <c r="L2" s="2571"/>
      <c r="M2" s="2571"/>
      <c r="N2" s="1296"/>
    </row>
    <row r="3" spans="2:14" ht="15" x14ac:dyDescent="0.2">
      <c r="B3" s="2572" t="s">
        <v>1219</v>
      </c>
      <c r="C3" s="2572"/>
      <c r="D3" s="2572"/>
      <c r="E3" s="2572"/>
      <c r="F3" s="2572"/>
      <c r="G3" s="2572"/>
      <c r="H3" s="2572"/>
      <c r="I3" s="2572"/>
      <c r="J3" s="2572"/>
      <c r="K3" s="2572"/>
      <c r="L3" s="2572"/>
      <c r="M3" s="2572"/>
      <c r="N3" s="1296"/>
    </row>
    <row r="4" spans="2:14" ht="15" x14ac:dyDescent="0.2">
      <c r="B4" s="2573" t="str">
        <f>'Single Audit Cover'!A4</f>
        <v>Year Ending June 30, 2019</v>
      </c>
      <c r="C4" s="2573"/>
      <c r="D4" s="2573"/>
      <c r="E4" s="2573"/>
      <c r="F4" s="2573"/>
      <c r="G4" s="2573"/>
      <c r="H4" s="2573"/>
      <c r="I4" s="2573"/>
      <c r="J4" s="2573"/>
      <c r="K4" s="2573"/>
      <c r="L4" s="2573"/>
      <c r="M4" s="2573"/>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1836</v>
      </c>
      <c r="I8" s="1313" t="s">
        <v>1262</v>
      </c>
      <c r="J8" s="1312" t="s">
        <v>1987</v>
      </c>
      <c r="K8" s="1313" t="s">
        <v>1261</v>
      </c>
      <c r="L8" s="1314" t="s">
        <v>1257</v>
      </c>
      <c r="M8" s="1315" t="s">
        <v>30</v>
      </c>
    </row>
    <row r="9" spans="2:14" ht="14.25" x14ac:dyDescent="0.2">
      <c r="B9" s="1319" t="s">
        <v>1259</v>
      </c>
      <c r="C9" s="1307" t="s">
        <v>1732</v>
      </c>
      <c r="D9" s="1308" t="s">
        <v>1733</v>
      </c>
      <c r="E9" s="1316" t="s">
        <v>1836</v>
      </c>
      <c r="F9" s="1317" t="s">
        <v>1987</v>
      </c>
      <c r="G9" s="1318" t="s">
        <v>1836</v>
      </c>
      <c r="H9" s="1311" t="s">
        <v>1582</v>
      </c>
      <c r="I9" s="1313" t="s">
        <v>1987</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1837</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AA142"/>
  <sheetViews>
    <sheetView showGridLines="0" topLeftCell="A2" zoomScale="90" zoomScaleNormal="90" zoomScaleSheetLayoutView="90" workbookViewId="0">
      <pane xSplit="2" ySplit="13" topLeftCell="C15" activePane="bottomRight" state="frozen"/>
      <selection activeCell="A2" sqref="A2"/>
      <selection pane="topRight" activeCell="C2" sqref="C2"/>
      <selection pane="bottomLeft" activeCell="A14" sqref="A14"/>
      <selection pane="bottomRight" activeCell="C15" sqref="C15"/>
    </sheetView>
  </sheetViews>
  <sheetFormatPr defaultColWidth="16.7109375" defaultRowHeight="12.75" customHeight="1" x14ac:dyDescent="0.2"/>
  <cols>
    <col min="1" max="1" width="6.5703125" style="1962" customWidth="1"/>
    <col min="2" max="2" width="41.85546875" style="1963" customWidth="1"/>
    <col min="3" max="3" width="9.85546875" style="1963" customWidth="1"/>
    <col min="4" max="4" width="1.85546875" style="1963" customWidth="1"/>
    <col min="5" max="5" width="11" style="1963" customWidth="1"/>
    <col min="6" max="6" width="5.28515625" style="2023" customWidth="1"/>
    <col min="7" max="7" width="11.5703125" style="1963" bestFit="1" customWidth="1"/>
    <col min="8" max="8" width="1.85546875" style="1963" customWidth="1"/>
    <col min="9" max="9" width="12.28515625" style="1963" customWidth="1"/>
    <col min="10" max="10" width="2.28515625" style="2023" customWidth="1"/>
    <col min="11" max="11" width="13.140625" style="1963" bestFit="1" customWidth="1"/>
    <col min="12" max="12" width="1.85546875" style="1963" customWidth="1"/>
    <col min="13" max="13" width="12.28515625" style="1963" customWidth="1"/>
    <col min="14" max="14" width="1.85546875" style="1963" customWidth="1"/>
    <col min="15" max="15" width="10.5703125" style="1963" customWidth="1"/>
    <col min="16" max="16" width="4.42578125" style="2023" customWidth="1"/>
    <col min="17" max="17" width="13.28515625" style="1963" bestFit="1" customWidth="1"/>
    <col min="18" max="18" width="1" style="1963" customWidth="1"/>
    <col min="19" max="19" width="12.5703125" style="1963" customWidth="1"/>
    <col min="20" max="21" width="12.42578125" style="1963" hidden="1" customWidth="1"/>
    <col min="22" max="22" width="17.28515625" style="1963" hidden="1" customWidth="1"/>
    <col min="23" max="25" width="18.42578125" style="1963" hidden="1" customWidth="1"/>
    <col min="26" max="26" width="16.7109375" style="1963" hidden="1" customWidth="1"/>
    <col min="27" max="27" width="0" style="1963" hidden="1" customWidth="1"/>
    <col min="28" max="256" width="16.7109375" style="1963"/>
    <col min="257" max="257" width="6.5703125" style="1963" customWidth="1"/>
    <col min="258" max="258" width="41.85546875" style="1963" customWidth="1"/>
    <col min="259" max="259" width="9.85546875" style="1963" customWidth="1"/>
    <col min="260" max="260" width="1.85546875" style="1963" customWidth="1"/>
    <col min="261" max="261" width="11" style="1963" customWidth="1"/>
    <col min="262" max="262" width="5.28515625" style="1963" customWidth="1"/>
    <col min="263" max="263" width="11.5703125" style="1963" bestFit="1" customWidth="1"/>
    <col min="264" max="264" width="1.85546875" style="1963" customWidth="1"/>
    <col min="265" max="265" width="12.28515625" style="1963" customWidth="1"/>
    <col min="266" max="266" width="2.28515625" style="1963" customWidth="1"/>
    <col min="267" max="267" width="13.140625" style="1963" bestFit="1" customWidth="1"/>
    <col min="268" max="268" width="1.85546875" style="1963" customWidth="1"/>
    <col min="269" max="269" width="12.28515625" style="1963" customWidth="1"/>
    <col min="270" max="270" width="1.85546875" style="1963" customWidth="1"/>
    <col min="271" max="271" width="10.5703125" style="1963" customWidth="1"/>
    <col min="272" max="272" width="4.42578125" style="1963" customWidth="1"/>
    <col min="273" max="273" width="13.28515625" style="1963" bestFit="1" customWidth="1"/>
    <col min="274" max="274" width="1" style="1963" customWidth="1"/>
    <col min="275" max="275" width="12.5703125" style="1963" customWidth="1"/>
    <col min="276" max="277" width="12.42578125" style="1963" customWidth="1"/>
    <col min="278" max="278" width="17.28515625" style="1963" customWidth="1"/>
    <col min="279" max="281" width="18.42578125" style="1963" customWidth="1"/>
    <col min="282" max="512" width="16.7109375" style="1963"/>
    <col min="513" max="513" width="6.5703125" style="1963" customWidth="1"/>
    <col min="514" max="514" width="41.85546875" style="1963" customWidth="1"/>
    <col min="515" max="515" width="9.85546875" style="1963" customWidth="1"/>
    <col min="516" max="516" width="1.85546875" style="1963" customWidth="1"/>
    <col min="517" max="517" width="11" style="1963" customWidth="1"/>
    <col min="518" max="518" width="5.28515625" style="1963" customWidth="1"/>
    <col min="519" max="519" width="11.5703125" style="1963" bestFit="1" customWidth="1"/>
    <col min="520" max="520" width="1.85546875" style="1963" customWidth="1"/>
    <col min="521" max="521" width="12.28515625" style="1963" customWidth="1"/>
    <col min="522" max="522" width="2.28515625" style="1963" customWidth="1"/>
    <col min="523" max="523" width="13.140625" style="1963" bestFit="1" customWidth="1"/>
    <col min="524" max="524" width="1.85546875" style="1963" customWidth="1"/>
    <col min="525" max="525" width="12.28515625" style="1963" customWidth="1"/>
    <col min="526" max="526" width="1.85546875" style="1963" customWidth="1"/>
    <col min="527" max="527" width="10.5703125" style="1963" customWidth="1"/>
    <col min="528" max="528" width="4.42578125" style="1963" customWidth="1"/>
    <col min="529" max="529" width="13.28515625" style="1963" bestFit="1" customWidth="1"/>
    <col min="530" max="530" width="1" style="1963" customWidth="1"/>
    <col min="531" max="531" width="12.5703125" style="1963" customWidth="1"/>
    <col min="532" max="533" width="12.42578125" style="1963" customWidth="1"/>
    <col min="534" max="534" width="17.28515625" style="1963" customWidth="1"/>
    <col min="535" max="537" width="18.42578125" style="1963" customWidth="1"/>
    <col min="538" max="768" width="16.7109375" style="1963"/>
    <col min="769" max="769" width="6.5703125" style="1963" customWidth="1"/>
    <col min="770" max="770" width="41.85546875" style="1963" customWidth="1"/>
    <col min="771" max="771" width="9.85546875" style="1963" customWidth="1"/>
    <col min="772" max="772" width="1.85546875" style="1963" customWidth="1"/>
    <col min="773" max="773" width="11" style="1963" customWidth="1"/>
    <col min="774" max="774" width="5.28515625" style="1963" customWidth="1"/>
    <col min="775" max="775" width="11.5703125" style="1963" bestFit="1" customWidth="1"/>
    <col min="776" max="776" width="1.85546875" style="1963" customWidth="1"/>
    <col min="777" max="777" width="12.28515625" style="1963" customWidth="1"/>
    <col min="778" max="778" width="2.28515625" style="1963" customWidth="1"/>
    <col min="779" max="779" width="13.140625" style="1963" bestFit="1" customWidth="1"/>
    <col min="780" max="780" width="1.85546875" style="1963" customWidth="1"/>
    <col min="781" max="781" width="12.28515625" style="1963" customWidth="1"/>
    <col min="782" max="782" width="1.85546875" style="1963" customWidth="1"/>
    <col min="783" max="783" width="10.5703125" style="1963" customWidth="1"/>
    <col min="784" max="784" width="4.42578125" style="1963" customWidth="1"/>
    <col min="785" max="785" width="13.28515625" style="1963" bestFit="1" customWidth="1"/>
    <col min="786" max="786" width="1" style="1963" customWidth="1"/>
    <col min="787" max="787" width="12.5703125" style="1963" customWidth="1"/>
    <col min="788" max="789" width="12.42578125" style="1963" customWidth="1"/>
    <col min="790" max="790" width="17.28515625" style="1963" customWidth="1"/>
    <col min="791" max="793" width="18.42578125" style="1963" customWidth="1"/>
    <col min="794" max="1024" width="16.7109375" style="1963"/>
    <col min="1025" max="1025" width="6.5703125" style="1963" customWidth="1"/>
    <col min="1026" max="1026" width="41.85546875" style="1963" customWidth="1"/>
    <col min="1027" max="1027" width="9.85546875" style="1963" customWidth="1"/>
    <col min="1028" max="1028" width="1.85546875" style="1963" customWidth="1"/>
    <col min="1029" max="1029" width="11" style="1963" customWidth="1"/>
    <col min="1030" max="1030" width="5.28515625" style="1963" customWidth="1"/>
    <col min="1031" max="1031" width="11.5703125" style="1963" bestFit="1" customWidth="1"/>
    <col min="1032" max="1032" width="1.85546875" style="1963" customWidth="1"/>
    <col min="1033" max="1033" width="12.28515625" style="1963" customWidth="1"/>
    <col min="1034" max="1034" width="2.28515625" style="1963" customWidth="1"/>
    <col min="1035" max="1035" width="13.140625" style="1963" bestFit="1" customWidth="1"/>
    <col min="1036" max="1036" width="1.85546875" style="1963" customWidth="1"/>
    <col min="1037" max="1037" width="12.28515625" style="1963" customWidth="1"/>
    <col min="1038" max="1038" width="1.85546875" style="1963" customWidth="1"/>
    <col min="1039" max="1039" width="10.5703125" style="1963" customWidth="1"/>
    <col min="1040" max="1040" width="4.42578125" style="1963" customWidth="1"/>
    <col min="1041" max="1041" width="13.28515625" style="1963" bestFit="1" customWidth="1"/>
    <col min="1042" max="1042" width="1" style="1963" customWidth="1"/>
    <col min="1043" max="1043" width="12.5703125" style="1963" customWidth="1"/>
    <col min="1044" max="1045" width="12.42578125" style="1963" customWidth="1"/>
    <col min="1046" max="1046" width="17.28515625" style="1963" customWidth="1"/>
    <col min="1047" max="1049" width="18.42578125" style="1963" customWidth="1"/>
    <col min="1050" max="1280" width="16.7109375" style="1963"/>
    <col min="1281" max="1281" width="6.5703125" style="1963" customWidth="1"/>
    <col min="1282" max="1282" width="41.85546875" style="1963" customWidth="1"/>
    <col min="1283" max="1283" width="9.85546875" style="1963" customWidth="1"/>
    <col min="1284" max="1284" width="1.85546875" style="1963" customWidth="1"/>
    <col min="1285" max="1285" width="11" style="1963" customWidth="1"/>
    <col min="1286" max="1286" width="5.28515625" style="1963" customWidth="1"/>
    <col min="1287" max="1287" width="11.5703125" style="1963" bestFit="1" customWidth="1"/>
    <col min="1288" max="1288" width="1.85546875" style="1963" customWidth="1"/>
    <col min="1289" max="1289" width="12.28515625" style="1963" customWidth="1"/>
    <col min="1290" max="1290" width="2.28515625" style="1963" customWidth="1"/>
    <col min="1291" max="1291" width="13.140625" style="1963" bestFit="1" customWidth="1"/>
    <col min="1292" max="1292" width="1.85546875" style="1963" customWidth="1"/>
    <col min="1293" max="1293" width="12.28515625" style="1963" customWidth="1"/>
    <col min="1294" max="1294" width="1.85546875" style="1963" customWidth="1"/>
    <col min="1295" max="1295" width="10.5703125" style="1963" customWidth="1"/>
    <col min="1296" max="1296" width="4.42578125" style="1963" customWidth="1"/>
    <col min="1297" max="1297" width="13.28515625" style="1963" bestFit="1" customWidth="1"/>
    <col min="1298" max="1298" width="1" style="1963" customWidth="1"/>
    <col min="1299" max="1299" width="12.5703125" style="1963" customWidth="1"/>
    <col min="1300" max="1301" width="12.42578125" style="1963" customWidth="1"/>
    <col min="1302" max="1302" width="17.28515625" style="1963" customWidth="1"/>
    <col min="1303" max="1305" width="18.42578125" style="1963" customWidth="1"/>
    <col min="1306" max="1536" width="16.7109375" style="1963"/>
    <col min="1537" max="1537" width="6.5703125" style="1963" customWidth="1"/>
    <col min="1538" max="1538" width="41.85546875" style="1963" customWidth="1"/>
    <col min="1539" max="1539" width="9.85546875" style="1963" customWidth="1"/>
    <col min="1540" max="1540" width="1.85546875" style="1963" customWidth="1"/>
    <col min="1541" max="1541" width="11" style="1963" customWidth="1"/>
    <col min="1542" max="1542" width="5.28515625" style="1963" customWidth="1"/>
    <col min="1543" max="1543" width="11.5703125" style="1963" bestFit="1" customWidth="1"/>
    <col min="1544" max="1544" width="1.85546875" style="1963" customWidth="1"/>
    <col min="1545" max="1545" width="12.28515625" style="1963" customWidth="1"/>
    <col min="1546" max="1546" width="2.28515625" style="1963" customWidth="1"/>
    <col min="1547" max="1547" width="13.140625" style="1963" bestFit="1" customWidth="1"/>
    <col min="1548" max="1548" width="1.85546875" style="1963" customWidth="1"/>
    <col min="1549" max="1549" width="12.28515625" style="1963" customWidth="1"/>
    <col min="1550" max="1550" width="1.85546875" style="1963" customWidth="1"/>
    <col min="1551" max="1551" width="10.5703125" style="1963" customWidth="1"/>
    <col min="1552" max="1552" width="4.42578125" style="1963" customWidth="1"/>
    <col min="1553" max="1553" width="13.28515625" style="1963" bestFit="1" customWidth="1"/>
    <col min="1554" max="1554" width="1" style="1963" customWidth="1"/>
    <col min="1555" max="1555" width="12.5703125" style="1963" customWidth="1"/>
    <col min="1556" max="1557" width="12.42578125" style="1963" customWidth="1"/>
    <col min="1558" max="1558" width="17.28515625" style="1963" customWidth="1"/>
    <col min="1559" max="1561" width="18.42578125" style="1963" customWidth="1"/>
    <col min="1562" max="1792" width="16.7109375" style="1963"/>
    <col min="1793" max="1793" width="6.5703125" style="1963" customWidth="1"/>
    <col min="1794" max="1794" width="41.85546875" style="1963" customWidth="1"/>
    <col min="1795" max="1795" width="9.85546875" style="1963" customWidth="1"/>
    <col min="1796" max="1796" width="1.85546875" style="1963" customWidth="1"/>
    <col min="1797" max="1797" width="11" style="1963" customWidth="1"/>
    <col min="1798" max="1798" width="5.28515625" style="1963" customWidth="1"/>
    <col min="1799" max="1799" width="11.5703125" style="1963" bestFit="1" customWidth="1"/>
    <col min="1800" max="1800" width="1.85546875" style="1963" customWidth="1"/>
    <col min="1801" max="1801" width="12.28515625" style="1963" customWidth="1"/>
    <col min="1802" max="1802" width="2.28515625" style="1963" customWidth="1"/>
    <col min="1803" max="1803" width="13.140625" style="1963" bestFit="1" customWidth="1"/>
    <col min="1804" max="1804" width="1.85546875" style="1963" customWidth="1"/>
    <col min="1805" max="1805" width="12.28515625" style="1963" customWidth="1"/>
    <col min="1806" max="1806" width="1.85546875" style="1963" customWidth="1"/>
    <col min="1807" max="1807" width="10.5703125" style="1963" customWidth="1"/>
    <col min="1808" max="1808" width="4.42578125" style="1963" customWidth="1"/>
    <col min="1809" max="1809" width="13.28515625" style="1963" bestFit="1" customWidth="1"/>
    <col min="1810" max="1810" width="1" style="1963" customWidth="1"/>
    <col min="1811" max="1811" width="12.5703125" style="1963" customWidth="1"/>
    <col min="1812" max="1813" width="12.42578125" style="1963" customWidth="1"/>
    <col min="1814" max="1814" width="17.28515625" style="1963" customWidth="1"/>
    <col min="1815" max="1817" width="18.42578125" style="1963" customWidth="1"/>
    <col min="1818" max="2048" width="16.7109375" style="1963"/>
    <col min="2049" max="2049" width="6.5703125" style="1963" customWidth="1"/>
    <col min="2050" max="2050" width="41.85546875" style="1963" customWidth="1"/>
    <col min="2051" max="2051" width="9.85546875" style="1963" customWidth="1"/>
    <col min="2052" max="2052" width="1.85546875" style="1963" customWidth="1"/>
    <col min="2053" max="2053" width="11" style="1963" customWidth="1"/>
    <col min="2054" max="2054" width="5.28515625" style="1963" customWidth="1"/>
    <col min="2055" max="2055" width="11.5703125" style="1963" bestFit="1" customWidth="1"/>
    <col min="2056" max="2056" width="1.85546875" style="1963" customWidth="1"/>
    <col min="2057" max="2057" width="12.28515625" style="1963" customWidth="1"/>
    <col min="2058" max="2058" width="2.28515625" style="1963" customWidth="1"/>
    <col min="2059" max="2059" width="13.140625" style="1963" bestFit="1" customWidth="1"/>
    <col min="2060" max="2060" width="1.85546875" style="1963" customWidth="1"/>
    <col min="2061" max="2061" width="12.28515625" style="1963" customWidth="1"/>
    <col min="2062" max="2062" width="1.85546875" style="1963" customWidth="1"/>
    <col min="2063" max="2063" width="10.5703125" style="1963" customWidth="1"/>
    <col min="2064" max="2064" width="4.42578125" style="1963" customWidth="1"/>
    <col min="2065" max="2065" width="13.28515625" style="1963" bestFit="1" customWidth="1"/>
    <col min="2066" max="2066" width="1" style="1963" customWidth="1"/>
    <col min="2067" max="2067" width="12.5703125" style="1963" customWidth="1"/>
    <col min="2068" max="2069" width="12.42578125" style="1963" customWidth="1"/>
    <col min="2070" max="2070" width="17.28515625" style="1963" customWidth="1"/>
    <col min="2071" max="2073" width="18.42578125" style="1963" customWidth="1"/>
    <col min="2074" max="2304" width="16.7109375" style="1963"/>
    <col min="2305" max="2305" width="6.5703125" style="1963" customWidth="1"/>
    <col min="2306" max="2306" width="41.85546875" style="1963" customWidth="1"/>
    <col min="2307" max="2307" width="9.85546875" style="1963" customWidth="1"/>
    <col min="2308" max="2308" width="1.85546875" style="1963" customWidth="1"/>
    <col min="2309" max="2309" width="11" style="1963" customWidth="1"/>
    <col min="2310" max="2310" width="5.28515625" style="1963" customWidth="1"/>
    <col min="2311" max="2311" width="11.5703125" style="1963" bestFit="1" customWidth="1"/>
    <col min="2312" max="2312" width="1.85546875" style="1963" customWidth="1"/>
    <col min="2313" max="2313" width="12.28515625" style="1963" customWidth="1"/>
    <col min="2314" max="2314" width="2.28515625" style="1963" customWidth="1"/>
    <col min="2315" max="2315" width="13.140625" style="1963" bestFit="1" customWidth="1"/>
    <col min="2316" max="2316" width="1.85546875" style="1963" customWidth="1"/>
    <col min="2317" max="2317" width="12.28515625" style="1963" customWidth="1"/>
    <col min="2318" max="2318" width="1.85546875" style="1963" customWidth="1"/>
    <col min="2319" max="2319" width="10.5703125" style="1963" customWidth="1"/>
    <col min="2320" max="2320" width="4.42578125" style="1963" customWidth="1"/>
    <col min="2321" max="2321" width="13.28515625" style="1963" bestFit="1" customWidth="1"/>
    <col min="2322" max="2322" width="1" style="1963" customWidth="1"/>
    <col min="2323" max="2323" width="12.5703125" style="1963" customWidth="1"/>
    <col min="2324" max="2325" width="12.42578125" style="1963" customWidth="1"/>
    <col min="2326" max="2326" width="17.28515625" style="1963" customWidth="1"/>
    <col min="2327" max="2329" width="18.42578125" style="1963" customWidth="1"/>
    <col min="2330" max="2560" width="16.7109375" style="1963"/>
    <col min="2561" max="2561" width="6.5703125" style="1963" customWidth="1"/>
    <col min="2562" max="2562" width="41.85546875" style="1963" customWidth="1"/>
    <col min="2563" max="2563" width="9.85546875" style="1963" customWidth="1"/>
    <col min="2564" max="2564" width="1.85546875" style="1963" customWidth="1"/>
    <col min="2565" max="2565" width="11" style="1963" customWidth="1"/>
    <col min="2566" max="2566" width="5.28515625" style="1963" customWidth="1"/>
    <col min="2567" max="2567" width="11.5703125" style="1963" bestFit="1" customWidth="1"/>
    <col min="2568" max="2568" width="1.85546875" style="1963" customWidth="1"/>
    <col min="2569" max="2569" width="12.28515625" style="1963" customWidth="1"/>
    <col min="2570" max="2570" width="2.28515625" style="1963" customWidth="1"/>
    <col min="2571" max="2571" width="13.140625" style="1963" bestFit="1" customWidth="1"/>
    <col min="2572" max="2572" width="1.85546875" style="1963" customWidth="1"/>
    <col min="2573" max="2573" width="12.28515625" style="1963" customWidth="1"/>
    <col min="2574" max="2574" width="1.85546875" style="1963" customWidth="1"/>
    <col min="2575" max="2575" width="10.5703125" style="1963" customWidth="1"/>
    <col min="2576" max="2576" width="4.42578125" style="1963" customWidth="1"/>
    <col min="2577" max="2577" width="13.28515625" style="1963" bestFit="1" customWidth="1"/>
    <col min="2578" max="2578" width="1" style="1963" customWidth="1"/>
    <col min="2579" max="2579" width="12.5703125" style="1963" customWidth="1"/>
    <col min="2580" max="2581" width="12.42578125" style="1963" customWidth="1"/>
    <col min="2582" max="2582" width="17.28515625" style="1963" customWidth="1"/>
    <col min="2583" max="2585" width="18.42578125" style="1963" customWidth="1"/>
    <col min="2586" max="2816" width="16.7109375" style="1963"/>
    <col min="2817" max="2817" width="6.5703125" style="1963" customWidth="1"/>
    <col min="2818" max="2818" width="41.85546875" style="1963" customWidth="1"/>
    <col min="2819" max="2819" width="9.85546875" style="1963" customWidth="1"/>
    <col min="2820" max="2820" width="1.85546875" style="1963" customWidth="1"/>
    <col min="2821" max="2821" width="11" style="1963" customWidth="1"/>
    <col min="2822" max="2822" width="5.28515625" style="1963" customWidth="1"/>
    <col min="2823" max="2823" width="11.5703125" style="1963" bestFit="1" customWidth="1"/>
    <col min="2824" max="2824" width="1.85546875" style="1963" customWidth="1"/>
    <col min="2825" max="2825" width="12.28515625" style="1963" customWidth="1"/>
    <col min="2826" max="2826" width="2.28515625" style="1963" customWidth="1"/>
    <col min="2827" max="2827" width="13.140625" style="1963" bestFit="1" customWidth="1"/>
    <col min="2828" max="2828" width="1.85546875" style="1963" customWidth="1"/>
    <col min="2829" max="2829" width="12.28515625" style="1963" customWidth="1"/>
    <col min="2830" max="2830" width="1.85546875" style="1963" customWidth="1"/>
    <col min="2831" max="2831" width="10.5703125" style="1963" customWidth="1"/>
    <col min="2832" max="2832" width="4.42578125" style="1963" customWidth="1"/>
    <col min="2833" max="2833" width="13.28515625" style="1963" bestFit="1" customWidth="1"/>
    <col min="2834" max="2834" width="1" style="1963" customWidth="1"/>
    <col min="2835" max="2835" width="12.5703125" style="1963" customWidth="1"/>
    <col min="2836" max="2837" width="12.42578125" style="1963" customWidth="1"/>
    <col min="2838" max="2838" width="17.28515625" style="1963" customWidth="1"/>
    <col min="2839" max="2841" width="18.42578125" style="1963" customWidth="1"/>
    <col min="2842" max="3072" width="16.7109375" style="1963"/>
    <col min="3073" max="3073" width="6.5703125" style="1963" customWidth="1"/>
    <col min="3074" max="3074" width="41.85546875" style="1963" customWidth="1"/>
    <col min="3075" max="3075" width="9.85546875" style="1963" customWidth="1"/>
    <col min="3076" max="3076" width="1.85546875" style="1963" customWidth="1"/>
    <col min="3077" max="3077" width="11" style="1963" customWidth="1"/>
    <col min="3078" max="3078" width="5.28515625" style="1963" customWidth="1"/>
    <col min="3079" max="3079" width="11.5703125" style="1963" bestFit="1" customWidth="1"/>
    <col min="3080" max="3080" width="1.85546875" style="1963" customWidth="1"/>
    <col min="3081" max="3081" width="12.28515625" style="1963" customWidth="1"/>
    <col min="3082" max="3082" width="2.28515625" style="1963" customWidth="1"/>
    <col min="3083" max="3083" width="13.140625" style="1963" bestFit="1" customWidth="1"/>
    <col min="3084" max="3084" width="1.85546875" style="1963" customWidth="1"/>
    <col min="3085" max="3085" width="12.28515625" style="1963" customWidth="1"/>
    <col min="3086" max="3086" width="1.85546875" style="1963" customWidth="1"/>
    <col min="3087" max="3087" width="10.5703125" style="1963" customWidth="1"/>
    <col min="3088" max="3088" width="4.42578125" style="1963" customWidth="1"/>
    <col min="3089" max="3089" width="13.28515625" style="1963" bestFit="1" customWidth="1"/>
    <col min="3090" max="3090" width="1" style="1963" customWidth="1"/>
    <col min="3091" max="3091" width="12.5703125" style="1963" customWidth="1"/>
    <col min="3092" max="3093" width="12.42578125" style="1963" customWidth="1"/>
    <col min="3094" max="3094" width="17.28515625" style="1963" customWidth="1"/>
    <col min="3095" max="3097" width="18.42578125" style="1963" customWidth="1"/>
    <col min="3098" max="3328" width="16.7109375" style="1963"/>
    <col min="3329" max="3329" width="6.5703125" style="1963" customWidth="1"/>
    <col min="3330" max="3330" width="41.85546875" style="1963" customWidth="1"/>
    <col min="3331" max="3331" width="9.85546875" style="1963" customWidth="1"/>
    <col min="3332" max="3332" width="1.85546875" style="1963" customWidth="1"/>
    <col min="3333" max="3333" width="11" style="1963" customWidth="1"/>
    <col min="3334" max="3334" width="5.28515625" style="1963" customWidth="1"/>
    <col min="3335" max="3335" width="11.5703125" style="1963" bestFit="1" customWidth="1"/>
    <col min="3336" max="3336" width="1.85546875" style="1963" customWidth="1"/>
    <col min="3337" max="3337" width="12.28515625" style="1963" customWidth="1"/>
    <col min="3338" max="3338" width="2.28515625" style="1963" customWidth="1"/>
    <col min="3339" max="3339" width="13.140625" style="1963" bestFit="1" customWidth="1"/>
    <col min="3340" max="3340" width="1.85546875" style="1963" customWidth="1"/>
    <col min="3341" max="3341" width="12.28515625" style="1963" customWidth="1"/>
    <col min="3342" max="3342" width="1.85546875" style="1963" customWidth="1"/>
    <col min="3343" max="3343" width="10.5703125" style="1963" customWidth="1"/>
    <col min="3344" max="3344" width="4.42578125" style="1963" customWidth="1"/>
    <col min="3345" max="3345" width="13.28515625" style="1963" bestFit="1" customWidth="1"/>
    <col min="3346" max="3346" width="1" style="1963" customWidth="1"/>
    <col min="3347" max="3347" width="12.5703125" style="1963" customWidth="1"/>
    <col min="3348" max="3349" width="12.42578125" style="1963" customWidth="1"/>
    <col min="3350" max="3350" width="17.28515625" style="1963" customWidth="1"/>
    <col min="3351" max="3353" width="18.42578125" style="1963" customWidth="1"/>
    <col min="3354" max="3584" width="16.7109375" style="1963"/>
    <col min="3585" max="3585" width="6.5703125" style="1963" customWidth="1"/>
    <col min="3586" max="3586" width="41.85546875" style="1963" customWidth="1"/>
    <col min="3587" max="3587" width="9.85546875" style="1963" customWidth="1"/>
    <col min="3588" max="3588" width="1.85546875" style="1963" customWidth="1"/>
    <col min="3589" max="3589" width="11" style="1963" customWidth="1"/>
    <col min="3590" max="3590" width="5.28515625" style="1963" customWidth="1"/>
    <col min="3591" max="3591" width="11.5703125" style="1963" bestFit="1" customWidth="1"/>
    <col min="3592" max="3592" width="1.85546875" style="1963" customWidth="1"/>
    <col min="3593" max="3593" width="12.28515625" style="1963" customWidth="1"/>
    <col min="3594" max="3594" width="2.28515625" style="1963" customWidth="1"/>
    <col min="3595" max="3595" width="13.140625" style="1963" bestFit="1" customWidth="1"/>
    <col min="3596" max="3596" width="1.85546875" style="1963" customWidth="1"/>
    <col min="3597" max="3597" width="12.28515625" style="1963" customWidth="1"/>
    <col min="3598" max="3598" width="1.85546875" style="1963" customWidth="1"/>
    <col min="3599" max="3599" width="10.5703125" style="1963" customWidth="1"/>
    <col min="3600" max="3600" width="4.42578125" style="1963" customWidth="1"/>
    <col min="3601" max="3601" width="13.28515625" style="1963" bestFit="1" customWidth="1"/>
    <col min="3602" max="3602" width="1" style="1963" customWidth="1"/>
    <col min="3603" max="3603" width="12.5703125" style="1963" customWidth="1"/>
    <col min="3604" max="3605" width="12.42578125" style="1963" customWidth="1"/>
    <col min="3606" max="3606" width="17.28515625" style="1963" customWidth="1"/>
    <col min="3607" max="3609" width="18.42578125" style="1963" customWidth="1"/>
    <col min="3610" max="3840" width="16.7109375" style="1963"/>
    <col min="3841" max="3841" width="6.5703125" style="1963" customWidth="1"/>
    <col min="3842" max="3842" width="41.85546875" style="1963" customWidth="1"/>
    <col min="3843" max="3843" width="9.85546875" style="1963" customWidth="1"/>
    <col min="3844" max="3844" width="1.85546875" style="1963" customWidth="1"/>
    <col min="3845" max="3845" width="11" style="1963" customWidth="1"/>
    <col min="3846" max="3846" width="5.28515625" style="1963" customWidth="1"/>
    <col min="3847" max="3847" width="11.5703125" style="1963" bestFit="1" customWidth="1"/>
    <col min="3848" max="3848" width="1.85546875" style="1963" customWidth="1"/>
    <col min="3849" max="3849" width="12.28515625" style="1963" customWidth="1"/>
    <col min="3850" max="3850" width="2.28515625" style="1963" customWidth="1"/>
    <col min="3851" max="3851" width="13.140625" style="1963" bestFit="1" customWidth="1"/>
    <col min="3852" max="3852" width="1.85546875" style="1963" customWidth="1"/>
    <col min="3853" max="3853" width="12.28515625" style="1963" customWidth="1"/>
    <col min="3854" max="3854" width="1.85546875" style="1963" customWidth="1"/>
    <col min="3855" max="3855" width="10.5703125" style="1963" customWidth="1"/>
    <col min="3856" max="3856" width="4.42578125" style="1963" customWidth="1"/>
    <col min="3857" max="3857" width="13.28515625" style="1963" bestFit="1" customWidth="1"/>
    <col min="3858" max="3858" width="1" style="1963" customWidth="1"/>
    <col min="3859" max="3859" width="12.5703125" style="1963" customWidth="1"/>
    <col min="3860" max="3861" width="12.42578125" style="1963" customWidth="1"/>
    <col min="3862" max="3862" width="17.28515625" style="1963" customWidth="1"/>
    <col min="3863" max="3865" width="18.42578125" style="1963" customWidth="1"/>
    <col min="3866" max="4096" width="16.7109375" style="1963"/>
    <col min="4097" max="4097" width="6.5703125" style="1963" customWidth="1"/>
    <col min="4098" max="4098" width="41.85546875" style="1963" customWidth="1"/>
    <col min="4099" max="4099" width="9.85546875" style="1963" customWidth="1"/>
    <col min="4100" max="4100" width="1.85546875" style="1963" customWidth="1"/>
    <col min="4101" max="4101" width="11" style="1963" customWidth="1"/>
    <col min="4102" max="4102" width="5.28515625" style="1963" customWidth="1"/>
    <col min="4103" max="4103" width="11.5703125" style="1963" bestFit="1" customWidth="1"/>
    <col min="4104" max="4104" width="1.85546875" style="1963" customWidth="1"/>
    <col min="4105" max="4105" width="12.28515625" style="1963" customWidth="1"/>
    <col min="4106" max="4106" width="2.28515625" style="1963" customWidth="1"/>
    <col min="4107" max="4107" width="13.140625" style="1963" bestFit="1" customWidth="1"/>
    <col min="4108" max="4108" width="1.85546875" style="1963" customWidth="1"/>
    <col min="4109" max="4109" width="12.28515625" style="1963" customWidth="1"/>
    <col min="4110" max="4110" width="1.85546875" style="1963" customWidth="1"/>
    <col min="4111" max="4111" width="10.5703125" style="1963" customWidth="1"/>
    <col min="4112" max="4112" width="4.42578125" style="1963" customWidth="1"/>
    <col min="4113" max="4113" width="13.28515625" style="1963" bestFit="1" customWidth="1"/>
    <col min="4114" max="4114" width="1" style="1963" customWidth="1"/>
    <col min="4115" max="4115" width="12.5703125" style="1963" customWidth="1"/>
    <col min="4116" max="4117" width="12.42578125" style="1963" customWidth="1"/>
    <col min="4118" max="4118" width="17.28515625" style="1963" customWidth="1"/>
    <col min="4119" max="4121" width="18.42578125" style="1963" customWidth="1"/>
    <col min="4122" max="4352" width="16.7109375" style="1963"/>
    <col min="4353" max="4353" width="6.5703125" style="1963" customWidth="1"/>
    <col min="4354" max="4354" width="41.85546875" style="1963" customWidth="1"/>
    <col min="4355" max="4355" width="9.85546875" style="1963" customWidth="1"/>
    <col min="4356" max="4356" width="1.85546875" style="1963" customWidth="1"/>
    <col min="4357" max="4357" width="11" style="1963" customWidth="1"/>
    <col min="4358" max="4358" width="5.28515625" style="1963" customWidth="1"/>
    <col min="4359" max="4359" width="11.5703125" style="1963" bestFit="1" customWidth="1"/>
    <col min="4360" max="4360" width="1.85546875" style="1963" customWidth="1"/>
    <col min="4361" max="4361" width="12.28515625" style="1963" customWidth="1"/>
    <col min="4362" max="4362" width="2.28515625" style="1963" customWidth="1"/>
    <col min="4363" max="4363" width="13.140625" style="1963" bestFit="1" customWidth="1"/>
    <col min="4364" max="4364" width="1.85546875" style="1963" customWidth="1"/>
    <col min="4365" max="4365" width="12.28515625" style="1963" customWidth="1"/>
    <col min="4366" max="4366" width="1.85546875" style="1963" customWidth="1"/>
    <col min="4367" max="4367" width="10.5703125" style="1963" customWidth="1"/>
    <col min="4368" max="4368" width="4.42578125" style="1963" customWidth="1"/>
    <col min="4369" max="4369" width="13.28515625" style="1963" bestFit="1" customWidth="1"/>
    <col min="4370" max="4370" width="1" style="1963" customWidth="1"/>
    <col min="4371" max="4371" width="12.5703125" style="1963" customWidth="1"/>
    <col min="4372" max="4373" width="12.42578125" style="1963" customWidth="1"/>
    <col min="4374" max="4374" width="17.28515625" style="1963" customWidth="1"/>
    <col min="4375" max="4377" width="18.42578125" style="1963" customWidth="1"/>
    <col min="4378" max="4608" width="16.7109375" style="1963"/>
    <col min="4609" max="4609" width="6.5703125" style="1963" customWidth="1"/>
    <col min="4610" max="4610" width="41.85546875" style="1963" customWidth="1"/>
    <col min="4611" max="4611" width="9.85546875" style="1963" customWidth="1"/>
    <col min="4612" max="4612" width="1.85546875" style="1963" customWidth="1"/>
    <col min="4613" max="4613" width="11" style="1963" customWidth="1"/>
    <col min="4614" max="4614" width="5.28515625" style="1963" customWidth="1"/>
    <col min="4615" max="4615" width="11.5703125" style="1963" bestFit="1" customWidth="1"/>
    <col min="4616" max="4616" width="1.85546875" style="1963" customWidth="1"/>
    <col min="4617" max="4617" width="12.28515625" style="1963" customWidth="1"/>
    <col min="4618" max="4618" width="2.28515625" style="1963" customWidth="1"/>
    <col min="4619" max="4619" width="13.140625" style="1963" bestFit="1" customWidth="1"/>
    <col min="4620" max="4620" width="1.85546875" style="1963" customWidth="1"/>
    <col min="4621" max="4621" width="12.28515625" style="1963" customWidth="1"/>
    <col min="4622" max="4622" width="1.85546875" style="1963" customWidth="1"/>
    <col min="4623" max="4623" width="10.5703125" style="1963" customWidth="1"/>
    <col min="4624" max="4624" width="4.42578125" style="1963" customWidth="1"/>
    <col min="4625" max="4625" width="13.28515625" style="1963" bestFit="1" customWidth="1"/>
    <col min="4626" max="4626" width="1" style="1963" customWidth="1"/>
    <col min="4627" max="4627" width="12.5703125" style="1963" customWidth="1"/>
    <col min="4628" max="4629" width="12.42578125" style="1963" customWidth="1"/>
    <col min="4630" max="4630" width="17.28515625" style="1963" customWidth="1"/>
    <col min="4631" max="4633" width="18.42578125" style="1963" customWidth="1"/>
    <col min="4634" max="4864" width="16.7109375" style="1963"/>
    <col min="4865" max="4865" width="6.5703125" style="1963" customWidth="1"/>
    <col min="4866" max="4866" width="41.85546875" style="1963" customWidth="1"/>
    <col min="4867" max="4867" width="9.85546875" style="1963" customWidth="1"/>
    <col min="4868" max="4868" width="1.85546875" style="1963" customWidth="1"/>
    <col min="4869" max="4869" width="11" style="1963" customWidth="1"/>
    <col min="4870" max="4870" width="5.28515625" style="1963" customWidth="1"/>
    <col min="4871" max="4871" width="11.5703125" style="1963" bestFit="1" customWidth="1"/>
    <col min="4872" max="4872" width="1.85546875" style="1963" customWidth="1"/>
    <col min="4873" max="4873" width="12.28515625" style="1963" customWidth="1"/>
    <col min="4874" max="4874" width="2.28515625" style="1963" customWidth="1"/>
    <col min="4875" max="4875" width="13.140625" style="1963" bestFit="1" customWidth="1"/>
    <col min="4876" max="4876" width="1.85546875" style="1963" customWidth="1"/>
    <col min="4877" max="4877" width="12.28515625" style="1963" customWidth="1"/>
    <col min="4878" max="4878" width="1.85546875" style="1963" customWidth="1"/>
    <col min="4879" max="4879" width="10.5703125" style="1963" customWidth="1"/>
    <col min="4880" max="4880" width="4.42578125" style="1963" customWidth="1"/>
    <col min="4881" max="4881" width="13.28515625" style="1963" bestFit="1" customWidth="1"/>
    <col min="4882" max="4882" width="1" style="1963" customWidth="1"/>
    <col min="4883" max="4883" width="12.5703125" style="1963" customWidth="1"/>
    <col min="4884" max="4885" width="12.42578125" style="1963" customWidth="1"/>
    <col min="4886" max="4886" width="17.28515625" style="1963" customWidth="1"/>
    <col min="4887" max="4889" width="18.42578125" style="1963" customWidth="1"/>
    <col min="4890" max="5120" width="16.7109375" style="1963"/>
    <col min="5121" max="5121" width="6.5703125" style="1963" customWidth="1"/>
    <col min="5122" max="5122" width="41.85546875" style="1963" customWidth="1"/>
    <col min="5123" max="5123" width="9.85546875" style="1963" customWidth="1"/>
    <col min="5124" max="5124" width="1.85546875" style="1963" customWidth="1"/>
    <col min="5125" max="5125" width="11" style="1963" customWidth="1"/>
    <col min="5126" max="5126" width="5.28515625" style="1963" customWidth="1"/>
    <col min="5127" max="5127" width="11.5703125" style="1963" bestFit="1" customWidth="1"/>
    <col min="5128" max="5128" width="1.85546875" style="1963" customWidth="1"/>
    <col min="5129" max="5129" width="12.28515625" style="1963" customWidth="1"/>
    <col min="5130" max="5130" width="2.28515625" style="1963" customWidth="1"/>
    <col min="5131" max="5131" width="13.140625" style="1963" bestFit="1" customWidth="1"/>
    <col min="5132" max="5132" width="1.85546875" style="1963" customWidth="1"/>
    <col min="5133" max="5133" width="12.28515625" style="1963" customWidth="1"/>
    <col min="5134" max="5134" width="1.85546875" style="1963" customWidth="1"/>
    <col min="5135" max="5135" width="10.5703125" style="1963" customWidth="1"/>
    <col min="5136" max="5136" width="4.42578125" style="1963" customWidth="1"/>
    <col min="5137" max="5137" width="13.28515625" style="1963" bestFit="1" customWidth="1"/>
    <col min="5138" max="5138" width="1" style="1963" customWidth="1"/>
    <col min="5139" max="5139" width="12.5703125" style="1963" customWidth="1"/>
    <col min="5140" max="5141" width="12.42578125" style="1963" customWidth="1"/>
    <col min="5142" max="5142" width="17.28515625" style="1963" customWidth="1"/>
    <col min="5143" max="5145" width="18.42578125" style="1963" customWidth="1"/>
    <col min="5146" max="5376" width="16.7109375" style="1963"/>
    <col min="5377" max="5377" width="6.5703125" style="1963" customWidth="1"/>
    <col min="5378" max="5378" width="41.85546875" style="1963" customWidth="1"/>
    <col min="5379" max="5379" width="9.85546875" style="1963" customWidth="1"/>
    <col min="5380" max="5380" width="1.85546875" style="1963" customWidth="1"/>
    <col min="5381" max="5381" width="11" style="1963" customWidth="1"/>
    <col min="5382" max="5382" width="5.28515625" style="1963" customWidth="1"/>
    <col min="5383" max="5383" width="11.5703125" style="1963" bestFit="1" customWidth="1"/>
    <col min="5384" max="5384" width="1.85546875" style="1963" customWidth="1"/>
    <col min="5385" max="5385" width="12.28515625" style="1963" customWidth="1"/>
    <col min="5386" max="5386" width="2.28515625" style="1963" customWidth="1"/>
    <col min="5387" max="5387" width="13.140625" style="1963" bestFit="1" customWidth="1"/>
    <col min="5388" max="5388" width="1.85546875" style="1963" customWidth="1"/>
    <col min="5389" max="5389" width="12.28515625" style="1963" customWidth="1"/>
    <col min="5390" max="5390" width="1.85546875" style="1963" customWidth="1"/>
    <col min="5391" max="5391" width="10.5703125" style="1963" customWidth="1"/>
    <col min="5392" max="5392" width="4.42578125" style="1963" customWidth="1"/>
    <col min="5393" max="5393" width="13.28515625" style="1963" bestFit="1" customWidth="1"/>
    <col min="5394" max="5394" width="1" style="1963" customWidth="1"/>
    <col min="5395" max="5395" width="12.5703125" style="1963" customWidth="1"/>
    <col min="5396" max="5397" width="12.42578125" style="1963" customWidth="1"/>
    <col min="5398" max="5398" width="17.28515625" style="1963" customWidth="1"/>
    <col min="5399" max="5401" width="18.42578125" style="1963" customWidth="1"/>
    <col min="5402" max="5632" width="16.7109375" style="1963"/>
    <col min="5633" max="5633" width="6.5703125" style="1963" customWidth="1"/>
    <col min="5634" max="5634" width="41.85546875" style="1963" customWidth="1"/>
    <col min="5635" max="5635" width="9.85546875" style="1963" customWidth="1"/>
    <col min="5636" max="5636" width="1.85546875" style="1963" customWidth="1"/>
    <col min="5637" max="5637" width="11" style="1963" customWidth="1"/>
    <col min="5638" max="5638" width="5.28515625" style="1963" customWidth="1"/>
    <col min="5639" max="5639" width="11.5703125" style="1963" bestFit="1" customWidth="1"/>
    <col min="5640" max="5640" width="1.85546875" style="1963" customWidth="1"/>
    <col min="5641" max="5641" width="12.28515625" style="1963" customWidth="1"/>
    <col min="5642" max="5642" width="2.28515625" style="1963" customWidth="1"/>
    <col min="5643" max="5643" width="13.140625" style="1963" bestFit="1" customWidth="1"/>
    <col min="5644" max="5644" width="1.85546875" style="1963" customWidth="1"/>
    <col min="5645" max="5645" width="12.28515625" style="1963" customWidth="1"/>
    <col min="5646" max="5646" width="1.85546875" style="1963" customWidth="1"/>
    <col min="5647" max="5647" width="10.5703125" style="1963" customWidth="1"/>
    <col min="5648" max="5648" width="4.42578125" style="1963" customWidth="1"/>
    <col min="5649" max="5649" width="13.28515625" style="1963" bestFit="1" customWidth="1"/>
    <col min="5650" max="5650" width="1" style="1963" customWidth="1"/>
    <col min="5651" max="5651" width="12.5703125" style="1963" customWidth="1"/>
    <col min="5652" max="5653" width="12.42578125" style="1963" customWidth="1"/>
    <col min="5654" max="5654" width="17.28515625" style="1963" customWidth="1"/>
    <col min="5655" max="5657" width="18.42578125" style="1963" customWidth="1"/>
    <col min="5658" max="5888" width="16.7109375" style="1963"/>
    <col min="5889" max="5889" width="6.5703125" style="1963" customWidth="1"/>
    <col min="5890" max="5890" width="41.85546875" style="1963" customWidth="1"/>
    <col min="5891" max="5891" width="9.85546875" style="1963" customWidth="1"/>
    <col min="5892" max="5892" width="1.85546875" style="1963" customWidth="1"/>
    <col min="5893" max="5893" width="11" style="1963" customWidth="1"/>
    <col min="5894" max="5894" width="5.28515625" style="1963" customWidth="1"/>
    <col min="5895" max="5895" width="11.5703125" style="1963" bestFit="1" customWidth="1"/>
    <col min="5896" max="5896" width="1.85546875" style="1963" customWidth="1"/>
    <col min="5897" max="5897" width="12.28515625" style="1963" customWidth="1"/>
    <col min="5898" max="5898" width="2.28515625" style="1963" customWidth="1"/>
    <col min="5899" max="5899" width="13.140625" style="1963" bestFit="1" customWidth="1"/>
    <col min="5900" max="5900" width="1.85546875" style="1963" customWidth="1"/>
    <col min="5901" max="5901" width="12.28515625" style="1963" customWidth="1"/>
    <col min="5902" max="5902" width="1.85546875" style="1963" customWidth="1"/>
    <col min="5903" max="5903" width="10.5703125" style="1963" customWidth="1"/>
    <col min="5904" max="5904" width="4.42578125" style="1963" customWidth="1"/>
    <col min="5905" max="5905" width="13.28515625" style="1963" bestFit="1" customWidth="1"/>
    <col min="5906" max="5906" width="1" style="1963" customWidth="1"/>
    <col min="5907" max="5907" width="12.5703125" style="1963" customWidth="1"/>
    <col min="5908" max="5909" width="12.42578125" style="1963" customWidth="1"/>
    <col min="5910" max="5910" width="17.28515625" style="1963" customWidth="1"/>
    <col min="5911" max="5913" width="18.42578125" style="1963" customWidth="1"/>
    <col min="5914" max="6144" width="16.7109375" style="1963"/>
    <col min="6145" max="6145" width="6.5703125" style="1963" customWidth="1"/>
    <col min="6146" max="6146" width="41.85546875" style="1963" customWidth="1"/>
    <col min="6147" max="6147" width="9.85546875" style="1963" customWidth="1"/>
    <col min="6148" max="6148" width="1.85546875" style="1963" customWidth="1"/>
    <col min="6149" max="6149" width="11" style="1963" customWidth="1"/>
    <col min="6150" max="6150" width="5.28515625" style="1963" customWidth="1"/>
    <col min="6151" max="6151" width="11.5703125" style="1963" bestFit="1" customWidth="1"/>
    <col min="6152" max="6152" width="1.85546875" style="1963" customWidth="1"/>
    <col min="6153" max="6153" width="12.28515625" style="1963" customWidth="1"/>
    <col min="6154" max="6154" width="2.28515625" style="1963" customWidth="1"/>
    <col min="6155" max="6155" width="13.140625" style="1963" bestFit="1" customWidth="1"/>
    <col min="6156" max="6156" width="1.85546875" style="1963" customWidth="1"/>
    <col min="6157" max="6157" width="12.28515625" style="1963" customWidth="1"/>
    <col min="6158" max="6158" width="1.85546875" style="1963" customWidth="1"/>
    <col min="6159" max="6159" width="10.5703125" style="1963" customWidth="1"/>
    <col min="6160" max="6160" width="4.42578125" style="1963" customWidth="1"/>
    <col min="6161" max="6161" width="13.28515625" style="1963" bestFit="1" customWidth="1"/>
    <col min="6162" max="6162" width="1" style="1963" customWidth="1"/>
    <col min="6163" max="6163" width="12.5703125" style="1963" customWidth="1"/>
    <col min="6164" max="6165" width="12.42578125" style="1963" customWidth="1"/>
    <col min="6166" max="6166" width="17.28515625" style="1963" customWidth="1"/>
    <col min="6167" max="6169" width="18.42578125" style="1963" customWidth="1"/>
    <col min="6170" max="6400" width="16.7109375" style="1963"/>
    <col min="6401" max="6401" width="6.5703125" style="1963" customWidth="1"/>
    <col min="6402" max="6402" width="41.85546875" style="1963" customWidth="1"/>
    <col min="6403" max="6403" width="9.85546875" style="1963" customWidth="1"/>
    <col min="6404" max="6404" width="1.85546875" style="1963" customWidth="1"/>
    <col min="6405" max="6405" width="11" style="1963" customWidth="1"/>
    <col min="6406" max="6406" width="5.28515625" style="1963" customWidth="1"/>
    <col min="6407" max="6407" width="11.5703125" style="1963" bestFit="1" customWidth="1"/>
    <col min="6408" max="6408" width="1.85546875" style="1963" customWidth="1"/>
    <col min="6409" max="6409" width="12.28515625" style="1963" customWidth="1"/>
    <col min="6410" max="6410" width="2.28515625" style="1963" customWidth="1"/>
    <col min="6411" max="6411" width="13.140625" style="1963" bestFit="1" customWidth="1"/>
    <col min="6412" max="6412" width="1.85546875" style="1963" customWidth="1"/>
    <col min="6413" max="6413" width="12.28515625" style="1963" customWidth="1"/>
    <col min="6414" max="6414" width="1.85546875" style="1963" customWidth="1"/>
    <col min="6415" max="6415" width="10.5703125" style="1963" customWidth="1"/>
    <col min="6416" max="6416" width="4.42578125" style="1963" customWidth="1"/>
    <col min="6417" max="6417" width="13.28515625" style="1963" bestFit="1" customWidth="1"/>
    <col min="6418" max="6418" width="1" style="1963" customWidth="1"/>
    <col min="6419" max="6419" width="12.5703125" style="1963" customWidth="1"/>
    <col min="6420" max="6421" width="12.42578125" style="1963" customWidth="1"/>
    <col min="6422" max="6422" width="17.28515625" style="1963" customWidth="1"/>
    <col min="6423" max="6425" width="18.42578125" style="1963" customWidth="1"/>
    <col min="6426" max="6656" width="16.7109375" style="1963"/>
    <col min="6657" max="6657" width="6.5703125" style="1963" customWidth="1"/>
    <col min="6658" max="6658" width="41.85546875" style="1963" customWidth="1"/>
    <col min="6659" max="6659" width="9.85546875" style="1963" customWidth="1"/>
    <col min="6660" max="6660" width="1.85546875" style="1963" customWidth="1"/>
    <col min="6661" max="6661" width="11" style="1963" customWidth="1"/>
    <col min="6662" max="6662" width="5.28515625" style="1963" customWidth="1"/>
    <col min="6663" max="6663" width="11.5703125" style="1963" bestFit="1" customWidth="1"/>
    <col min="6664" max="6664" width="1.85546875" style="1963" customWidth="1"/>
    <col min="6665" max="6665" width="12.28515625" style="1963" customWidth="1"/>
    <col min="6666" max="6666" width="2.28515625" style="1963" customWidth="1"/>
    <col min="6667" max="6667" width="13.140625" style="1963" bestFit="1" customWidth="1"/>
    <col min="6668" max="6668" width="1.85546875" style="1963" customWidth="1"/>
    <col min="6669" max="6669" width="12.28515625" style="1963" customWidth="1"/>
    <col min="6670" max="6670" width="1.85546875" style="1963" customWidth="1"/>
    <col min="6671" max="6671" width="10.5703125" style="1963" customWidth="1"/>
    <col min="6672" max="6672" width="4.42578125" style="1963" customWidth="1"/>
    <col min="6673" max="6673" width="13.28515625" style="1963" bestFit="1" customWidth="1"/>
    <col min="6674" max="6674" width="1" style="1963" customWidth="1"/>
    <col min="6675" max="6675" width="12.5703125" style="1963" customWidth="1"/>
    <col min="6676" max="6677" width="12.42578125" style="1963" customWidth="1"/>
    <col min="6678" max="6678" width="17.28515625" style="1963" customWidth="1"/>
    <col min="6679" max="6681" width="18.42578125" style="1963" customWidth="1"/>
    <col min="6682" max="6912" width="16.7109375" style="1963"/>
    <col min="6913" max="6913" width="6.5703125" style="1963" customWidth="1"/>
    <col min="6914" max="6914" width="41.85546875" style="1963" customWidth="1"/>
    <col min="6915" max="6915" width="9.85546875" style="1963" customWidth="1"/>
    <col min="6916" max="6916" width="1.85546875" style="1963" customWidth="1"/>
    <col min="6917" max="6917" width="11" style="1963" customWidth="1"/>
    <col min="6918" max="6918" width="5.28515625" style="1963" customWidth="1"/>
    <col min="6919" max="6919" width="11.5703125" style="1963" bestFit="1" customWidth="1"/>
    <col min="6920" max="6920" width="1.85546875" style="1963" customWidth="1"/>
    <col min="6921" max="6921" width="12.28515625" style="1963" customWidth="1"/>
    <col min="6922" max="6922" width="2.28515625" style="1963" customWidth="1"/>
    <col min="6923" max="6923" width="13.140625" style="1963" bestFit="1" customWidth="1"/>
    <col min="6924" max="6924" width="1.85546875" style="1963" customWidth="1"/>
    <col min="6925" max="6925" width="12.28515625" style="1963" customWidth="1"/>
    <col min="6926" max="6926" width="1.85546875" style="1963" customWidth="1"/>
    <col min="6927" max="6927" width="10.5703125" style="1963" customWidth="1"/>
    <col min="6928" max="6928" width="4.42578125" style="1963" customWidth="1"/>
    <col min="6929" max="6929" width="13.28515625" style="1963" bestFit="1" customWidth="1"/>
    <col min="6930" max="6930" width="1" style="1963" customWidth="1"/>
    <col min="6931" max="6931" width="12.5703125" style="1963" customWidth="1"/>
    <col min="6932" max="6933" width="12.42578125" style="1963" customWidth="1"/>
    <col min="6934" max="6934" width="17.28515625" style="1963" customWidth="1"/>
    <col min="6935" max="6937" width="18.42578125" style="1963" customWidth="1"/>
    <col min="6938" max="7168" width="16.7109375" style="1963"/>
    <col min="7169" max="7169" width="6.5703125" style="1963" customWidth="1"/>
    <col min="7170" max="7170" width="41.85546875" style="1963" customWidth="1"/>
    <col min="7171" max="7171" width="9.85546875" style="1963" customWidth="1"/>
    <col min="7172" max="7172" width="1.85546875" style="1963" customWidth="1"/>
    <col min="7173" max="7173" width="11" style="1963" customWidth="1"/>
    <col min="7174" max="7174" width="5.28515625" style="1963" customWidth="1"/>
    <col min="7175" max="7175" width="11.5703125" style="1963" bestFit="1" customWidth="1"/>
    <col min="7176" max="7176" width="1.85546875" style="1963" customWidth="1"/>
    <col min="7177" max="7177" width="12.28515625" style="1963" customWidth="1"/>
    <col min="7178" max="7178" width="2.28515625" style="1963" customWidth="1"/>
    <col min="7179" max="7179" width="13.140625" style="1963" bestFit="1" customWidth="1"/>
    <col min="7180" max="7180" width="1.85546875" style="1963" customWidth="1"/>
    <col min="7181" max="7181" width="12.28515625" style="1963" customWidth="1"/>
    <col min="7182" max="7182" width="1.85546875" style="1963" customWidth="1"/>
    <col min="7183" max="7183" width="10.5703125" style="1963" customWidth="1"/>
    <col min="7184" max="7184" width="4.42578125" style="1963" customWidth="1"/>
    <col min="7185" max="7185" width="13.28515625" style="1963" bestFit="1" customWidth="1"/>
    <col min="7186" max="7186" width="1" style="1963" customWidth="1"/>
    <col min="7187" max="7187" width="12.5703125" style="1963" customWidth="1"/>
    <col min="7188" max="7189" width="12.42578125" style="1963" customWidth="1"/>
    <col min="7190" max="7190" width="17.28515625" style="1963" customWidth="1"/>
    <col min="7191" max="7193" width="18.42578125" style="1963" customWidth="1"/>
    <col min="7194" max="7424" width="16.7109375" style="1963"/>
    <col min="7425" max="7425" width="6.5703125" style="1963" customWidth="1"/>
    <col min="7426" max="7426" width="41.85546875" style="1963" customWidth="1"/>
    <col min="7427" max="7427" width="9.85546875" style="1963" customWidth="1"/>
    <col min="7428" max="7428" width="1.85546875" style="1963" customWidth="1"/>
    <col min="7429" max="7429" width="11" style="1963" customWidth="1"/>
    <col min="7430" max="7430" width="5.28515625" style="1963" customWidth="1"/>
    <col min="7431" max="7431" width="11.5703125" style="1963" bestFit="1" customWidth="1"/>
    <col min="7432" max="7432" width="1.85546875" style="1963" customWidth="1"/>
    <col min="7433" max="7433" width="12.28515625" style="1963" customWidth="1"/>
    <col min="7434" max="7434" width="2.28515625" style="1963" customWidth="1"/>
    <col min="7435" max="7435" width="13.140625" style="1963" bestFit="1" customWidth="1"/>
    <col min="7436" max="7436" width="1.85546875" style="1963" customWidth="1"/>
    <col min="7437" max="7437" width="12.28515625" style="1963" customWidth="1"/>
    <col min="7438" max="7438" width="1.85546875" style="1963" customWidth="1"/>
    <col min="7439" max="7439" width="10.5703125" style="1963" customWidth="1"/>
    <col min="7440" max="7440" width="4.42578125" style="1963" customWidth="1"/>
    <col min="7441" max="7441" width="13.28515625" style="1963" bestFit="1" customWidth="1"/>
    <col min="7442" max="7442" width="1" style="1963" customWidth="1"/>
    <col min="7443" max="7443" width="12.5703125" style="1963" customWidth="1"/>
    <col min="7444" max="7445" width="12.42578125" style="1963" customWidth="1"/>
    <col min="7446" max="7446" width="17.28515625" style="1963" customWidth="1"/>
    <col min="7447" max="7449" width="18.42578125" style="1963" customWidth="1"/>
    <col min="7450" max="7680" width="16.7109375" style="1963"/>
    <col min="7681" max="7681" width="6.5703125" style="1963" customWidth="1"/>
    <col min="7682" max="7682" width="41.85546875" style="1963" customWidth="1"/>
    <col min="7683" max="7683" width="9.85546875" style="1963" customWidth="1"/>
    <col min="7684" max="7684" width="1.85546875" style="1963" customWidth="1"/>
    <col min="7685" max="7685" width="11" style="1963" customWidth="1"/>
    <col min="7686" max="7686" width="5.28515625" style="1963" customWidth="1"/>
    <col min="7687" max="7687" width="11.5703125" style="1963" bestFit="1" customWidth="1"/>
    <col min="7688" max="7688" width="1.85546875" style="1963" customWidth="1"/>
    <col min="7689" max="7689" width="12.28515625" style="1963" customWidth="1"/>
    <col min="7690" max="7690" width="2.28515625" style="1963" customWidth="1"/>
    <col min="7691" max="7691" width="13.140625" style="1963" bestFit="1" customWidth="1"/>
    <col min="7692" max="7692" width="1.85546875" style="1963" customWidth="1"/>
    <col min="7693" max="7693" width="12.28515625" style="1963" customWidth="1"/>
    <col min="7694" max="7694" width="1.85546875" style="1963" customWidth="1"/>
    <col min="7695" max="7695" width="10.5703125" style="1963" customWidth="1"/>
    <col min="7696" max="7696" width="4.42578125" style="1963" customWidth="1"/>
    <col min="7697" max="7697" width="13.28515625" style="1963" bestFit="1" customWidth="1"/>
    <col min="7698" max="7698" width="1" style="1963" customWidth="1"/>
    <col min="7699" max="7699" width="12.5703125" style="1963" customWidth="1"/>
    <col min="7700" max="7701" width="12.42578125" style="1963" customWidth="1"/>
    <col min="7702" max="7702" width="17.28515625" style="1963" customWidth="1"/>
    <col min="7703" max="7705" width="18.42578125" style="1963" customWidth="1"/>
    <col min="7706" max="7936" width="16.7109375" style="1963"/>
    <col min="7937" max="7937" width="6.5703125" style="1963" customWidth="1"/>
    <col min="7938" max="7938" width="41.85546875" style="1963" customWidth="1"/>
    <col min="7939" max="7939" width="9.85546875" style="1963" customWidth="1"/>
    <col min="7940" max="7940" width="1.85546875" style="1963" customWidth="1"/>
    <col min="7941" max="7941" width="11" style="1963" customWidth="1"/>
    <col min="7942" max="7942" width="5.28515625" style="1963" customWidth="1"/>
    <col min="7943" max="7943" width="11.5703125" style="1963" bestFit="1" customWidth="1"/>
    <col min="7944" max="7944" width="1.85546875" style="1963" customWidth="1"/>
    <col min="7945" max="7945" width="12.28515625" style="1963" customWidth="1"/>
    <col min="7946" max="7946" width="2.28515625" style="1963" customWidth="1"/>
    <col min="7947" max="7947" width="13.140625" style="1963" bestFit="1" customWidth="1"/>
    <col min="7948" max="7948" width="1.85546875" style="1963" customWidth="1"/>
    <col min="7949" max="7949" width="12.28515625" style="1963" customWidth="1"/>
    <col min="7950" max="7950" width="1.85546875" style="1963" customWidth="1"/>
    <col min="7951" max="7951" width="10.5703125" style="1963" customWidth="1"/>
    <col min="7952" max="7952" width="4.42578125" style="1963" customWidth="1"/>
    <col min="7953" max="7953" width="13.28515625" style="1963" bestFit="1" customWidth="1"/>
    <col min="7954" max="7954" width="1" style="1963" customWidth="1"/>
    <col min="7955" max="7955" width="12.5703125" style="1963" customWidth="1"/>
    <col min="7956" max="7957" width="12.42578125" style="1963" customWidth="1"/>
    <col min="7958" max="7958" width="17.28515625" style="1963" customWidth="1"/>
    <col min="7959" max="7961" width="18.42578125" style="1963" customWidth="1"/>
    <col min="7962" max="8192" width="16.7109375" style="1963"/>
    <col min="8193" max="8193" width="6.5703125" style="1963" customWidth="1"/>
    <col min="8194" max="8194" width="41.85546875" style="1963" customWidth="1"/>
    <col min="8195" max="8195" width="9.85546875" style="1963" customWidth="1"/>
    <col min="8196" max="8196" width="1.85546875" style="1963" customWidth="1"/>
    <col min="8197" max="8197" width="11" style="1963" customWidth="1"/>
    <col min="8198" max="8198" width="5.28515625" style="1963" customWidth="1"/>
    <col min="8199" max="8199" width="11.5703125" style="1963" bestFit="1" customWidth="1"/>
    <col min="8200" max="8200" width="1.85546875" style="1963" customWidth="1"/>
    <col min="8201" max="8201" width="12.28515625" style="1963" customWidth="1"/>
    <col min="8202" max="8202" width="2.28515625" style="1963" customWidth="1"/>
    <col min="8203" max="8203" width="13.140625" style="1963" bestFit="1" customWidth="1"/>
    <col min="8204" max="8204" width="1.85546875" style="1963" customWidth="1"/>
    <col min="8205" max="8205" width="12.28515625" style="1963" customWidth="1"/>
    <col min="8206" max="8206" width="1.85546875" style="1963" customWidth="1"/>
    <col min="8207" max="8207" width="10.5703125" style="1963" customWidth="1"/>
    <col min="8208" max="8208" width="4.42578125" style="1963" customWidth="1"/>
    <col min="8209" max="8209" width="13.28515625" style="1963" bestFit="1" customWidth="1"/>
    <col min="8210" max="8210" width="1" style="1963" customWidth="1"/>
    <col min="8211" max="8211" width="12.5703125" style="1963" customWidth="1"/>
    <col min="8212" max="8213" width="12.42578125" style="1963" customWidth="1"/>
    <col min="8214" max="8214" width="17.28515625" style="1963" customWidth="1"/>
    <col min="8215" max="8217" width="18.42578125" style="1963" customWidth="1"/>
    <col min="8218" max="8448" width="16.7109375" style="1963"/>
    <col min="8449" max="8449" width="6.5703125" style="1963" customWidth="1"/>
    <col min="8450" max="8450" width="41.85546875" style="1963" customWidth="1"/>
    <col min="8451" max="8451" width="9.85546875" style="1963" customWidth="1"/>
    <col min="8452" max="8452" width="1.85546875" style="1963" customWidth="1"/>
    <col min="8453" max="8453" width="11" style="1963" customWidth="1"/>
    <col min="8454" max="8454" width="5.28515625" style="1963" customWidth="1"/>
    <col min="8455" max="8455" width="11.5703125" style="1963" bestFit="1" customWidth="1"/>
    <col min="8456" max="8456" width="1.85546875" style="1963" customWidth="1"/>
    <col min="8457" max="8457" width="12.28515625" style="1963" customWidth="1"/>
    <col min="8458" max="8458" width="2.28515625" style="1963" customWidth="1"/>
    <col min="8459" max="8459" width="13.140625" style="1963" bestFit="1" customWidth="1"/>
    <col min="8460" max="8460" width="1.85546875" style="1963" customWidth="1"/>
    <col min="8461" max="8461" width="12.28515625" style="1963" customWidth="1"/>
    <col min="8462" max="8462" width="1.85546875" style="1963" customWidth="1"/>
    <col min="8463" max="8463" width="10.5703125" style="1963" customWidth="1"/>
    <col min="8464" max="8464" width="4.42578125" style="1963" customWidth="1"/>
    <col min="8465" max="8465" width="13.28515625" style="1963" bestFit="1" customWidth="1"/>
    <col min="8466" max="8466" width="1" style="1963" customWidth="1"/>
    <col min="8467" max="8467" width="12.5703125" style="1963" customWidth="1"/>
    <col min="8468" max="8469" width="12.42578125" style="1963" customWidth="1"/>
    <col min="8470" max="8470" width="17.28515625" style="1963" customWidth="1"/>
    <col min="8471" max="8473" width="18.42578125" style="1963" customWidth="1"/>
    <col min="8474" max="8704" width="16.7109375" style="1963"/>
    <col min="8705" max="8705" width="6.5703125" style="1963" customWidth="1"/>
    <col min="8706" max="8706" width="41.85546875" style="1963" customWidth="1"/>
    <col min="8707" max="8707" width="9.85546875" style="1963" customWidth="1"/>
    <col min="8708" max="8708" width="1.85546875" style="1963" customWidth="1"/>
    <col min="8709" max="8709" width="11" style="1963" customWidth="1"/>
    <col min="8710" max="8710" width="5.28515625" style="1963" customWidth="1"/>
    <col min="8711" max="8711" width="11.5703125" style="1963" bestFit="1" customWidth="1"/>
    <col min="8712" max="8712" width="1.85546875" style="1963" customWidth="1"/>
    <col min="8713" max="8713" width="12.28515625" style="1963" customWidth="1"/>
    <col min="8714" max="8714" width="2.28515625" style="1963" customWidth="1"/>
    <col min="8715" max="8715" width="13.140625" style="1963" bestFit="1" customWidth="1"/>
    <col min="8716" max="8716" width="1.85546875" style="1963" customWidth="1"/>
    <col min="8717" max="8717" width="12.28515625" style="1963" customWidth="1"/>
    <col min="8718" max="8718" width="1.85546875" style="1963" customWidth="1"/>
    <col min="8719" max="8719" width="10.5703125" style="1963" customWidth="1"/>
    <col min="8720" max="8720" width="4.42578125" style="1963" customWidth="1"/>
    <col min="8721" max="8721" width="13.28515625" style="1963" bestFit="1" customWidth="1"/>
    <col min="8722" max="8722" width="1" style="1963" customWidth="1"/>
    <col min="8723" max="8723" width="12.5703125" style="1963" customWidth="1"/>
    <col min="8724" max="8725" width="12.42578125" style="1963" customWidth="1"/>
    <col min="8726" max="8726" width="17.28515625" style="1963" customWidth="1"/>
    <col min="8727" max="8729" width="18.42578125" style="1963" customWidth="1"/>
    <col min="8730" max="8960" width="16.7109375" style="1963"/>
    <col min="8961" max="8961" width="6.5703125" style="1963" customWidth="1"/>
    <col min="8962" max="8962" width="41.85546875" style="1963" customWidth="1"/>
    <col min="8963" max="8963" width="9.85546875" style="1963" customWidth="1"/>
    <col min="8964" max="8964" width="1.85546875" style="1963" customWidth="1"/>
    <col min="8965" max="8965" width="11" style="1963" customWidth="1"/>
    <col min="8966" max="8966" width="5.28515625" style="1963" customWidth="1"/>
    <col min="8967" max="8967" width="11.5703125" style="1963" bestFit="1" customWidth="1"/>
    <col min="8968" max="8968" width="1.85546875" style="1963" customWidth="1"/>
    <col min="8969" max="8969" width="12.28515625" style="1963" customWidth="1"/>
    <col min="8970" max="8970" width="2.28515625" style="1963" customWidth="1"/>
    <col min="8971" max="8971" width="13.140625" style="1963" bestFit="1" customWidth="1"/>
    <col min="8972" max="8972" width="1.85546875" style="1963" customWidth="1"/>
    <col min="8973" max="8973" width="12.28515625" style="1963" customWidth="1"/>
    <col min="8974" max="8974" width="1.85546875" style="1963" customWidth="1"/>
    <col min="8975" max="8975" width="10.5703125" style="1963" customWidth="1"/>
    <col min="8976" max="8976" width="4.42578125" style="1963" customWidth="1"/>
    <col min="8977" max="8977" width="13.28515625" style="1963" bestFit="1" customWidth="1"/>
    <col min="8978" max="8978" width="1" style="1963" customWidth="1"/>
    <col min="8979" max="8979" width="12.5703125" style="1963" customWidth="1"/>
    <col min="8980" max="8981" width="12.42578125" style="1963" customWidth="1"/>
    <col min="8982" max="8982" width="17.28515625" style="1963" customWidth="1"/>
    <col min="8983" max="8985" width="18.42578125" style="1963" customWidth="1"/>
    <col min="8986" max="9216" width="16.7109375" style="1963"/>
    <col min="9217" max="9217" width="6.5703125" style="1963" customWidth="1"/>
    <col min="9218" max="9218" width="41.85546875" style="1963" customWidth="1"/>
    <col min="9219" max="9219" width="9.85546875" style="1963" customWidth="1"/>
    <col min="9220" max="9220" width="1.85546875" style="1963" customWidth="1"/>
    <col min="9221" max="9221" width="11" style="1963" customWidth="1"/>
    <col min="9222" max="9222" width="5.28515625" style="1963" customWidth="1"/>
    <col min="9223" max="9223" width="11.5703125" style="1963" bestFit="1" customWidth="1"/>
    <col min="9224" max="9224" width="1.85546875" style="1963" customWidth="1"/>
    <col min="9225" max="9225" width="12.28515625" style="1963" customWidth="1"/>
    <col min="9226" max="9226" width="2.28515625" style="1963" customWidth="1"/>
    <col min="9227" max="9227" width="13.140625" style="1963" bestFit="1" customWidth="1"/>
    <col min="9228" max="9228" width="1.85546875" style="1963" customWidth="1"/>
    <col min="9229" max="9229" width="12.28515625" style="1963" customWidth="1"/>
    <col min="9230" max="9230" width="1.85546875" style="1963" customWidth="1"/>
    <col min="9231" max="9231" width="10.5703125" style="1963" customWidth="1"/>
    <col min="9232" max="9232" width="4.42578125" style="1963" customWidth="1"/>
    <col min="9233" max="9233" width="13.28515625" style="1963" bestFit="1" customWidth="1"/>
    <col min="9234" max="9234" width="1" style="1963" customWidth="1"/>
    <col min="9235" max="9235" width="12.5703125" style="1963" customWidth="1"/>
    <col min="9236" max="9237" width="12.42578125" style="1963" customWidth="1"/>
    <col min="9238" max="9238" width="17.28515625" style="1963" customWidth="1"/>
    <col min="9239" max="9241" width="18.42578125" style="1963" customWidth="1"/>
    <col min="9242" max="9472" width="16.7109375" style="1963"/>
    <col min="9473" max="9473" width="6.5703125" style="1963" customWidth="1"/>
    <col min="9474" max="9474" width="41.85546875" style="1963" customWidth="1"/>
    <col min="9475" max="9475" width="9.85546875" style="1963" customWidth="1"/>
    <col min="9476" max="9476" width="1.85546875" style="1963" customWidth="1"/>
    <col min="9477" max="9477" width="11" style="1963" customWidth="1"/>
    <col min="9478" max="9478" width="5.28515625" style="1963" customWidth="1"/>
    <col min="9479" max="9479" width="11.5703125" style="1963" bestFit="1" customWidth="1"/>
    <col min="9480" max="9480" width="1.85546875" style="1963" customWidth="1"/>
    <col min="9481" max="9481" width="12.28515625" style="1963" customWidth="1"/>
    <col min="9482" max="9482" width="2.28515625" style="1963" customWidth="1"/>
    <col min="9483" max="9483" width="13.140625" style="1963" bestFit="1" customWidth="1"/>
    <col min="9484" max="9484" width="1.85546875" style="1963" customWidth="1"/>
    <col min="9485" max="9485" width="12.28515625" style="1963" customWidth="1"/>
    <col min="9486" max="9486" width="1.85546875" style="1963" customWidth="1"/>
    <col min="9487" max="9487" width="10.5703125" style="1963" customWidth="1"/>
    <col min="9488" max="9488" width="4.42578125" style="1963" customWidth="1"/>
    <col min="9489" max="9489" width="13.28515625" style="1963" bestFit="1" customWidth="1"/>
    <col min="9490" max="9490" width="1" style="1963" customWidth="1"/>
    <col min="9491" max="9491" width="12.5703125" style="1963" customWidth="1"/>
    <col min="9492" max="9493" width="12.42578125" style="1963" customWidth="1"/>
    <col min="9494" max="9494" width="17.28515625" style="1963" customWidth="1"/>
    <col min="9495" max="9497" width="18.42578125" style="1963" customWidth="1"/>
    <col min="9498" max="9728" width="16.7109375" style="1963"/>
    <col min="9729" max="9729" width="6.5703125" style="1963" customWidth="1"/>
    <col min="9730" max="9730" width="41.85546875" style="1963" customWidth="1"/>
    <col min="9731" max="9731" width="9.85546875" style="1963" customWidth="1"/>
    <col min="9732" max="9732" width="1.85546875" style="1963" customWidth="1"/>
    <col min="9733" max="9733" width="11" style="1963" customWidth="1"/>
    <col min="9734" max="9734" width="5.28515625" style="1963" customWidth="1"/>
    <col min="9735" max="9735" width="11.5703125" style="1963" bestFit="1" customWidth="1"/>
    <col min="9736" max="9736" width="1.85546875" style="1963" customWidth="1"/>
    <col min="9737" max="9737" width="12.28515625" style="1963" customWidth="1"/>
    <col min="9738" max="9738" width="2.28515625" style="1963" customWidth="1"/>
    <col min="9739" max="9739" width="13.140625" style="1963" bestFit="1" customWidth="1"/>
    <col min="9740" max="9740" width="1.85546875" style="1963" customWidth="1"/>
    <col min="9741" max="9741" width="12.28515625" style="1963" customWidth="1"/>
    <col min="9742" max="9742" width="1.85546875" style="1963" customWidth="1"/>
    <col min="9743" max="9743" width="10.5703125" style="1963" customWidth="1"/>
    <col min="9744" max="9744" width="4.42578125" style="1963" customWidth="1"/>
    <col min="9745" max="9745" width="13.28515625" style="1963" bestFit="1" customWidth="1"/>
    <col min="9746" max="9746" width="1" style="1963" customWidth="1"/>
    <col min="9747" max="9747" width="12.5703125" style="1963" customWidth="1"/>
    <col min="9748" max="9749" width="12.42578125" style="1963" customWidth="1"/>
    <col min="9750" max="9750" width="17.28515625" style="1963" customWidth="1"/>
    <col min="9751" max="9753" width="18.42578125" style="1963" customWidth="1"/>
    <col min="9754" max="9984" width="16.7109375" style="1963"/>
    <col min="9985" max="9985" width="6.5703125" style="1963" customWidth="1"/>
    <col min="9986" max="9986" width="41.85546875" style="1963" customWidth="1"/>
    <col min="9987" max="9987" width="9.85546875" style="1963" customWidth="1"/>
    <col min="9988" max="9988" width="1.85546875" style="1963" customWidth="1"/>
    <col min="9989" max="9989" width="11" style="1963" customWidth="1"/>
    <col min="9990" max="9990" width="5.28515625" style="1963" customWidth="1"/>
    <col min="9991" max="9991" width="11.5703125" style="1963" bestFit="1" customWidth="1"/>
    <col min="9992" max="9992" width="1.85546875" style="1963" customWidth="1"/>
    <col min="9993" max="9993" width="12.28515625" style="1963" customWidth="1"/>
    <col min="9994" max="9994" width="2.28515625" style="1963" customWidth="1"/>
    <col min="9995" max="9995" width="13.140625" style="1963" bestFit="1" customWidth="1"/>
    <col min="9996" max="9996" width="1.85546875" style="1963" customWidth="1"/>
    <col min="9997" max="9997" width="12.28515625" style="1963" customWidth="1"/>
    <col min="9998" max="9998" width="1.85546875" style="1963" customWidth="1"/>
    <col min="9999" max="9999" width="10.5703125" style="1963" customWidth="1"/>
    <col min="10000" max="10000" width="4.42578125" style="1963" customWidth="1"/>
    <col min="10001" max="10001" width="13.28515625" style="1963" bestFit="1" customWidth="1"/>
    <col min="10002" max="10002" width="1" style="1963" customWidth="1"/>
    <col min="10003" max="10003" width="12.5703125" style="1963" customWidth="1"/>
    <col min="10004" max="10005" width="12.42578125" style="1963" customWidth="1"/>
    <col min="10006" max="10006" width="17.28515625" style="1963" customWidth="1"/>
    <col min="10007" max="10009" width="18.42578125" style="1963" customWidth="1"/>
    <col min="10010" max="10240" width="16.7109375" style="1963"/>
    <col min="10241" max="10241" width="6.5703125" style="1963" customWidth="1"/>
    <col min="10242" max="10242" width="41.85546875" style="1963" customWidth="1"/>
    <col min="10243" max="10243" width="9.85546875" style="1963" customWidth="1"/>
    <col min="10244" max="10244" width="1.85546875" style="1963" customWidth="1"/>
    <col min="10245" max="10245" width="11" style="1963" customWidth="1"/>
    <col min="10246" max="10246" width="5.28515625" style="1963" customWidth="1"/>
    <col min="10247" max="10247" width="11.5703125" style="1963" bestFit="1" customWidth="1"/>
    <col min="10248" max="10248" width="1.85546875" style="1963" customWidth="1"/>
    <col min="10249" max="10249" width="12.28515625" style="1963" customWidth="1"/>
    <col min="10250" max="10250" width="2.28515625" style="1963" customWidth="1"/>
    <col min="10251" max="10251" width="13.140625" style="1963" bestFit="1" customWidth="1"/>
    <col min="10252" max="10252" width="1.85546875" style="1963" customWidth="1"/>
    <col min="10253" max="10253" width="12.28515625" style="1963" customWidth="1"/>
    <col min="10254" max="10254" width="1.85546875" style="1963" customWidth="1"/>
    <col min="10255" max="10255" width="10.5703125" style="1963" customWidth="1"/>
    <col min="10256" max="10256" width="4.42578125" style="1963" customWidth="1"/>
    <col min="10257" max="10257" width="13.28515625" style="1963" bestFit="1" customWidth="1"/>
    <col min="10258" max="10258" width="1" style="1963" customWidth="1"/>
    <col min="10259" max="10259" width="12.5703125" style="1963" customWidth="1"/>
    <col min="10260" max="10261" width="12.42578125" style="1963" customWidth="1"/>
    <col min="10262" max="10262" width="17.28515625" style="1963" customWidth="1"/>
    <col min="10263" max="10265" width="18.42578125" style="1963" customWidth="1"/>
    <col min="10266" max="10496" width="16.7109375" style="1963"/>
    <col min="10497" max="10497" width="6.5703125" style="1963" customWidth="1"/>
    <col min="10498" max="10498" width="41.85546875" style="1963" customWidth="1"/>
    <col min="10499" max="10499" width="9.85546875" style="1963" customWidth="1"/>
    <col min="10500" max="10500" width="1.85546875" style="1963" customWidth="1"/>
    <col min="10501" max="10501" width="11" style="1963" customWidth="1"/>
    <col min="10502" max="10502" width="5.28515625" style="1963" customWidth="1"/>
    <col min="10503" max="10503" width="11.5703125" style="1963" bestFit="1" customWidth="1"/>
    <col min="10504" max="10504" width="1.85546875" style="1963" customWidth="1"/>
    <col min="10505" max="10505" width="12.28515625" style="1963" customWidth="1"/>
    <col min="10506" max="10506" width="2.28515625" style="1963" customWidth="1"/>
    <col min="10507" max="10507" width="13.140625" style="1963" bestFit="1" customWidth="1"/>
    <col min="10508" max="10508" width="1.85546875" style="1963" customWidth="1"/>
    <col min="10509" max="10509" width="12.28515625" style="1963" customWidth="1"/>
    <col min="10510" max="10510" width="1.85546875" style="1963" customWidth="1"/>
    <col min="10511" max="10511" width="10.5703125" style="1963" customWidth="1"/>
    <col min="10512" max="10512" width="4.42578125" style="1963" customWidth="1"/>
    <col min="10513" max="10513" width="13.28515625" style="1963" bestFit="1" customWidth="1"/>
    <col min="10514" max="10514" width="1" style="1963" customWidth="1"/>
    <col min="10515" max="10515" width="12.5703125" style="1963" customWidth="1"/>
    <col min="10516" max="10517" width="12.42578125" style="1963" customWidth="1"/>
    <col min="10518" max="10518" width="17.28515625" style="1963" customWidth="1"/>
    <col min="10519" max="10521" width="18.42578125" style="1963" customWidth="1"/>
    <col min="10522" max="10752" width="16.7109375" style="1963"/>
    <col min="10753" max="10753" width="6.5703125" style="1963" customWidth="1"/>
    <col min="10754" max="10754" width="41.85546875" style="1963" customWidth="1"/>
    <col min="10755" max="10755" width="9.85546875" style="1963" customWidth="1"/>
    <col min="10756" max="10756" width="1.85546875" style="1963" customWidth="1"/>
    <col min="10757" max="10757" width="11" style="1963" customWidth="1"/>
    <col min="10758" max="10758" width="5.28515625" style="1963" customWidth="1"/>
    <col min="10759" max="10759" width="11.5703125" style="1963" bestFit="1" customWidth="1"/>
    <col min="10760" max="10760" width="1.85546875" style="1963" customWidth="1"/>
    <col min="10761" max="10761" width="12.28515625" style="1963" customWidth="1"/>
    <col min="10762" max="10762" width="2.28515625" style="1963" customWidth="1"/>
    <col min="10763" max="10763" width="13.140625" style="1963" bestFit="1" customWidth="1"/>
    <col min="10764" max="10764" width="1.85546875" style="1963" customWidth="1"/>
    <col min="10765" max="10765" width="12.28515625" style="1963" customWidth="1"/>
    <col min="10766" max="10766" width="1.85546875" style="1963" customWidth="1"/>
    <col min="10767" max="10767" width="10.5703125" style="1963" customWidth="1"/>
    <col min="10768" max="10768" width="4.42578125" style="1963" customWidth="1"/>
    <col min="10769" max="10769" width="13.28515625" style="1963" bestFit="1" customWidth="1"/>
    <col min="10770" max="10770" width="1" style="1963" customWidth="1"/>
    <col min="10771" max="10771" width="12.5703125" style="1963" customWidth="1"/>
    <col min="10772" max="10773" width="12.42578125" style="1963" customWidth="1"/>
    <col min="10774" max="10774" width="17.28515625" style="1963" customWidth="1"/>
    <col min="10775" max="10777" width="18.42578125" style="1963" customWidth="1"/>
    <col min="10778" max="11008" width="16.7109375" style="1963"/>
    <col min="11009" max="11009" width="6.5703125" style="1963" customWidth="1"/>
    <col min="11010" max="11010" width="41.85546875" style="1963" customWidth="1"/>
    <col min="11011" max="11011" width="9.85546875" style="1963" customWidth="1"/>
    <col min="11012" max="11012" width="1.85546875" style="1963" customWidth="1"/>
    <col min="11013" max="11013" width="11" style="1963" customWidth="1"/>
    <col min="11014" max="11014" width="5.28515625" style="1963" customWidth="1"/>
    <col min="11015" max="11015" width="11.5703125" style="1963" bestFit="1" customWidth="1"/>
    <col min="11016" max="11016" width="1.85546875" style="1963" customWidth="1"/>
    <col min="11017" max="11017" width="12.28515625" style="1963" customWidth="1"/>
    <col min="11018" max="11018" width="2.28515625" style="1963" customWidth="1"/>
    <col min="11019" max="11019" width="13.140625" style="1963" bestFit="1" customWidth="1"/>
    <col min="11020" max="11020" width="1.85546875" style="1963" customWidth="1"/>
    <col min="11021" max="11021" width="12.28515625" style="1963" customWidth="1"/>
    <col min="11022" max="11022" width="1.85546875" style="1963" customWidth="1"/>
    <col min="11023" max="11023" width="10.5703125" style="1963" customWidth="1"/>
    <col min="11024" max="11024" width="4.42578125" style="1963" customWidth="1"/>
    <col min="11025" max="11025" width="13.28515625" style="1963" bestFit="1" customWidth="1"/>
    <col min="11026" max="11026" width="1" style="1963" customWidth="1"/>
    <col min="11027" max="11027" width="12.5703125" style="1963" customWidth="1"/>
    <col min="11028" max="11029" width="12.42578125" style="1963" customWidth="1"/>
    <col min="11030" max="11030" width="17.28515625" style="1963" customWidth="1"/>
    <col min="11031" max="11033" width="18.42578125" style="1963" customWidth="1"/>
    <col min="11034" max="11264" width="16.7109375" style="1963"/>
    <col min="11265" max="11265" width="6.5703125" style="1963" customWidth="1"/>
    <col min="11266" max="11266" width="41.85546875" style="1963" customWidth="1"/>
    <col min="11267" max="11267" width="9.85546875" style="1963" customWidth="1"/>
    <col min="11268" max="11268" width="1.85546875" style="1963" customWidth="1"/>
    <col min="11269" max="11269" width="11" style="1963" customWidth="1"/>
    <col min="11270" max="11270" width="5.28515625" style="1963" customWidth="1"/>
    <col min="11271" max="11271" width="11.5703125" style="1963" bestFit="1" customWidth="1"/>
    <col min="11272" max="11272" width="1.85546875" style="1963" customWidth="1"/>
    <col min="11273" max="11273" width="12.28515625" style="1963" customWidth="1"/>
    <col min="11274" max="11274" width="2.28515625" style="1963" customWidth="1"/>
    <col min="11275" max="11275" width="13.140625" style="1963" bestFit="1" customWidth="1"/>
    <col min="11276" max="11276" width="1.85546875" style="1963" customWidth="1"/>
    <col min="11277" max="11277" width="12.28515625" style="1963" customWidth="1"/>
    <col min="11278" max="11278" width="1.85546875" style="1963" customWidth="1"/>
    <col min="11279" max="11279" width="10.5703125" style="1963" customWidth="1"/>
    <col min="11280" max="11280" width="4.42578125" style="1963" customWidth="1"/>
    <col min="11281" max="11281" width="13.28515625" style="1963" bestFit="1" customWidth="1"/>
    <col min="11282" max="11282" width="1" style="1963" customWidth="1"/>
    <col min="11283" max="11283" width="12.5703125" style="1963" customWidth="1"/>
    <col min="11284" max="11285" width="12.42578125" style="1963" customWidth="1"/>
    <col min="11286" max="11286" width="17.28515625" style="1963" customWidth="1"/>
    <col min="11287" max="11289" width="18.42578125" style="1963" customWidth="1"/>
    <col min="11290" max="11520" width="16.7109375" style="1963"/>
    <col min="11521" max="11521" width="6.5703125" style="1963" customWidth="1"/>
    <col min="11522" max="11522" width="41.85546875" style="1963" customWidth="1"/>
    <col min="11523" max="11523" width="9.85546875" style="1963" customWidth="1"/>
    <col min="11524" max="11524" width="1.85546875" style="1963" customWidth="1"/>
    <col min="11525" max="11525" width="11" style="1963" customWidth="1"/>
    <col min="11526" max="11526" width="5.28515625" style="1963" customWidth="1"/>
    <col min="11527" max="11527" width="11.5703125" style="1963" bestFit="1" customWidth="1"/>
    <col min="11528" max="11528" width="1.85546875" style="1963" customWidth="1"/>
    <col min="11529" max="11529" width="12.28515625" style="1963" customWidth="1"/>
    <col min="11530" max="11530" width="2.28515625" style="1963" customWidth="1"/>
    <col min="11531" max="11531" width="13.140625" style="1963" bestFit="1" customWidth="1"/>
    <col min="11532" max="11532" width="1.85546875" style="1963" customWidth="1"/>
    <col min="11533" max="11533" width="12.28515625" style="1963" customWidth="1"/>
    <col min="11534" max="11534" width="1.85546875" style="1963" customWidth="1"/>
    <col min="11535" max="11535" width="10.5703125" style="1963" customWidth="1"/>
    <col min="11536" max="11536" width="4.42578125" style="1963" customWidth="1"/>
    <col min="11537" max="11537" width="13.28515625" style="1963" bestFit="1" customWidth="1"/>
    <col min="11538" max="11538" width="1" style="1963" customWidth="1"/>
    <col min="11539" max="11539" width="12.5703125" style="1963" customWidth="1"/>
    <col min="11540" max="11541" width="12.42578125" style="1963" customWidth="1"/>
    <col min="11542" max="11542" width="17.28515625" style="1963" customWidth="1"/>
    <col min="11543" max="11545" width="18.42578125" style="1963" customWidth="1"/>
    <col min="11546" max="11776" width="16.7109375" style="1963"/>
    <col min="11777" max="11777" width="6.5703125" style="1963" customWidth="1"/>
    <col min="11778" max="11778" width="41.85546875" style="1963" customWidth="1"/>
    <col min="11779" max="11779" width="9.85546875" style="1963" customWidth="1"/>
    <col min="11780" max="11780" width="1.85546875" style="1963" customWidth="1"/>
    <col min="11781" max="11781" width="11" style="1963" customWidth="1"/>
    <col min="11782" max="11782" width="5.28515625" style="1963" customWidth="1"/>
    <col min="11783" max="11783" width="11.5703125" style="1963" bestFit="1" customWidth="1"/>
    <col min="11784" max="11784" width="1.85546875" style="1963" customWidth="1"/>
    <col min="11785" max="11785" width="12.28515625" style="1963" customWidth="1"/>
    <col min="11786" max="11786" width="2.28515625" style="1963" customWidth="1"/>
    <col min="11787" max="11787" width="13.140625" style="1963" bestFit="1" customWidth="1"/>
    <col min="11788" max="11788" width="1.85546875" style="1963" customWidth="1"/>
    <col min="11789" max="11789" width="12.28515625" style="1963" customWidth="1"/>
    <col min="11790" max="11790" width="1.85546875" style="1963" customWidth="1"/>
    <col min="11791" max="11791" width="10.5703125" style="1963" customWidth="1"/>
    <col min="11792" max="11792" width="4.42578125" style="1963" customWidth="1"/>
    <col min="11793" max="11793" width="13.28515625" style="1963" bestFit="1" customWidth="1"/>
    <col min="11794" max="11794" width="1" style="1963" customWidth="1"/>
    <col min="11795" max="11795" width="12.5703125" style="1963" customWidth="1"/>
    <col min="11796" max="11797" width="12.42578125" style="1963" customWidth="1"/>
    <col min="11798" max="11798" width="17.28515625" style="1963" customWidth="1"/>
    <col min="11799" max="11801" width="18.42578125" style="1963" customWidth="1"/>
    <col min="11802" max="12032" width="16.7109375" style="1963"/>
    <col min="12033" max="12033" width="6.5703125" style="1963" customWidth="1"/>
    <col min="12034" max="12034" width="41.85546875" style="1963" customWidth="1"/>
    <col min="12035" max="12035" width="9.85546875" style="1963" customWidth="1"/>
    <col min="12036" max="12036" width="1.85546875" style="1963" customWidth="1"/>
    <col min="12037" max="12037" width="11" style="1963" customWidth="1"/>
    <col min="12038" max="12038" width="5.28515625" style="1963" customWidth="1"/>
    <col min="12039" max="12039" width="11.5703125" style="1963" bestFit="1" customWidth="1"/>
    <col min="12040" max="12040" width="1.85546875" style="1963" customWidth="1"/>
    <col min="12041" max="12041" width="12.28515625" style="1963" customWidth="1"/>
    <col min="12042" max="12042" width="2.28515625" style="1963" customWidth="1"/>
    <col min="12043" max="12043" width="13.140625" style="1963" bestFit="1" customWidth="1"/>
    <col min="12044" max="12044" width="1.85546875" style="1963" customWidth="1"/>
    <col min="12045" max="12045" width="12.28515625" style="1963" customWidth="1"/>
    <col min="12046" max="12046" width="1.85546875" style="1963" customWidth="1"/>
    <col min="12047" max="12047" width="10.5703125" style="1963" customWidth="1"/>
    <col min="12048" max="12048" width="4.42578125" style="1963" customWidth="1"/>
    <col min="12049" max="12049" width="13.28515625" style="1963" bestFit="1" customWidth="1"/>
    <col min="12050" max="12050" width="1" style="1963" customWidth="1"/>
    <col min="12051" max="12051" width="12.5703125" style="1963" customWidth="1"/>
    <col min="12052" max="12053" width="12.42578125" style="1963" customWidth="1"/>
    <col min="12054" max="12054" width="17.28515625" style="1963" customWidth="1"/>
    <col min="12055" max="12057" width="18.42578125" style="1963" customWidth="1"/>
    <col min="12058" max="12288" width="16.7109375" style="1963"/>
    <col min="12289" max="12289" width="6.5703125" style="1963" customWidth="1"/>
    <col min="12290" max="12290" width="41.85546875" style="1963" customWidth="1"/>
    <col min="12291" max="12291" width="9.85546875" style="1963" customWidth="1"/>
    <col min="12292" max="12292" width="1.85546875" style="1963" customWidth="1"/>
    <col min="12293" max="12293" width="11" style="1963" customWidth="1"/>
    <col min="12294" max="12294" width="5.28515625" style="1963" customWidth="1"/>
    <col min="12295" max="12295" width="11.5703125" style="1963" bestFit="1" customWidth="1"/>
    <col min="12296" max="12296" width="1.85546875" style="1963" customWidth="1"/>
    <col min="12297" max="12297" width="12.28515625" style="1963" customWidth="1"/>
    <col min="12298" max="12298" width="2.28515625" style="1963" customWidth="1"/>
    <col min="12299" max="12299" width="13.140625" style="1963" bestFit="1" customWidth="1"/>
    <col min="12300" max="12300" width="1.85546875" style="1963" customWidth="1"/>
    <col min="12301" max="12301" width="12.28515625" style="1963" customWidth="1"/>
    <col min="12302" max="12302" width="1.85546875" style="1963" customWidth="1"/>
    <col min="12303" max="12303" width="10.5703125" style="1963" customWidth="1"/>
    <col min="12304" max="12304" width="4.42578125" style="1963" customWidth="1"/>
    <col min="12305" max="12305" width="13.28515625" style="1963" bestFit="1" customWidth="1"/>
    <col min="12306" max="12306" width="1" style="1963" customWidth="1"/>
    <col min="12307" max="12307" width="12.5703125" style="1963" customWidth="1"/>
    <col min="12308" max="12309" width="12.42578125" style="1963" customWidth="1"/>
    <col min="12310" max="12310" width="17.28515625" style="1963" customWidth="1"/>
    <col min="12311" max="12313" width="18.42578125" style="1963" customWidth="1"/>
    <col min="12314" max="12544" width="16.7109375" style="1963"/>
    <col min="12545" max="12545" width="6.5703125" style="1963" customWidth="1"/>
    <col min="12546" max="12546" width="41.85546875" style="1963" customWidth="1"/>
    <col min="12547" max="12547" width="9.85546875" style="1963" customWidth="1"/>
    <col min="12548" max="12548" width="1.85546875" style="1963" customWidth="1"/>
    <col min="12549" max="12549" width="11" style="1963" customWidth="1"/>
    <col min="12550" max="12550" width="5.28515625" style="1963" customWidth="1"/>
    <col min="12551" max="12551" width="11.5703125" style="1963" bestFit="1" customWidth="1"/>
    <col min="12552" max="12552" width="1.85546875" style="1963" customWidth="1"/>
    <col min="12553" max="12553" width="12.28515625" style="1963" customWidth="1"/>
    <col min="12554" max="12554" width="2.28515625" style="1963" customWidth="1"/>
    <col min="12555" max="12555" width="13.140625" style="1963" bestFit="1" customWidth="1"/>
    <col min="12556" max="12556" width="1.85546875" style="1963" customWidth="1"/>
    <col min="12557" max="12557" width="12.28515625" style="1963" customWidth="1"/>
    <col min="12558" max="12558" width="1.85546875" style="1963" customWidth="1"/>
    <col min="12559" max="12559" width="10.5703125" style="1963" customWidth="1"/>
    <col min="12560" max="12560" width="4.42578125" style="1963" customWidth="1"/>
    <col min="12561" max="12561" width="13.28515625" style="1963" bestFit="1" customWidth="1"/>
    <col min="12562" max="12562" width="1" style="1963" customWidth="1"/>
    <col min="12563" max="12563" width="12.5703125" style="1963" customWidth="1"/>
    <col min="12564" max="12565" width="12.42578125" style="1963" customWidth="1"/>
    <col min="12566" max="12566" width="17.28515625" style="1963" customWidth="1"/>
    <col min="12567" max="12569" width="18.42578125" style="1963" customWidth="1"/>
    <col min="12570" max="12800" width="16.7109375" style="1963"/>
    <col min="12801" max="12801" width="6.5703125" style="1963" customWidth="1"/>
    <col min="12802" max="12802" width="41.85546875" style="1963" customWidth="1"/>
    <col min="12803" max="12803" width="9.85546875" style="1963" customWidth="1"/>
    <col min="12804" max="12804" width="1.85546875" style="1963" customWidth="1"/>
    <col min="12805" max="12805" width="11" style="1963" customWidth="1"/>
    <col min="12806" max="12806" width="5.28515625" style="1963" customWidth="1"/>
    <col min="12807" max="12807" width="11.5703125" style="1963" bestFit="1" customWidth="1"/>
    <col min="12808" max="12808" width="1.85546875" style="1963" customWidth="1"/>
    <col min="12809" max="12809" width="12.28515625" style="1963" customWidth="1"/>
    <col min="12810" max="12810" width="2.28515625" style="1963" customWidth="1"/>
    <col min="12811" max="12811" width="13.140625" style="1963" bestFit="1" customWidth="1"/>
    <col min="12812" max="12812" width="1.85546875" style="1963" customWidth="1"/>
    <col min="12813" max="12813" width="12.28515625" style="1963" customWidth="1"/>
    <col min="12814" max="12814" width="1.85546875" style="1963" customWidth="1"/>
    <col min="12815" max="12815" width="10.5703125" style="1963" customWidth="1"/>
    <col min="12816" max="12816" width="4.42578125" style="1963" customWidth="1"/>
    <col min="12817" max="12817" width="13.28515625" style="1963" bestFit="1" customWidth="1"/>
    <col min="12818" max="12818" width="1" style="1963" customWidth="1"/>
    <col min="12819" max="12819" width="12.5703125" style="1963" customWidth="1"/>
    <col min="12820" max="12821" width="12.42578125" style="1963" customWidth="1"/>
    <col min="12822" max="12822" width="17.28515625" style="1963" customWidth="1"/>
    <col min="12823" max="12825" width="18.42578125" style="1963" customWidth="1"/>
    <col min="12826" max="13056" width="16.7109375" style="1963"/>
    <col min="13057" max="13057" width="6.5703125" style="1963" customWidth="1"/>
    <col min="13058" max="13058" width="41.85546875" style="1963" customWidth="1"/>
    <col min="13059" max="13059" width="9.85546875" style="1963" customWidth="1"/>
    <col min="13060" max="13060" width="1.85546875" style="1963" customWidth="1"/>
    <col min="13061" max="13061" width="11" style="1963" customWidth="1"/>
    <col min="13062" max="13062" width="5.28515625" style="1963" customWidth="1"/>
    <col min="13063" max="13063" width="11.5703125" style="1963" bestFit="1" customWidth="1"/>
    <col min="13064" max="13064" width="1.85546875" style="1963" customWidth="1"/>
    <col min="13065" max="13065" width="12.28515625" style="1963" customWidth="1"/>
    <col min="13066" max="13066" width="2.28515625" style="1963" customWidth="1"/>
    <col min="13067" max="13067" width="13.140625" style="1963" bestFit="1" customWidth="1"/>
    <col min="13068" max="13068" width="1.85546875" style="1963" customWidth="1"/>
    <col min="13069" max="13069" width="12.28515625" style="1963" customWidth="1"/>
    <col min="13070" max="13070" width="1.85546875" style="1963" customWidth="1"/>
    <col min="13071" max="13071" width="10.5703125" style="1963" customWidth="1"/>
    <col min="13072" max="13072" width="4.42578125" style="1963" customWidth="1"/>
    <col min="13073" max="13073" width="13.28515625" style="1963" bestFit="1" customWidth="1"/>
    <col min="13074" max="13074" width="1" style="1963" customWidth="1"/>
    <col min="13075" max="13075" width="12.5703125" style="1963" customWidth="1"/>
    <col min="13076" max="13077" width="12.42578125" style="1963" customWidth="1"/>
    <col min="13078" max="13078" width="17.28515625" style="1963" customWidth="1"/>
    <col min="13079" max="13081" width="18.42578125" style="1963" customWidth="1"/>
    <col min="13082" max="13312" width="16.7109375" style="1963"/>
    <col min="13313" max="13313" width="6.5703125" style="1963" customWidth="1"/>
    <col min="13314" max="13314" width="41.85546875" style="1963" customWidth="1"/>
    <col min="13315" max="13315" width="9.85546875" style="1963" customWidth="1"/>
    <col min="13316" max="13316" width="1.85546875" style="1963" customWidth="1"/>
    <col min="13317" max="13317" width="11" style="1963" customWidth="1"/>
    <col min="13318" max="13318" width="5.28515625" style="1963" customWidth="1"/>
    <col min="13319" max="13319" width="11.5703125" style="1963" bestFit="1" customWidth="1"/>
    <col min="13320" max="13320" width="1.85546875" style="1963" customWidth="1"/>
    <col min="13321" max="13321" width="12.28515625" style="1963" customWidth="1"/>
    <col min="13322" max="13322" width="2.28515625" style="1963" customWidth="1"/>
    <col min="13323" max="13323" width="13.140625" style="1963" bestFit="1" customWidth="1"/>
    <col min="13324" max="13324" width="1.85546875" style="1963" customWidth="1"/>
    <col min="13325" max="13325" width="12.28515625" style="1963" customWidth="1"/>
    <col min="13326" max="13326" width="1.85546875" style="1963" customWidth="1"/>
    <col min="13327" max="13327" width="10.5703125" style="1963" customWidth="1"/>
    <col min="13328" max="13328" width="4.42578125" style="1963" customWidth="1"/>
    <col min="13329" max="13329" width="13.28515625" style="1963" bestFit="1" customWidth="1"/>
    <col min="13330" max="13330" width="1" style="1963" customWidth="1"/>
    <col min="13331" max="13331" width="12.5703125" style="1963" customWidth="1"/>
    <col min="13332" max="13333" width="12.42578125" style="1963" customWidth="1"/>
    <col min="13334" max="13334" width="17.28515625" style="1963" customWidth="1"/>
    <col min="13335" max="13337" width="18.42578125" style="1963" customWidth="1"/>
    <col min="13338" max="13568" width="16.7109375" style="1963"/>
    <col min="13569" max="13569" width="6.5703125" style="1963" customWidth="1"/>
    <col min="13570" max="13570" width="41.85546875" style="1963" customWidth="1"/>
    <col min="13571" max="13571" width="9.85546875" style="1963" customWidth="1"/>
    <col min="13572" max="13572" width="1.85546875" style="1963" customWidth="1"/>
    <col min="13573" max="13573" width="11" style="1963" customWidth="1"/>
    <col min="13574" max="13574" width="5.28515625" style="1963" customWidth="1"/>
    <col min="13575" max="13575" width="11.5703125" style="1963" bestFit="1" customWidth="1"/>
    <col min="13576" max="13576" width="1.85546875" style="1963" customWidth="1"/>
    <col min="13577" max="13577" width="12.28515625" style="1963" customWidth="1"/>
    <col min="13578" max="13578" width="2.28515625" style="1963" customWidth="1"/>
    <col min="13579" max="13579" width="13.140625" style="1963" bestFit="1" customWidth="1"/>
    <col min="13580" max="13580" width="1.85546875" style="1963" customWidth="1"/>
    <col min="13581" max="13581" width="12.28515625" style="1963" customWidth="1"/>
    <col min="13582" max="13582" width="1.85546875" style="1963" customWidth="1"/>
    <col min="13583" max="13583" width="10.5703125" style="1963" customWidth="1"/>
    <col min="13584" max="13584" width="4.42578125" style="1963" customWidth="1"/>
    <col min="13585" max="13585" width="13.28515625" style="1963" bestFit="1" customWidth="1"/>
    <col min="13586" max="13586" width="1" style="1963" customWidth="1"/>
    <col min="13587" max="13587" width="12.5703125" style="1963" customWidth="1"/>
    <col min="13588" max="13589" width="12.42578125" style="1963" customWidth="1"/>
    <col min="13590" max="13590" width="17.28515625" style="1963" customWidth="1"/>
    <col min="13591" max="13593" width="18.42578125" style="1963" customWidth="1"/>
    <col min="13594" max="13824" width="16.7109375" style="1963"/>
    <col min="13825" max="13825" width="6.5703125" style="1963" customWidth="1"/>
    <col min="13826" max="13826" width="41.85546875" style="1963" customWidth="1"/>
    <col min="13827" max="13827" width="9.85546875" style="1963" customWidth="1"/>
    <col min="13828" max="13828" width="1.85546875" style="1963" customWidth="1"/>
    <col min="13829" max="13829" width="11" style="1963" customWidth="1"/>
    <col min="13830" max="13830" width="5.28515625" style="1963" customWidth="1"/>
    <col min="13831" max="13831" width="11.5703125" style="1963" bestFit="1" customWidth="1"/>
    <col min="13832" max="13832" width="1.85546875" style="1963" customWidth="1"/>
    <col min="13833" max="13833" width="12.28515625" style="1963" customWidth="1"/>
    <col min="13834" max="13834" width="2.28515625" style="1963" customWidth="1"/>
    <col min="13835" max="13835" width="13.140625" style="1963" bestFit="1" customWidth="1"/>
    <col min="13836" max="13836" width="1.85546875" style="1963" customWidth="1"/>
    <col min="13837" max="13837" width="12.28515625" style="1963" customWidth="1"/>
    <col min="13838" max="13838" width="1.85546875" style="1963" customWidth="1"/>
    <col min="13839" max="13839" width="10.5703125" style="1963" customWidth="1"/>
    <col min="13840" max="13840" width="4.42578125" style="1963" customWidth="1"/>
    <col min="13841" max="13841" width="13.28515625" style="1963" bestFit="1" customWidth="1"/>
    <col min="13842" max="13842" width="1" style="1963" customWidth="1"/>
    <col min="13843" max="13843" width="12.5703125" style="1963" customWidth="1"/>
    <col min="13844" max="13845" width="12.42578125" style="1963" customWidth="1"/>
    <col min="13846" max="13846" width="17.28515625" style="1963" customWidth="1"/>
    <col min="13847" max="13849" width="18.42578125" style="1963" customWidth="1"/>
    <col min="13850" max="14080" width="16.7109375" style="1963"/>
    <col min="14081" max="14081" width="6.5703125" style="1963" customWidth="1"/>
    <col min="14082" max="14082" width="41.85546875" style="1963" customWidth="1"/>
    <col min="14083" max="14083" width="9.85546875" style="1963" customWidth="1"/>
    <col min="14084" max="14084" width="1.85546875" style="1963" customWidth="1"/>
    <col min="14085" max="14085" width="11" style="1963" customWidth="1"/>
    <col min="14086" max="14086" width="5.28515625" style="1963" customWidth="1"/>
    <col min="14087" max="14087" width="11.5703125" style="1963" bestFit="1" customWidth="1"/>
    <col min="14088" max="14088" width="1.85546875" style="1963" customWidth="1"/>
    <col min="14089" max="14089" width="12.28515625" style="1963" customWidth="1"/>
    <col min="14090" max="14090" width="2.28515625" style="1963" customWidth="1"/>
    <col min="14091" max="14091" width="13.140625" style="1963" bestFit="1" customWidth="1"/>
    <col min="14092" max="14092" width="1.85546875" style="1963" customWidth="1"/>
    <col min="14093" max="14093" width="12.28515625" style="1963" customWidth="1"/>
    <col min="14094" max="14094" width="1.85546875" style="1963" customWidth="1"/>
    <col min="14095" max="14095" width="10.5703125" style="1963" customWidth="1"/>
    <col min="14096" max="14096" width="4.42578125" style="1963" customWidth="1"/>
    <col min="14097" max="14097" width="13.28515625" style="1963" bestFit="1" customWidth="1"/>
    <col min="14098" max="14098" width="1" style="1963" customWidth="1"/>
    <col min="14099" max="14099" width="12.5703125" style="1963" customWidth="1"/>
    <col min="14100" max="14101" width="12.42578125" style="1963" customWidth="1"/>
    <col min="14102" max="14102" width="17.28515625" style="1963" customWidth="1"/>
    <col min="14103" max="14105" width="18.42578125" style="1963" customWidth="1"/>
    <col min="14106" max="14336" width="16.7109375" style="1963"/>
    <col min="14337" max="14337" width="6.5703125" style="1963" customWidth="1"/>
    <col min="14338" max="14338" width="41.85546875" style="1963" customWidth="1"/>
    <col min="14339" max="14339" width="9.85546875" style="1963" customWidth="1"/>
    <col min="14340" max="14340" width="1.85546875" style="1963" customWidth="1"/>
    <col min="14341" max="14341" width="11" style="1963" customWidth="1"/>
    <col min="14342" max="14342" width="5.28515625" style="1963" customWidth="1"/>
    <col min="14343" max="14343" width="11.5703125" style="1963" bestFit="1" customWidth="1"/>
    <col min="14344" max="14344" width="1.85546875" style="1963" customWidth="1"/>
    <col min="14345" max="14345" width="12.28515625" style="1963" customWidth="1"/>
    <col min="14346" max="14346" width="2.28515625" style="1963" customWidth="1"/>
    <col min="14347" max="14347" width="13.140625" style="1963" bestFit="1" customWidth="1"/>
    <col min="14348" max="14348" width="1.85546875" style="1963" customWidth="1"/>
    <col min="14349" max="14349" width="12.28515625" style="1963" customWidth="1"/>
    <col min="14350" max="14350" width="1.85546875" style="1963" customWidth="1"/>
    <col min="14351" max="14351" width="10.5703125" style="1963" customWidth="1"/>
    <col min="14352" max="14352" width="4.42578125" style="1963" customWidth="1"/>
    <col min="14353" max="14353" width="13.28515625" style="1963" bestFit="1" customWidth="1"/>
    <col min="14354" max="14354" width="1" style="1963" customWidth="1"/>
    <col min="14355" max="14355" width="12.5703125" style="1963" customWidth="1"/>
    <col min="14356" max="14357" width="12.42578125" style="1963" customWidth="1"/>
    <col min="14358" max="14358" width="17.28515625" style="1963" customWidth="1"/>
    <col min="14359" max="14361" width="18.42578125" style="1963" customWidth="1"/>
    <col min="14362" max="14592" width="16.7109375" style="1963"/>
    <col min="14593" max="14593" width="6.5703125" style="1963" customWidth="1"/>
    <col min="14594" max="14594" width="41.85546875" style="1963" customWidth="1"/>
    <col min="14595" max="14595" width="9.85546875" style="1963" customWidth="1"/>
    <col min="14596" max="14596" width="1.85546875" style="1963" customWidth="1"/>
    <col min="14597" max="14597" width="11" style="1963" customWidth="1"/>
    <col min="14598" max="14598" width="5.28515625" style="1963" customWidth="1"/>
    <col min="14599" max="14599" width="11.5703125" style="1963" bestFit="1" customWidth="1"/>
    <col min="14600" max="14600" width="1.85546875" style="1963" customWidth="1"/>
    <col min="14601" max="14601" width="12.28515625" style="1963" customWidth="1"/>
    <col min="14602" max="14602" width="2.28515625" style="1963" customWidth="1"/>
    <col min="14603" max="14603" width="13.140625" style="1963" bestFit="1" customWidth="1"/>
    <col min="14604" max="14604" width="1.85546875" style="1963" customWidth="1"/>
    <col min="14605" max="14605" width="12.28515625" style="1963" customWidth="1"/>
    <col min="14606" max="14606" width="1.85546875" style="1963" customWidth="1"/>
    <col min="14607" max="14607" width="10.5703125" style="1963" customWidth="1"/>
    <col min="14608" max="14608" width="4.42578125" style="1963" customWidth="1"/>
    <col min="14609" max="14609" width="13.28515625" style="1963" bestFit="1" customWidth="1"/>
    <col min="14610" max="14610" width="1" style="1963" customWidth="1"/>
    <col min="14611" max="14611" width="12.5703125" style="1963" customWidth="1"/>
    <col min="14612" max="14613" width="12.42578125" style="1963" customWidth="1"/>
    <col min="14614" max="14614" width="17.28515625" style="1963" customWidth="1"/>
    <col min="14615" max="14617" width="18.42578125" style="1963" customWidth="1"/>
    <col min="14618" max="14848" width="16.7109375" style="1963"/>
    <col min="14849" max="14849" width="6.5703125" style="1963" customWidth="1"/>
    <col min="14850" max="14850" width="41.85546875" style="1963" customWidth="1"/>
    <col min="14851" max="14851" width="9.85546875" style="1963" customWidth="1"/>
    <col min="14852" max="14852" width="1.85546875" style="1963" customWidth="1"/>
    <col min="14853" max="14853" width="11" style="1963" customWidth="1"/>
    <col min="14854" max="14854" width="5.28515625" style="1963" customWidth="1"/>
    <col min="14855" max="14855" width="11.5703125" style="1963" bestFit="1" customWidth="1"/>
    <col min="14856" max="14856" width="1.85546875" style="1963" customWidth="1"/>
    <col min="14857" max="14857" width="12.28515625" style="1963" customWidth="1"/>
    <col min="14858" max="14858" width="2.28515625" style="1963" customWidth="1"/>
    <col min="14859" max="14859" width="13.140625" style="1963" bestFit="1" customWidth="1"/>
    <col min="14860" max="14860" width="1.85546875" style="1963" customWidth="1"/>
    <col min="14861" max="14861" width="12.28515625" style="1963" customWidth="1"/>
    <col min="14862" max="14862" width="1.85546875" style="1963" customWidth="1"/>
    <col min="14863" max="14863" width="10.5703125" style="1963" customWidth="1"/>
    <col min="14864" max="14864" width="4.42578125" style="1963" customWidth="1"/>
    <col min="14865" max="14865" width="13.28515625" style="1963" bestFit="1" customWidth="1"/>
    <col min="14866" max="14866" width="1" style="1963" customWidth="1"/>
    <col min="14867" max="14867" width="12.5703125" style="1963" customWidth="1"/>
    <col min="14868" max="14869" width="12.42578125" style="1963" customWidth="1"/>
    <col min="14870" max="14870" width="17.28515625" style="1963" customWidth="1"/>
    <col min="14871" max="14873" width="18.42578125" style="1963" customWidth="1"/>
    <col min="14874" max="15104" width="16.7109375" style="1963"/>
    <col min="15105" max="15105" width="6.5703125" style="1963" customWidth="1"/>
    <col min="15106" max="15106" width="41.85546875" style="1963" customWidth="1"/>
    <col min="15107" max="15107" width="9.85546875" style="1963" customWidth="1"/>
    <col min="15108" max="15108" width="1.85546875" style="1963" customWidth="1"/>
    <col min="15109" max="15109" width="11" style="1963" customWidth="1"/>
    <col min="15110" max="15110" width="5.28515625" style="1963" customWidth="1"/>
    <col min="15111" max="15111" width="11.5703125" style="1963" bestFit="1" customWidth="1"/>
    <col min="15112" max="15112" width="1.85546875" style="1963" customWidth="1"/>
    <col min="15113" max="15113" width="12.28515625" style="1963" customWidth="1"/>
    <col min="15114" max="15114" width="2.28515625" style="1963" customWidth="1"/>
    <col min="15115" max="15115" width="13.140625" style="1963" bestFit="1" customWidth="1"/>
    <col min="15116" max="15116" width="1.85546875" style="1963" customWidth="1"/>
    <col min="15117" max="15117" width="12.28515625" style="1963" customWidth="1"/>
    <col min="15118" max="15118" width="1.85546875" style="1963" customWidth="1"/>
    <col min="15119" max="15119" width="10.5703125" style="1963" customWidth="1"/>
    <col min="15120" max="15120" width="4.42578125" style="1963" customWidth="1"/>
    <col min="15121" max="15121" width="13.28515625" style="1963" bestFit="1" customWidth="1"/>
    <col min="15122" max="15122" width="1" style="1963" customWidth="1"/>
    <col min="15123" max="15123" width="12.5703125" style="1963" customWidth="1"/>
    <col min="15124" max="15125" width="12.42578125" style="1963" customWidth="1"/>
    <col min="15126" max="15126" width="17.28515625" style="1963" customWidth="1"/>
    <col min="15127" max="15129" width="18.42578125" style="1963" customWidth="1"/>
    <col min="15130" max="15360" width="16.7109375" style="1963"/>
    <col min="15361" max="15361" width="6.5703125" style="1963" customWidth="1"/>
    <col min="15362" max="15362" width="41.85546875" style="1963" customWidth="1"/>
    <col min="15363" max="15363" width="9.85546875" style="1963" customWidth="1"/>
    <col min="15364" max="15364" width="1.85546875" style="1963" customWidth="1"/>
    <col min="15365" max="15365" width="11" style="1963" customWidth="1"/>
    <col min="15366" max="15366" width="5.28515625" style="1963" customWidth="1"/>
    <col min="15367" max="15367" width="11.5703125" style="1963" bestFit="1" customWidth="1"/>
    <col min="15368" max="15368" width="1.85546875" style="1963" customWidth="1"/>
    <col min="15369" max="15369" width="12.28515625" style="1963" customWidth="1"/>
    <col min="15370" max="15370" width="2.28515625" style="1963" customWidth="1"/>
    <col min="15371" max="15371" width="13.140625" style="1963" bestFit="1" customWidth="1"/>
    <col min="15372" max="15372" width="1.85546875" style="1963" customWidth="1"/>
    <col min="15373" max="15373" width="12.28515625" style="1963" customWidth="1"/>
    <col min="15374" max="15374" width="1.85546875" style="1963" customWidth="1"/>
    <col min="15375" max="15375" width="10.5703125" style="1963" customWidth="1"/>
    <col min="15376" max="15376" width="4.42578125" style="1963" customWidth="1"/>
    <col min="15377" max="15377" width="13.28515625" style="1963" bestFit="1" customWidth="1"/>
    <col min="15378" max="15378" width="1" style="1963" customWidth="1"/>
    <col min="15379" max="15379" width="12.5703125" style="1963" customWidth="1"/>
    <col min="15380" max="15381" width="12.42578125" style="1963" customWidth="1"/>
    <col min="15382" max="15382" width="17.28515625" style="1963" customWidth="1"/>
    <col min="15383" max="15385" width="18.42578125" style="1963" customWidth="1"/>
    <col min="15386" max="15616" width="16.7109375" style="1963"/>
    <col min="15617" max="15617" width="6.5703125" style="1963" customWidth="1"/>
    <col min="15618" max="15618" width="41.85546875" style="1963" customWidth="1"/>
    <col min="15619" max="15619" width="9.85546875" style="1963" customWidth="1"/>
    <col min="15620" max="15620" width="1.85546875" style="1963" customWidth="1"/>
    <col min="15621" max="15621" width="11" style="1963" customWidth="1"/>
    <col min="15622" max="15622" width="5.28515625" style="1963" customWidth="1"/>
    <col min="15623" max="15623" width="11.5703125" style="1963" bestFit="1" customWidth="1"/>
    <col min="15624" max="15624" width="1.85546875" style="1963" customWidth="1"/>
    <col min="15625" max="15625" width="12.28515625" style="1963" customWidth="1"/>
    <col min="15626" max="15626" width="2.28515625" style="1963" customWidth="1"/>
    <col min="15627" max="15627" width="13.140625" style="1963" bestFit="1" customWidth="1"/>
    <col min="15628" max="15628" width="1.85546875" style="1963" customWidth="1"/>
    <col min="15629" max="15629" width="12.28515625" style="1963" customWidth="1"/>
    <col min="15630" max="15630" width="1.85546875" style="1963" customWidth="1"/>
    <col min="15631" max="15631" width="10.5703125" style="1963" customWidth="1"/>
    <col min="15632" max="15632" width="4.42578125" style="1963" customWidth="1"/>
    <col min="15633" max="15633" width="13.28515625" style="1963" bestFit="1" customWidth="1"/>
    <col min="15634" max="15634" width="1" style="1963" customWidth="1"/>
    <col min="15635" max="15635" width="12.5703125" style="1963" customWidth="1"/>
    <col min="15636" max="15637" width="12.42578125" style="1963" customWidth="1"/>
    <col min="15638" max="15638" width="17.28515625" style="1963" customWidth="1"/>
    <col min="15639" max="15641" width="18.42578125" style="1963" customWidth="1"/>
    <col min="15642" max="15872" width="16.7109375" style="1963"/>
    <col min="15873" max="15873" width="6.5703125" style="1963" customWidth="1"/>
    <col min="15874" max="15874" width="41.85546875" style="1963" customWidth="1"/>
    <col min="15875" max="15875" width="9.85546875" style="1963" customWidth="1"/>
    <col min="15876" max="15876" width="1.85546875" style="1963" customWidth="1"/>
    <col min="15877" max="15877" width="11" style="1963" customWidth="1"/>
    <col min="15878" max="15878" width="5.28515625" style="1963" customWidth="1"/>
    <col min="15879" max="15879" width="11.5703125" style="1963" bestFit="1" customWidth="1"/>
    <col min="15880" max="15880" width="1.85546875" style="1963" customWidth="1"/>
    <col min="15881" max="15881" width="12.28515625" style="1963" customWidth="1"/>
    <col min="15882" max="15882" width="2.28515625" style="1963" customWidth="1"/>
    <col min="15883" max="15883" width="13.140625" style="1963" bestFit="1" customWidth="1"/>
    <col min="15884" max="15884" width="1.85546875" style="1963" customWidth="1"/>
    <col min="15885" max="15885" width="12.28515625" style="1963" customWidth="1"/>
    <col min="15886" max="15886" width="1.85546875" style="1963" customWidth="1"/>
    <col min="15887" max="15887" width="10.5703125" style="1963" customWidth="1"/>
    <col min="15888" max="15888" width="4.42578125" style="1963" customWidth="1"/>
    <col min="15889" max="15889" width="13.28515625" style="1963" bestFit="1" customWidth="1"/>
    <col min="15890" max="15890" width="1" style="1963" customWidth="1"/>
    <col min="15891" max="15891" width="12.5703125" style="1963" customWidth="1"/>
    <col min="15892" max="15893" width="12.42578125" style="1963" customWidth="1"/>
    <col min="15894" max="15894" width="17.28515625" style="1963" customWidth="1"/>
    <col min="15895" max="15897" width="18.42578125" style="1963" customWidth="1"/>
    <col min="15898" max="16128" width="16.7109375" style="1963"/>
    <col min="16129" max="16129" width="6.5703125" style="1963" customWidth="1"/>
    <col min="16130" max="16130" width="41.85546875" style="1963" customWidth="1"/>
    <col min="16131" max="16131" width="9.85546875" style="1963" customWidth="1"/>
    <col min="16132" max="16132" width="1.85546875" style="1963" customWidth="1"/>
    <col min="16133" max="16133" width="11" style="1963" customWidth="1"/>
    <col min="16134" max="16134" width="5.28515625" style="1963" customWidth="1"/>
    <col min="16135" max="16135" width="11.5703125" style="1963" bestFit="1" customWidth="1"/>
    <col min="16136" max="16136" width="1.85546875" style="1963" customWidth="1"/>
    <col min="16137" max="16137" width="12.28515625" style="1963" customWidth="1"/>
    <col min="16138" max="16138" width="2.28515625" style="1963" customWidth="1"/>
    <col min="16139" max="16139" width="13.140625" style="1963" bestFit="1" customWidth="1"/>
    <col min="16140" max="16140" width="1.85546875" style="1963" customWidth="1"/>
    <col min="16141" max="16141" width="12.28515625" style="1963" customWidth="1"/>
    <col min="16142" max="16142" width="1.85546875" style="1963" customWidth="1"/>
    <col min="16143" max="16143" width="10.5703125" style="1963" customWidth="1"/>
    <col min="16144" max="16144" width="4.42578125" style="1963" customWidth="1"/>
    <col min="16145" max="16145" width="13.28515625" style="1963" bestFit="1" customWidth="1"/>
    <col min="16146" max="16146" width="1" style="1963" customWidth="1"/>
    <col min="16147" max="16147" width="12.5703125" style="1963" customWidth="1"/>
    <col min="16148" max="16149" width="12.42578125" style="1963" customWidth="1"/>
    <col min="16150" max="16150" width="17.28515625" style="1963" customWidth="1"/>
    <col min="16151" max="16153" width="18.42578125" style="1963" customWidth="1"/>
    <col min="16154" max="16384" width="16.7109375" style="1963"/>
  </cols>
  <sheetData>
    <row r="1" spans="1:26" s="1958" customFormat="1" ht="12.75" customHeight="1" x14ac:dyDescent="0.2">
      <c r="A1" s="1955"/>
      <c r="B1" s="1956"/>
      <c r="C1" s="1956"/>
      <c r="D1" s="1956"/>
      <c r="E1" s="1956"/>
      <c r="F1" s="1955"/>
      <c r="G1" s="1956"/>
      <c r="H1" s="1956"/>
      <c r="I1" s="1955"/>
      <c r="J1" s="1955"/>
      <c r="K1" s="1956"/>
      <c r="L1" s="1956"/>
      <c r="M1" s="1956"/>
      <c r="N1" s="1956"/>
      <c r="O1" s="1956"/>
      <c r="P1" s="1955"/>
      <c r="Q1" s="1956"/>
      <c r="R1" s="1956"/>
      <c r="S1" s="1957"/>
      <c r="T1" s="1957"/>
      <c r="U1" s="1957"/>
      <c r="V1" s="1957"/>
      <c r="W1" s="1957"/>
      <c r="X1" s="1957"/>
      <c r="Y1" s="1957"/>
      <c r="Z1" s="1956"/>
    </row>
    <row r="2" spans="1:26" ht="12.75" hidden="1" customHeight="1" x14ac:dyDescent="0.2">
      <c r="A2" s="1959"/>
      <c r="B2" s="1960"/>
      <c r="C2" s="1959"/>
      <c r="D2" s="1959"/>
      <c r="E2" s="1959"/>
      <c r="F2" s="1959"/>
      <c r="G2" s="1959"/>
      <c r="H2" s="1959"/>
      <c r="I2" s="1961"/>
      <c r="J2" s="1962"/>
      <c r="M2" s="1964"/>
      <c r="N2" s="1961"/>
      <c r="P2" s="1961"/>
      <c r="Q2" s="1961"/>
      <c r="R2" s="1962"/>
      <c r="S2" s="1961" t="s">
        <v>1169</v>
      </c>
      <c r="T2" s="1965"/>
      <c r="U2" s="1965"/>
      <c r="V2" s="1958"/>
      <c r="W2" s="1958"/>
      <c r="X2" s="1958"/>
      <c r="Y2" s="1958"/>
      <c r="Z2" s="1956"/>
    </row>
    <row r="3" spans="1:26" ht="12.75" hidden="1" customHeight="1" x14ac:dyDescent="0.2">
      <c r="A3" s="1959"/>
      <c r="B3" s="1966"/>
      <c r="C3" s="1959"/>
      <c r="D3" s="1959"/>
      <c r="E3" s="1959"/>
      <c r="F3" s="1959"/>
      <c r="G3" s="1959"/>
      <c r="H3" s="1959"/>
      <c r="I3" s="1961"/>
      <c r="J3" s="1962"/>
      <c r="M3" s="1964"/>
      <c r="N3" s="1964"/>
      <c r="O3" s="1964"/>
      <c r="P3" s="1961"/>
      <c r="Q3" s="1961"/>
      <c r="R3" s="1962"/>
      <c r="S3" s="1961"/>
      <c r="T3" s="1967" t="s">
        <v>2113</v>
      </c>
      <c r="U3" s="1968"/>
      <c r="V3" s="1969"/>
      <c r="X3" s="1970" t="s">
        <v>2114</v>
      </c>
      <c r="Y3" s="1970"/>
      <c r="Z3" s="1956"/>
    </row>
    <row r="4" spans="1:26" ht="15" hidden="1" customHeight="1" x14ac:dyDescent="0.2">
      <c r="A4" s="1959"/>
      <c r="B4" s="1966"/>
      <c r="C4" s="1959"/>
      <c r="D4" s="1959"/>
      <c r="E4" s="1959"/>
      <c r="F4" s="1959"/>
      <c r="G4" s="1959"/>
      <c r="H4" s="1959"/>
      <c r="I4" s="1961"/>
      <c r="J4" s="1961"/>
      <c r="K4" s="1961"/>
      <c r="M4" s="1971"/>
      <c r="N4" s="1961"/>
      <c r="O4" s="1961"/>
      <c r="P4" s="1961"/>
      <c r="Q4" s="1961"/>
      <c r="R4" s="1962"/>
      <c r="S4" s="1961"/>
      <c r="T4" s="1972" t="s">
        <v>2115</v>
      </c>
      <c r="U4" s="1973"/>
      <c r="V4" s="1974"/>
      <c r="W4" s="1961"/>
      <c r="X4" s="1975" t="s">
        <v>2116</v>
      </c>
      <c r="Y4" s="1976"/>
      <c r="Z4" s="1956"/>
    </row>
    <row r="5" spans="1:26" ht="15.75" x14ac:dyDescent="0.2">
      <c r="A5" s="2575" t="s">
        <v>2072</v>
      </c>
      <c r="B5" s="2575"/>
      <c r="C5" s="2575"/>
      <c r="D5" s="2575"/>
      <c r="E5" s="2575"/>
      <c r="F5" s="2575"/>
      <c r="G5" s="2575"/>
      <c r="H5" s="2575"/>
      <c r="I5" s="2575"/>
      <c r="J5" s="2575"/>
      <c r="K5" s="2575"/>
      <c r="L5" s="2575"/>
      <c r="M5" s="2575"/>
      <c r="N5" s="2575"/>
      <c r="O5" s="2575"/>
      <c r="P5" s="2575"/>
      <c r="Q5" s="2575"/>
      <c r="R5" s="2575"/>
      <c r="S5" s="2575"/>
      <c r="T5" s="1977" t="s">
        <v>2117</v>
      </c>
      <c r="U5" s="1978"/>
      <c r="V5" s="1979"/>
      <c r="W5" s="1961"/>
      <c r="X5" s="1961"/>
      <c r="Z5" s="1956"/>
    </row>
    <row r="6" spans="1:26" ht="15.75" x14ac:dyDescent="0.2">
      <c r="A6" s="2575" t="s">
        <v>2070</v>
      </c>
      <c r="B6" s="2575"/>
      <c r="C6" s="2575"/>
      <c r="D6" s="2575"/>
      <c r="E6" s="2575"/>
      <c r="F6" s="2575"/>
      <c r="G6" s="2575"/>
      <c r="H6" s="2575"/>
      <c r="I6" s="2575"/>
      <c r="J6" s="2575"/>
      <c r="K6" s="2575"/>
      <c r="L6" s="2575"/>
      <c r="M6" s="2575"/>
      <c r="N6" s="2575"/>
      <c r="O6" s="2575"/>
      <c r="P6" s="2575"/>
      <c r="Q6" s="2575"/>
      <c r="R6" s="2575"/>
      <c r="S6" s="2575"/>
      <c r="T6" s="1980"/>
      <c r="U6" s="1980"/>
      <c r="V6" s="1961"/>
      <c r="W6" s="1961"/>
      <c r="X6" s="1961"/>
      <c r="Z6" s="1956"/>
    </row>
    <row r="7" spans="1:26" ht="14.25" customHeight="1" x14ac:dyDescent="0.2">
      <c r="A7" s="2575" t="s">
        <v>1219</v>
      </c>
      <c r="B7" s="2575"/>
      <c r="C7" s="2575"/>
      <c r="D7" s="2575"/>
      <c r="E7" s="2575"/>
      <c r="F7" s="2575"/>
      <c r="G7" s="2575"/>
      <c r="H7" s="2575"/>
      <c r="I7" s="2575"/>
      <c r="J7" s="2575"/>
      <c r="K7" s="2575"/>
      <c r="L7" s="2575"/>
      <c r="M7" s="2575"/>
      <c r="N7" s="2575"/>
      <c r="O7" s="2575"/>
      <c r="P7" s="2575"/>
      <c r="Q7" s="2575"/>
      <c r="R7" s="2575"/>
      <c r="S7" s="2575"/>
      <c r="T7" s="1980"/>
      <c r="U7" s="1980"/>
      <c r="V7" s="1961"/>
      <c r="W7" s="1961"/>
      <c r="X7" s="1961"/>
      <c r="Z7" s="1956"/>
    </row>
    <row r="8" spans="1:26" ht="15" customHeight="1" x14ac:dyDescent="0.2">
      <c r="A8" s="2576" t="s">
        <v>2118</v>
      </c>
      <c r="B8" s="2576"/>
      <c r="C8" s="2576"/>
      <c r="D8" s="2576"/>
      <c r="E8" s="2576"/>
      <c r="F8" s="2576"/>
      <c r="G8" s="2576"/>
      <c r="H8" s="2576"/>
      <c r="I8" s="2576"/>
      <c r="J8" s="2576"/>
      <c r="K8" s="2576"/>
      <c r="L8" s="2576"/>
      <c r="M8" s="2576"/>
      <c r="N8" s="2576"/>
      <c r="O8" s="2576"/>
      <c r="P8" s="2576"/>
      <c r="Q8" s="2576"/>
      <c r="R8" s="2576"/>
      <c r="S8" s="2576"/>
      <c r="T8" s="1980"/>
      <c r="U8" s="1980"/>
      <c r="V8" s="1961"/>
      <c r="W8" s="1961"/>
      <c r="X8" s="1961"/>
      <c r="Z8" s="1956"/>
    </row>
    <row r="9" spans="1:26" ht="10.15" customHeight="1" x14ac:dyDescent="0.2">
      <c r="A9" s="1959"/>
      <c r="B9" s="1959"/>
      <c r="C9" s="1959"/>
      <c r="D9" s="1959"/>
      <c r="E9" s="1959"/>
      <c r="F9" s="1959"/>
      <c r="G9" s="1981"/>
      <c r="H9" s="1961"/>
      <c r="I9" s="1981"/>
      <c r="J9" s="1962"/>
      <c r="K9" s="1981"/>
      <c r="L9" s="1961"/>
      <c r="M9" s="1961"/>
      <c r="N9" s="1961"/>
      <c r="O9" s="1961"/>
      <c r="P9" s="1962"/>
      <c r="Q9" s="1961"/>
      <c r="R9" s="1961"/>
      <c r="S9" s="1961"/>
      <c r="T9" s="1965"/>
      <c r="U9" s="1965"/>
      <c r="V9" s="1961"/>
      <c r="W9" s="1961"/>
      <c r="X9" s="1961"/>
      <c r="Z9" s="1956"/>
    </row>
    <row r="10" spans="1:26" ht="15" customHeight="1" x14ac:dyDescent="0.2">
      <c r="A10" s="1982"/>
      <c r="B10" s="1982"/>
      <c r="C10" s="1982"/>
      <c r="D10" s="1982"/>
      <c r="E10" s="1982"/>
      <c r="F10" s="1982"/>
      <c r="G10" s="1983"/>
      <c r="H10" s="1984"/>
      <c r="I10" s="1983"/>
      <c r="J10" s="1985"/>
      <c r="K10" s="1983"/>
      <c r="L10" s="1984"/>
      <c r="M10" s="1984"/>
      <c r="N10" s="1984"/>
      <c r="O10" s="1984"/>
      <c r="P10" s="1985"/>
      <c r="Q10" s="1984"/>
      <c r="R10" s="1984"/>
      <c r="S10" s="1984"/>
      <c r="T10" s="1980"/>
      <c r="U10" s="1980"/>
      <c r="V10" s="1961"/>
      <c r="W10" s="1961"/>
      <c r="X10" s="1961"/>
      <c r="Y10" s="1986" t="s">
        <v>2119</v>
      </c>
      <c r="Z10" s="1956"/>
    </row>
    <row r="11" spans="1:26" ht="17.45" customHeight="1" x14ac:dyDescent="0.35">
      <c r="B11" s="1981"/>
      <c r="C11" s="1961"/>
      <c r="D11" s="1961"/>
      <c r="E11" s="1962" t="s">
        <v>2120</v>
      </c>
      <c r="F11" s="1962"/>
      <c r="G11" s="1987" t="s">
        <v>2121</v>
      </c>
      <c r="H11" s="1987"/>
      <c r="I11" s="1987"/>
      <c r="J11" s="1962"/>
      <c r="K11" s="1987" t="s">
        <v>2122</v>
      </c>
      <c r="L11" s="1987"/>
      <c r="M11" s="1987"/>
      <c r="N11" s="1961"/>
      <c r="O11" s="1961"/>
      <c r="P11" s="1962"/>
      <c r="Q11" s="1961"/>
      <c r="R11" s="1961"/>
      <c r="S11" s="1961"/>
      <c r="T11" s="2577" t="s">
        <v>2123</v>
      </c>
      <c r="U11" s="2577"/>
      <c r="V11" s="2577"/>
      <c r="W11" s="2577"/>
      <c r="X11" s="2577"/>
      <c r="Y11" s="1988" t="s">
        <v>2124</v>
      </c>
      <c r="Z11" s="1956"/>
    </row>
    <row r="12" spans="1:26" ht="18.75" customHeight="1" x14ac:dyDescent="0.35">
      <c r="B12" s="1981"/>
      <c r="C12" s="1962" t="s">
        <v>1264</v>
      </c>
      <c r="D12" s="1961"/>
      <c r="E12" s="1962" t="s">
        <v>2125</v>
      </c>
      <c r="F12" s="1962"/>
      <c r="G12" s="1962" t="s">
        <v>2126</v>
      </c>
      <c r="H12" s="1961"/>
      <c r="I12" s="1989" t="s">
        <v>2127</v>
      </c>
      <c r="J12" s="1962"/>
      <c r="K12" s="1962" t="s">
        <v>2126</v>
      </c>
      <c r="L12" s="1961"/>
      <c r="M12" s="1989" t="str">
        <f>+I12</f>
        <v>7/01/18 -</v>
      </c>
      <c r="N12" s="1961"/>
      <c r="O12" s="1962" t="s">
        <v>1261</v>
      </c>
      <c r="P12" s="1962"/>
      <c r="Q12" s="1962" t="s">
        <v>2128</v>
      </c>
      <c r="R12" s="1961"/>
      <c r="S12" s="1981" t="s">
        <v>1169</v>
      </c>
      <c r="T12" s="2574">
        <v>43646</v>
      </c>
      <c r="U12" s="2574"/>
      <c r="V12" s="2574"/>
      <c r="W12" s="1990">
        <v>43281</v>
      </c>
      <c r="X12" s="1990">
        <v>42916</v>
      </c>
      <c r="Y12" s="1991"/>
      <c r="Z12" s="1956"/>
    </row>
    <row r="13" spans="1:26" ht="15.75" customHeight="1" x14ac:dyDescent="0.2">
      <c r="A13" s="1981" t="s">
        <v>2129</v>
      </c>
      <c r="B13" s="1981"/>
      <c r="C13" s="1962" t="s">
        <v>2130</v>
      </c>
      <c r="D13" s="1961"/>
      <c r="E13" s="1962" t="s">
        <v>2130</v>
      </c>
      <c r="F13" s="1962"/>
      <c r="G13" s="1992" t="s">
        <v>2131</v>
      </c>
      <c r="H13" s="1961"/>
      <c r="I13" s="1992" t="s">
        <v>2132</v>
      </c>
      <c r="J13" s="1962"/>
      <c r="K13" s="1993" t="str">
        <f>+G13</f>
        <v>6/30/18</v>
      </c>
      <c r="L13" s="1961"/>
      <c r="M13" s="1993" t="str">
        <f>+I13</f>
        <v>6/30/19</v>
      </c>
      <c r="N13" s="1961"/>
      <c r="O13" s="1962" t="s">
        <v>2133</v>
      </c>
      <c r="P13" s="1962"/>
      <c r="Q13" s="1962" t="s">
        <v>1257</v>
      </c>
      <c r="R13" s="1961"/>
      <c r="S13" s="1962" t="s">
        <v>30</v>
      </c>
      <c r="T13" s="1994" t="s">
        <v>2134</v>
      </c>
      <c r="U13" s="1994" t="s">
        <v>2135</v>
      </c>
      <c r="V13" s="1995" t="s">
        <v>2136</v>
      </c>
      <c r="W13" s="1995" t="s">
        <v>2136</v>
      </c>
      <c r="X13" s="1995" t="s">
        <v>2136</v>
      </c>
      <c r="Y13" s="1986"/>
      <c r="Z13" s="1956"/>
    </row>
    <row r="14" spans="1:26" ht="18" customHeight="1" x14ac:dyDescent="0.35">
      <c r="A14" s="1996" t="s">
        <v>2137</v>
      </c>
      <c r="B14" s="1961"/>
      <c r="C14" s="1997" t="s">
        <v>2138</v>
      </c>
      <c r="D14" s="1961"/>
      <c r="E14" s="1997" t="s">
        <v>2139</v>
      </c>
      <c r="F14" s="1962"/>
      <c r="G14" s="1997" t="s">
        <v>2140</v>
      </c>
      <c r="H14" s="1961"/>
      <c r="I14" s="1997" t="s">
        <v>2141</v>
      </c>
      <c r="J14" s="1962"/>
      <c r="K14" s="1997" t="s">
        <v>2142</v>
      </c>
      <c r="L14" s="1961"/>
      <c r="M14" s="1997" t="s">
        <v>2143</v>
      </c>
      <c r="N14" s="1961"/>
      <c r="O14" s="1997" t="s">
        <v>2144</v>
      </c>
      <c r="P14" s="1962" t="s">
        <v>2145</v>
      </c>
      <c r="Q14" s="1997" t="s">
        <v>2146</v>
      </c>
      <c r="R14" s="1961"/>
      <c r="S14" s="1997" t="s">
        <v>2147</v>
      </c>
      <c r="T14" s="1998" t="s">
        <v>2148</v>
      </c>
      <c r="U14" s="1998" t="s">
        <v>2149</v>
      </c>
      <c r="V14" s="1999" t="s">
        <v>2150</v>
      </c>
      <c r="W14" s="1999" t="s">
        <v>2150</v>
      </c>
      <c r="X14" s="1999" t="s">
        <v>2150</v>
      </c>
      <c r="Y14" s="2000">
        <f>T12</f>
        <v>43646</v>
      </c>
      <c r="Z14" s="1956"/>
    </row>
    <row r="15" spans="1:26" ht="8.25" customHeight="1" x14ac:dyDescent="0.2">
      <c r="A15" s="1996"/>
      <c r="B15" s="1961"/>
      <c r="C15" s="1997"/>
      <c r="D15" s="1961"/>
      <c r="E15" s="1997"/>
      <c r="F15" s="1962"/>
      <c r="G15" s="1997"/>
      <c r="H15" s="1961"/>
      <c r="I15" s="1997"/>
      <c r="J15" s="1962"/>
      <c r="K15" s="1997"/>
      <c r="L15" s="1961"/>
      <c r="M15" s="1997"/>
      <c r="N15" s="1961"/>
      <c r="O15" s="1997"/>
      <c r="P15" s="1962"/>
      <c r="Q15" s="1997"/>
      <c r="R15" s="1961"/>
      <c r="S15" s="1997"/>
      <c r="T15" s="1998"/>
      <c r="U15" s="1998"/>
      <c r="V15" s="1961"/>
      <c r="W15" s="1961"/>
      <c r="X15" s="1961"/>
      <c r="Y15" s="1961"/>
      <c r="Z15" s="1956"/>
    </row>
    <row r="16" spans="1:26" ht="15" customHeight="1" x14ac:dyDescent="0.2">
      <c r="A16" s="2001" t="s">
        <v>2151</v>
      </c>
      <c r="B16" s="1961"/>
      <c r="C16" s="1962"/>
      <c r="D16" s="1961"/>
      <c r="E16" s="1962"/>
      <c r="F16" s="1962"/>
      <c r="G16" s="1962"/>
      <c r="H16" s="1961"/>
      <c r="I16" s="1962"/>
      <c r="J16" s="1962"/>
      <c r="K16" s="1962"/>
      <c r="L16" s="1961"/>
      <c r="M16" s="1962"/>
      <c r="N16" s="1961"/>
      <c r="O16" s="1962"/>
      <c r="P16" s="1962"/>
      <c r="Q16" s="1962"/>
      <c r="R16" s="1961"/>
      <c r="S16" s="1962"/>
      <c r="T16" s="1998"/>
      <c r="U16" s="1998"/>
      <c r="V16" s="1961"/>
      <c r="W16" s="1962"/>
      <c r="X16" s="1962"/>
      <c r="Y16" s="1961"/>
      <c r="Z16" s="1956"/>
    </row>
    <row r="17" spans="1:26" ht="15" customHeight="1" x14ac:dyDescent="0.2">
      <c r="A17" s="2001" t="s">
        <v>2152</v>
      </c>
      <c r="B17" s="1961"/>
      <c r="C17" s="1997"/>
      <c r="D17" s="1961"/>
      <c r="E17" s="1997"/>
      <c r="F17" s="1962"/>
      <c r="G17" s="1997"/>
      <c r="H17" s="1961"/>
      <c r="I17" s="1997"/>
      <c r="J17" s="1962"/>
      <c r="K17" s="1997"/>
      <c r="L17" s="1961"/>
      <c r="M17" s="1997"/>
      <c r="N17" s="1961"/>
      <c r="O17" s="1997"/>
      <c r="P17" s="1962"/>
      <c r="Q17" s="1997"/>
      <c r="R17" s="1961"/>
      <c r="S17" s="1997"/>
      <c r="T17" s="1998"/>
      <c r="U17" s="1998"/>
      <c r="V17" s="1961"/>
      <c r="W17" s="1962"/>
      <c r="X17" s="1962"/>
      <c r="Y17" s="1961"/>
      <c r="Z17" s="1956"/>
    </row>
    <row r="18" spans="1:26" ht="15" customHeight="1" x14ac:dyDescent="0.2">
      <c r="A18" s="1971" t="s">
        <v>2153</v>
      </c>
      <c r="C18" s="1961"/>
      <c r="D18" s="1961"/>
      <c r="E18" s="1961"/>
      <c r="F18" s="1962"/>
      <c r="G18" s="1961"/>
      <c r="H18" s="1961"/>
      <c r="I18" s="1961" t="s">
        <v>1169</v>
      </c>
      <c r="J18" s="1962"/>
      <c r="K18" s="1961"/>
      <c r="L18" s="1961"/>
      <c r="M18" s="1961"/>
      <c r="N18" s="1961"/>
      <c r="O18" s="1961"/>
      <c r="P18" s="1962"/>
      <c r="Q18" s="1961"/>
      <c r="R18" s="1961"/>
      <c r="S18" s="1961"/>
      <c r="T18" s="1980"/>
      <c r="U18" s="1980"/>
      <c r="V18" s="1961"/>
      <c r="W18" s="1962"/>
      <c r="X18" s="1962"/>
      <c r="Y18" s="1961"/>
      <c r="Z18" s="1956"/>
    </row>
    <row r="19" spans="1:26" ht="6.75" customHeight="1" x14ac:dyDescent="0.2">
      <c r="B19" s="1961"/>
      <c r="C19" s="1961"/>
      <c r="D19" s="1961"/>
      <c r="E19" s="1961"/>
      <c r="F19" s="1962"/>
      <c r="G19" s="1961"/>
      <c r="H19" s="1961"/>
      <c r="I19" s="1961"/>
      <c r="J19" s="1962"/>
      <c r="K19" s="1961"/>
      <c r="L19" s="1961"/>
      <c r="M19" s="1961"/>
      <c r="N19" s="1961"/>
      <c r="O19" s="1961"/>
      <c r="P19" s="1962"/>
      <c r="Q19" s="1961"/>
      <c r="R19" s="1961"/>
      <c r="S19" s="1961"/>
      <c r="T19" s="1980"/>
      <c r="U19" s="1980"/>
      <c r="V19" s="1961"/>
      <c r="W19" s="1962"/>
      <c r="X19" s="1962"/>
      <c r="Y19" s="1961"/>
      <c r="Z19" s="1956"/>
    </row>
    <row r="20" spans="1:26" ht="15" customHeight="1" x14ac:dyDescent="0.2">
      <c r="A20" s="2002" t="s">
        <v>2154</v>
      </c>
      <c r="B20" s="1981" t="s">
        <v>2155</v>
      </c>
      <c r="C20" s="2003" t="s">
        <v>2156</v>
      </c>
      <c r="D20" s="1961"/>
      <c r="E20" s="1962" t="s">
        <v>2157</v>
      </c>
      <c r="F20" s="1962"/>
      <c r="G20" s="2004">
        <v>557972</v>
      </c>
      <c r="H20" s="2005"/>
      <c r="I20" s="2004">
        <f>684270-557972</f>
        <v>126298</v>
      </c>
      <c r="J20" s="2004"/>
      <c r="K20" s="2004">
        <v>557972</v>
      </c>
      <c r="L20" s="2004"/>
      <c r="M20" s="2004">
        <v>126298</v>
      </c>
      <c r="N20" s="2004"/>
      <c r="O20" s="2004"/>
      <c r="P20" s="2005"/>
      <c r="Q20" s="2006">
        <f>K20+M20+O20</f>
        <v>684270</v>
      </c>
      <c r="R20" s="2004"/>
      <c r="S20" s="2007" t="s">
        <v>2158</v>
      </c>
      <c r="T20" s="2008" t="s">
        <v>2159</v>
      </c>
      <c r="U20" s="2009" t="s">
        <v>2160</v>
      </c>
      <c r="V20" s="1961">
        <f>M20</f>
        <v>126298</v>
      </c>
      <c r="W20" s="1962" t="s">
        <v>885</v>
      </c>
      <c r="X20" s="1962" t="s">
        <v>885</v>
      </c>
      <c r="Y20" s="1961">
        <f>IF(+G20+I20-K20-M20&lt;0,0,+G20+I20-K20-M20)</f>
        <v>0</v>
      </c>
      <c r="Z20" s="1956"/>
    </row>
    <row r="21" spans="1:26" ht="15" customHeight="1" x14ac:dyDescent="0.2">
      <c r="A21" s="2002" t="s">
        <v>2154</v>
      </c>
      <c r="B21" s="1981" t="s">
        <v>2155</v>
      </c>
      <c r="C21" s="2003">
        <v>10.555</v>
      </c>
      <c r="D21" s="1961"/>
      <c r="E21" s="1962" t="s">
        <v>2161</v>
      </c>
      <c r="F21" s="1962"/>
      <c r="G21" s="2004"/>
      <c r="H21" s="2004"/>
      <c r="I21" s="2004">
        <v>577881</v>
      </c>
      <c r="J21" s="2005"/>
      <c r="K21" s="2004"/>
      <c r="L21" s="2004"/>
      <c r="M21" s="2004">
        <v>577881</v>
      </c>
      <c r="N21" s="2004"/>
      <c r="O21" s="2004"/>
      <c r="P21" s="2010" t="s">
        <v>2162</v>
      </c>
      <c r="Q21" s="2006">
        <f>K21+M21+O21</f>
        <v>577881</v>
      </c>
      <c r="R21" s="2004"/>
      <c r="S21" s="2007" t="s">
        <v>2158</v>
      </c>
      <c r="T21" s="2008" t="s">
        <v>2159</v>
      </c>
      <c r="U21" s="2009" t="s">
        <v>2160</v>
      </c>
      <c r="V21" s="1961">
        <f>M21</f>
        <v>577881</v>
      </c>
      <c r="W21" s="1962" t="s">
        <v>885</v>
      </c>
      <c r="X21" s="1962" t="s">
        <v>885</v>
      </c>
      <c r="Y21" s="1961">
        <f>IF(+G21+I21-K21-M21&lt;0,0,+G21+I21-K21-M21)</f>
        <v>0</v>
      </c>
      <c r="Z21" s="1956"/>
    </row>
    <row r="22" spans="1:26" ht="15" customHeight="1" x14ac:dyDescent="0.2">
      <c r="A22" s="2002" t="s">
        <v>1169</v>
      </c>
      <c r="B22" s="1981"/>
      <c r="C22" s="2003"/>
      <c r="D22" s="1961"/>
      <c r="E22" s="1962"/>
      <c r="F22" s="1962"/>
      <c r="G22" s="2004"/>
      <c r="H22" s="2004"/>
      <c r="I22" s="2004"/>
      <c r="J22" s="2005"/>
      <c r="K22" s="2004"/>
      <c r="L22" s="2004"/>
      <c r="M22" s="2004"/>
      <c r="N22" s="2004"/>
      <c r="O22" s="2004"/>
      <c r="P22" s="2005"/>
      <c r="Q22" s="2006"/>
      <c r="R22" s="2004"/>
      <c r="S22" s="2007"/>
      <c r="T22" s="2008"/>
      <c r="U22" s="2009"/>
      <c r="V22" s="1961"/>
      <c r="W22" s="1962"/>
      <c r="X22" s="1962"/>
      <c r="Y22" s="1961"/>
      <c r="Z22" s="1956"/>
    </row>
    <row r="23" spans="1:26" ht="15" customHeight="1" x14ac:dyDescent="0.2">
      <c r="A23" s="2002"/>
      <c r="B23" s="1981" t="s">
        <v>2163</v>
      </c>
      <c r="C23" s="2003">
        <v>10.555</v>
      </c>
      <c r="D23" s="1961"/>
      <c r="E23" s="1962" t="s">
        <v>2164</v>
      </c>
      <c r="F23" s="1962"/>
      <c r="G23" s="2004"/>
      <c r="H23" s="2004"/>
      <c r="I23" s="2004"/>
      <c r="J23" s="2005"/>
      <c r="K23" s="2004">
        <v>39407</v>
      </c>
      <c r="L23" s="2004"/>
      <c r="M23" s="2004"/>
      <c r="N23" s="2004"/>
      <c r="O23" s="2004"/>
      <c r="P23" s="2005"/>
      <c r="Q23" s="2006">
        <f>K23+M23+O23</f>
        <v>39407</v>
      </c>
      <c r="R23" s="2004"/>
      <c r="S23" s="2007" t="s">
        <v>2158</v>
      </c>
      <c r="T23" s="2008"/>
      <c r="U23" s="2009"/>
      <c r="V23" s="1961">
        <f>M23</f>
        <v>0</v>
      </c>
      <c r="W23" s="1962" t="s">
        <v>885</v>
      </c>
      <c r="X23" s="1962" t="s">
        <v>885</v>
      </c>
      <c r="Y23" s="1961">
        <f>IF(+G23+I23-K23-M23&lt;0,0,+G23+I23-K23-M23)</f>
        <v>0</v>
      </c>
      <c r="Z23" s="1956"/>
    </row>
    <row r="24" spans="1:26" ht="15" customHeight="1" x14ac:dyDescent="0.2">
      <c r="A24" s="2002" t="s">
        <v>2154</v>
      </c>
      <c r="B24" s="1981" t="s">
        <v>2163</v>
      </c>
      <c r="C24" s="2003">
        <v>10.555</v>
      </c>
      <c r="D24" s="1961"/>
      <c r="E24" s="1962" t="s">
        <v>2165</v>
      </c>
      <c r="F24" s="1962"/>
      <c r="G24" s="2004"/>
      <c r="H24" s="2004"/>
      <c r="I24" s="2004"/>
      <c r="J24" s="2005"/>
      <c r="K24" s="2004"/>
      <c r="L24" s="2004"/>
      <c r="M24" s="2004">
        <v>18735</v>
      </c>
      <c r="N24" s="2004"/>
      <c r="O24" s="2004"/>
      <c r="P24" s="2005"/>
      <c r="Q24" s="2006">
        <f>K24+M24+O24</f>
        <v>18735</v>
      </c>
      <c r="R24" s="2004"/>
      <c r="S24" s="2007" t="s">
        <v>2158</v>
      </c>
      <c r="T24" s="2008" t="s">
        <v>2159</v>
      </c>
      <c r="U24" s="2009" t="s">
        <v>2160</v>
      </c>
      <c r="V24" s="1961">
        <f>M24</f>
        <v>18735</v>
      </c>
      <c r="W24" s="1962" t="s">
        <v>885</v>
      </c>
      <c r="X24" s="1962" t="s">
        <v>885</v>
      </c>
      <c r="Y24" s="1961">
        <f>IF(+G24+I24-K24-M24&lt;0,0,+G24+I24-K24-M24)</f>
        <v>0</v>
      </c>
      <c r="Z24" s="1956"/>
    </row>
    <row r="25" spans="1:26" ht="15" customHeight="1" x14ac:dyDescent="0.2">
      <c r="A25" s="2002" t="s">
        <v>1169</v>
      </c>
      <c r="B25" s="1981"/>
      <c r="C25" s="2003"/>
      <c r="D25" s="1961"/>
      <c r="E25" s="1962"/>
      <c r="F25" s="1962"/>
      <c r="G25" s="2004"/>
      <c r="H25" s="2004"/>
      <c r="I25" s="2004"/>
      <c r="J25" s="2005"/>
      <c r="K25" s="2004"/>
      <c r="L25" s="2004"/>
      <c r="M25" s="2004"/>
      <c r="N25" s="2004"/>
      <c r="O25" s="2004"/>
      <c r="P25" s="2005"/>
      <c r="Q25" s="2006"/>
      <c r="R25" s="2004"/>
      <c r="S25" s="2007"/>
      <c r="T25" s="2008"/>
      <c r="U25" s="2009"/>
      <c r="V25" s="1961"/>
      <c r="W25" s="1962"/>
      <c r="X25" s="1962"/>
      <c r="Y25" s="1961"/>
      <c r="Z25" s="1956"/>
    </row>
    <row r="26" spans="1:26" ht="15" customHeight="1" x14ac:dyDescent="0.2">
      <c r="A26" s="2002"/>
      <c r="B26" s="1981" t="s">
        <v>2166</v>
      </c>
      <c r="C26" s="2003">
        <v>10.555</v>
      </c>
      <c r="D26" s="1961"/>
      <c r="E26" s="1962" t="s">
        <v>2164</v>
      </c>
      <c r="F26" s="1962"/>
      <c r="G26" s="2004"/>
      <c r="H26" s="2004"/>
      <c r="I26" s="2004"/>
      <c r="J26" s="2005"/>
      <c r="K26" s="2004">
        <v>54357</v>
      </c>
      <c r="L26" s="2004"/>
      <c r="M26" s="2004"/>
      <c r="N26" s="2004"/>
      <c r="O26" s="2004"/>
      <c r="P26" s="2005"/>
      <c r="Q26" s="2006">
        <f>K26+M26+O26</f>
        <v>54357</v>
      </c>
      <c r="R26" s="2004"/>
      <c r="S26" s="2007" t="s">
        <v>2158</v>
      </c>
      <c r="T26" s="2008" t="s">
        <v>2159</v>
      </c>
      <c r="U26" s="2009"/>
      <c r="V26" s="1961">
        <f>M26</f>
        <v>0</v>
      </c>
      <c r="W26" s="1962" t="s">
        <v>885</v>
      </c>
      <c r="X26" s="1962" t="s">
        <v>885</v>
      </c>
      <c r="Y26" s="1961">
        <f>IF(+G26+I26-K26-M26&lt;0,0,+G26+I26-K26-M26)</f>
        <v>0</v>
      </c>
      <c r="Z26" s="1956"/>
    </row>
    <row r="27" spans="1:26" ht="15" customHeight="1" x14ac:dyDescent="0.2">
      <c r="A27" s="2002" t="s">
        <v>2154</v>
      </c>
      <c r="B27" s="1981" t="s">
        <v>2166</v>
      </c>
      <c r="C27" s="2003">
        <v>10.555</v>
      </c>
      <c r="D27" s="1961"/>
      <c r="E27" s="1962" t="s">
        <v>2165</v>
      </c>
      <c r="F27" s="1962"/>
      <c r="G27" s="2004"/>
      <c r="H27" s="2004"/>
      <c r="I27" s="2004"/>
      <c r="J27" s="2005"/>
      <c r="K27" s="2004"/>
      <c r="L27" s="2004"/>
      <c r="M27" s="2004">
        <v>74230</v>
      </c>
      <c r="N27" s="2004"/>
      <c r="O27" s="2004"/>
      <c r="P27" s="2005"/>
      <c r="Q27" s="2006">
        <f>K27+M27+O27</f>
        <v>74230</v>
      </c>
      <c r="R27" s="2004"/>
      <c r="S27" s="2007" t="s">
        <v>2158</v>
      </c>
      <c r="T27" s="2008" t="s">
        <v>2159</v>
      </c>
      <c r="U27" s="2009" t="s">
        <v>2160</v>
      </c>
      <c r="V27" s="1961">
        <f>M27</f>
        <v>74230</v>
      </c>
      <c r="W27" s="1962" t="s">
        <v>885</v>
      </c>
      <c r="X27" s="1962" t="s">
        <v>885</v>
      </c>
      <c r="Y27" s="1961">
        <f>IF(+G27+I27-K27-M27&lt;0,0,+G27+I27-K27-M27)</f>
        <v>0</v>
      </c>
      <c r="Z27" s="1956"/>
    </row>
    <row r="28" spans="1:26" ht="6.75" customHeight="1" x14ac:dyDescent="0.2">
      <c r="A28" s="2002" t="s">
        <v>1169</v>
      </c>
      <c r="B28" s="1981"/>
      <c r="C28" s="2003"/>
      <c r="D28" s="1961"/>
      <c r="E28" s="1962"/>
      <c r="F28" s="1962"/>
      <c r="G28" s="2004"/>
      <c r="H28" s="2004"/>
      <c r="I28" s="2004"/>
      <c r="J28" s="2005"/>
      <c r="K28" s="2004"/>
      <c r="L28" s="2004"/>
      <c r="M28" s="2004"/>
      <c r="N28" s="2004"/>
      <c r="O28" s="2004"/>
      <c r="P28" s="2005"/>
      <c r="Q28" s="2006"/>
      <c r="R28" s="2004"/>
      <c r="S28" s="2007"/>
      <c r="T28" s="2008"/>
      <c r="U28" s="2009"/>
      <c r="V28" s="1961"/>
      <c r="W28" s="1962"/>
      <c r="X28" s="1962"/>
      <c r="Y28" s="1961"/>
      <c r="Z28" s="1956"/>
    </row>
    <row r="29" spans="1:26" ht="15" customHeight="1" x14ac:dyDescent="0.2">
      <c r="A29" s="2002" t="s">
        <v>2154</v>
      </c>
      <c r="B29" s="1981" t="s">
        <v>1059</v>
      </c>
      <c r="C29" s="2003">
        <v>10.553000000000001</v>
      </c>
      <c r="D29" s="1961"/>
      <c r="E29" s="1962" t="s">
        <v>2167</v>
      </c>
      <c r="F29" s="1962"/>
      <c r="G29" s="2004">
        <v>204975</v>
      </c>
      <c r="H29" s="2005"/>
      <c r="I29" s="2004">
        <f>250019-204975</f>
        <v>45044</v>
      </c>
      <c r="J29" s="2004"/>
      <c r="K29" s="2004">
        <v>204975</v>
      </c>
      <c r="L29" s="2004"/>
      <c r="M29" s="2004">
        <v>45044</v>
      </c>
      <c r="N29" s="2004"/>
      <c r="O29" s="2004" t="s">
        <v>1169</v>
      </c>
      <c r="P29" s="2004"/>
      <c r="Q29" s="2006">
        <f>K29+M29+O29</f>
        <v>250019</v>
      </c>
      <c r="R29" s="2004"/>
      <c r="S29" s="2007" t="s">
        <v>2158</v>
      </c>
      <c r="T29" s="2008" t="s">
        <v>2159</v>
      </c>
      <c r="U29" s="2009" t="s">
        <v>2160</v>
      </c>
      <c r="V29" s="1961">
        <f>M29</f>
        <v>45044</v>
      </c>
      <c r="W29" s="1962" t="s">
        <v>885</v>
      </c>
      <c r="X29" s="1962" t="s">
        <v>885</v>
      </c>
      <c r="Y29" s="1961"/>
      <c r="Z29" s="1956"/>
    </row>
    <row r="30" spans="1:26" ht="15" customHeight="1" x14ac:dyDescent="0.2">
      <c r="A30" s="2002" t="s">
        <v>2154</v>
      </c>
      <c r="B30" s="1981" t="s">
        <v>1059</v>
      </c>
      <c r="C30" s="2003">
        <v>10.553000000000001</v>
      </c>
      <c r="D30" s="1961"/>
      <c r="E30" s="1962" t="s">
        <v>2168</v>
      </c>
      <c r="F30" s="1962"/>
      <c r="G30" s="2004"/>
      <c r="H30" s="2004"/>
      <c r="I30" s="2004">
        <v>193967</v>
      </c>
      <c r="J30" s="2005"/>
      <c r="K30" s="2004"/>
      <c r="L30" s="2004"/>
      <c r="M30" s="2004">
        <v>193967</v>
      </c>
      <c r="N30" s="2004"/>
      <c r="O30" s="2004"/>
      <c r="P30" s="2010" t="s">
        <v>2162</v>
      </c>
      <c r="Q30" s="2006">
        <f>K30+M30+O30</f>
        <v>193967</v>
      </c>
      <c r="R30" s="2004"/>
      <c r="S30" s="2007" t="s">
        <v>2158</v>
      </c>
      <c r="T30" s="2008" t="s">
        <v>2159</v>
      </c>
      <c r="U30" s="2009" t="s">
        <v>2160</v>
      </c>
      <c r="V30" s="1961">
        <f>M30</f>
        <v>193967</v>
      </c>
      <c r="W30" s="1962" t="s">
        <v>885</v>
      </c>
      <c r="X30" s="1962" t="s">
        <v>885</v>
      </c>
      <c r="Y30" s="1961"/>
      <c r="Z30" s="1956"/>
    </row>
    <row r="31" spans="1:26" ht="8.25" customHeight="1" x14ac:dyDescent="0.2">
      <c r="A31" s="2002" t="s">
        <v>1169</v>
      </c>
      <c r="B31" s="1981" t="s">
        <v>1169</v>
      </c>
      <c r="C31" s="2003" t="s">
        <v>1169</v>
      </c>
      <c r="D31" s="1961" t="s">
        <v>1169</v>
      </c>
      <c r="E31" s="1962" t="s">
        <v>1169</v>
      </c>
      <c r="F31" s="1962" t="s">
        <v>1169</v>
      </c>
      <c r="G31" s="2004"/>
      <c r="H31" s="2004"/>
      <c r="I31" s="2004"/>
      <c r="J31" s="2004"/>
      <c r="K31" s="2004"/>
      <c r="L31" s="2004"/>
      <c r="M31" s="2004"/>
      <c r="N31" s="2004" t="s">
        <v>1169</v>
      </c>
      <c r="O31" s="2004" t="s">
        <v>1169</v>
      </c>
      <c r="P31" s="2004"/>
      <c r="Q31" s="2006" t="s">
        <v>1169</v>
      </c>
      <c r="R31" s="2004"/>
      <c r="S31" s="2007" t="s">
        <v>1169</v>
      </c>
      <c r="T31" s="2008" t="s">
        <v>1169</v>
      </c>
      <c r="U31" s="2009"/>
      <c r="V31" s="1961"/>
      <c r="W31" s="1962" t="s">
        <v>1169</v>
      </c>
      <c r="X31" s="1962" t="s">
        <v>1169</v>
      </c>
      <c r="Y31" s="1961">
        <f>IF(+G31+I31-K31-M31&lt;0,0,+G31+I31-K31-M31)</f>
        <v>0</v>
      </c>
      <c r="Z31" s="1956"/>
    </row>
    <row r="32" spans="1:26" ht="15" customHeight="1" x14ac:dyDescent="0.2">
      <c r="A32" s="2002" t="s">
        <v>2154</v>
      </c>
      <c r="B32" s="1981" t="s">
        <v>1451</v>
      </c>
      <c r="C32" s="2003">
        <v>10.558999999999999</v>
      </c>
      <c r="D32" s="1961"/>
      <c r="E32" s="1962" t="s">
        <v>2169</v>
      </c>
      <c r="F32" s="1962"/>
      <c r="G32" s="2004">
        <v>8048</v>
      </c>
      <c r="H32" s="2004"/>
      <c r="I32" s="2004">
        <f>53256-8048+1</f>
        <v>45209</v>
      </c>
      <c r="J32" s="2005"/>
      <c r="K32" s="2004">
        <v>40120</v>
      </c>
      <c r="L32" s="2004"/>
      <c r="M32" s="2004">
        <f>53256-40120+1</f>
        <v>13137</v>
      </c>
      <c r="N32" s="2004"/>
      <c r="O32" s="2004"/>
      <c r="P32" s="2005"/>
      <c r="Q32" s="2006">
        <f>K32+M32+O32</f>
        <v>53257</v>
      </c>
      <c r="R32" s="2004"/>
      <c r="S32" s="2007" t="s">
        <v>2158</v>
      </c>
      <c r="T32" s="2008" t="s">
        <v>2159</v>
      </c>
      <c r="U32" s="2009" t="s">
        <v>2160</v>
      </c>
      <c r="V32" s="1961">
        <f>M32</f>
        <v>13137</v>
      </c>
      <c r="W32" s="1962" t="s">
        <v>885</v>
      </c>
      <c r="X32" s="1962" t="s">
        <v>885</v>
      </c>
      <c r="Y32" s="1961"/>
      <c r="Z32" s="1956"/>
    </row>
    <row r="33" spans="1:26" ht="15" customHeight="1" x14ac:dyDescent="0.2">
      <c r="A33" s="2002" t="s">
        <v>2154</v>
      </c>
      <c r="B33" s="1981" t="s">
        <v>1451</v>
      </c>
      <c r="C33" s="2003">
        <v>10.558999999999999</v>
      </c>
      <c r="D33" s="1961"/>
      <c r="E33" s="1962" t="s">
        <v>2170</v>
      </c>
      <c r="F33" s="1962"/>
      <c r="G33" s="2011"/>
      <c r="H33" s="2012"/>
      <c r="I33" s="2011">
        <v>1444</v>
      </c>
      <c r="J33" s="2005"/>
      <c r="K33" s="2011"/>
      <c r="L33" s="2012"/>
      <c r="M33" s="2011">
        <v>37106</v>
      </c>
      <c r="N33" s="2004"/>
      <c r="O33" s="2011" t="s">
        <v>1169</v>
      </c>
      <c r="P33" s="2010" t="s">
        <v>2162</v>
      </c>
      <c r="Q33" s="2011">
        <f>K33+M33+O33</f>
        <v>37106</v>
      </c>
      <c r="R33" s="2004"/>
      <c r="S33" s="2007" t="s">
        <v>2158</v>
      </c>
      <c r="T33" s="2008" t="s">
        <v>2159</v>
      </c>
      <c r="U33" s="2009" t="s">
        <v>2160</v>
      </c>
      <c r="V33" s="1961">
        <f>M33</f>
        <v>37106</v>
      </c>
      <c r="W33" s="1962" t="s">
        <v>885</v>
      </c>
      <c r="X33" s="1962" t="s">
        <v>885</v>
      </c>
      <c r="Y33" s="1961"/>
      <c r="Z33" s="1956"/>
    </row>
    <row r="34" spans="1:26" ht="10.5" hidden="1" customHeight="1" x14ac:dyDescent="0.2">
      <c r="A34" s="2002"/>
      <c r="B34" s="1981"/>
      <c r="C34" s="2003"/>
      <c r="D34" s="1961"/>
      <c r="E34" s="1962"/>
      <c r="F34" s="1962"/>
      <c r="G34" s="2004"/>
      <c r="H34" s="2004"/>
      <c r="I34" s="2004"/>
      <c r="J34" s="2004"/>
      <c r="K34" s="2004"/>
      <c r="L34" s="2004"/>
      <c r="M34" s="2004"/>
      <c r="N34" s="2004"/>
      <c r="O34" s="2004"/>
      <c r="P34" s="2004"/>
      <c r="Q34" s="2006"/>
      <c r="R34" s="2004"/>
      <c r="S34" s="2007"/>
      <c r="T34" s="2013"/>
      <c r="U34" s="2009"/>
      <c r="V34" s="1961"/>
      <c r="W34" s="1962"/>
      <c r="X34" s="1962"/>
      <c r="Y34" s="1961"/>
      <c r="Z34" s="1956"/>
    </row>
    <row r="35" spans="1:26" ht="15" hidden="1" customHeight="1" x14ac:dyDescent="0.2">
      <c r="A35" s="2002"/>
      <c r="B35" s="1981" t="s">
        <v>2171</v>
      </c>
      <c r="C35" s="2003">
        <v>10.579000000000001</v>
      </c>
      <c r="D35" s="1961"/>
      <c r="E35" s="1962" t="s">
        <v>2172</v>
      </c>
      <c r="F35" s="1962"/>
      <c r="G35" s="2014">
        <v>0</v>
      </c>
      <c r="H35" s="2015"/>
      <c r="I35" s="2014">
        <v>0</v>
      </c>
      <c r="J35" s="2015"/>
      <c r="K35" s="2014">
        <v>0</v>
      </c>
      <c r="L35" s="2015"/>
      <c r="M35" s="2014">
        <v>0</v>
      </c>
      <c r="N35" s="2015"/>
      <c r="O35" s="2015" t="s">
        <v>1169</v>
      </c>
      <c r="P35" s="2015"/>
      <c r="Q35" s="2014">
        <f>K35+M35+O35</f>
        <v>0</v>
      </c>
      <c r="R35" s="2004"/>
      <c r="S35" s="2007" t="s">
        <v>2158</v>
      </c>
      <c r="T35" s="2013" t="s">
        <v>2173</v>
      </c>
      <c r="U35" s="2009" t="s">
        <v>2174</v>
      </c>
      <c r="V35" s="1961"/>
      <c r="W35" s="1962"/>
      <c r="X35" s="1962" t="s">
        <v>885</v>
      </c>
      <c r="Y35" s="1961">
        <f>IF(+G35+I35-K35-M35&lt;0,0,+G35+I35-K35-M35)</f>
        <v>0</v>
      </c>
      <c r="Z35" s="1956"/>
    </row>
    <row r="36" spans="1:26" ht="15" hidden="1" customHeight="1" x14ac:dyDescent="0.2">
      <c r="A36" s="2002"/>
      <c r="B36" s="1981"/>
      <c r="C36" s="2003"/>
      <c r="D36" s="1961"/>
      <c r="E36" s="1962"/>
      <c r="F36" s="1962"/>
      <c r="G36" s="2004"/>
      <c r="H36" s="2004"/>
      <c r="I36" s="2004"/>
      <c r="J36" s="2016"/>
      <c r="K36" s="2004"/>
      <c r="L36" s="2004"/>
      <c r="M36" s="2004"/>
      <c r="N36" s="2016"/>
      <c r="O36" s="2004"/>
      <c r="P36" s="2004"/>
      <c r="Q36" s="2006"/>
      <c r="R36" s="2004"/>
      <c r="S36" s="2007"/>
      <c r="T36" s="2013"/>
      <c r="U36" s="2009"/>
      <c r="V36" s="1961"/>
      <c r="W36" s="1962"/>
      <c r="X36" s="1962"/>
      <c r="Y36" s="1961"/>
      <c r="Z36" s="1956"/>
    </row>
    <row r="37" spans="1:26" ht="15" hidden="1" customHeight="1" x14ac:dyDescent="0.2">
      <c r="A37" s="2002" t="s">
        <v>2154</v>
      </c>
      <c r="B37" s="1981" t="s">
        <v>2175</v>
      </c>
      <c r="C37" s="2003">
        <v>10.582000000000001</v>
      </c>
      <c r="D37" s="1961"/>
      <c r="E37" s="1962" t="s">
        <v>2176</v>
      </c>
      <c r="F37" s="1962"/>
      <c r="G37" s="2017">
        <v>0</v>
      </c>
      <c r="H37" s="2004"/>
      <c r="I37" s="2017">
        <v>0</v>
      </c>
      <c r="J37" s="2016"/>
      <c r="K37" s="2017">
        <v>0</v>
      </c>
      <c r="L37" s="2016"/>
      <c r="M37" s="2017">
        <v>0</v>
      </c>
      <c r="N37" s="2016"/>
      <c r="O37" s="2017">
        <v>0</v>
      </c>
      <c r="P37" s="2004"/>
      <c r="Q37" s="2018">
        <f>K37+M37+O37</f>
        <v>0</v>
      </c>
      <c r="R37" s="2004"/>
      <c r="S37" s="2007" t="s">
        <v>2158</v>
      </c>
      <c r="T37" s="2013" t="s">
        <v>2159</v>
      </c>
      <c r="U37" s="2009" t="s">
        <v>2160</v>
      </c>
      <c r="V37" s="1961"/>
      <c r="W37" s="1962"/>
      <c r="X37" s="1962"/>
      <c r="Y37" s="1961"/>
      <c r="Z37" s="1956"/>
    </row>
    <row r="38" spans="1:26" ht="18.75" hidden="1" customHeight="1" x14ac:dyDescent="0.2">
      <c r="A38" s="2002" t="s">
        <v>2154</v>
      </c>
      <c r="B38" s="1981" t="s">
        <v>2175</v>
      </c>
      <c r="C38" s="2003">
        <v>10.582000000000001</v>
      </c>
      <c r="D38" s="1961"/>
      <c r="E38" s="1962" t="s">
        <v>2177</v>
      </c>
      <c r="F38" s="1962"/>
      <c r="G38" s="2017">
        <v>0</v>
      </c>
      <c r="H38" s="2004"/>
      <c r="I38" s="2017">
        <v>0</v>
      </c>
      <c r="J38" s="2016"/>
      <c r="K38" s="2017">
        <v>0</v>
      </c>
      <c r="L38" s="2016"/>
      <c r="M38" s="2017">
        <v>0</v>
      </c>
      <c r="N38" s="2016"/>
      <c r="O38" s="2017">
        <v>0</v>
      </c>
      <c r="P38" s="2004">
        <v>-2</v>
      </c>
      <c r="Q38" s="2018">
        <f>K38+M38+O38</f>
        <v>0</v>
      </c>
      <c r="R38" s="2004"/>
      <c r="S38" s="2007" t="s">
        <v>2158</v>
      </c>
      <c r="T38" s="2019" t="s">
        <v>2159</v>
      </c>
      <c r="U38" s="2009" t="s">
        <v>2160</v>
      </c>
      <c r="V38" s="1961">
        <f>M38</f>
        <v>0</v>
      </c>
      <c r="W38" s="1962" t="s">
        <v>885</v>
      </c>
      <c r="X38" s="1962" t="s">
        <v>885</v>
      </c>
      <c r="Y38" s="1961">
        <f>IF(+G38+I38-K38-M38&lt;0,0,+G38+I38-K38-M38)</f>
        <v>0</v>
      </c>
      <c r="Z38" s="1956"/>
    </row>
    <row r="39" spans="1:26" ht="7.5" customHeight="1" x14ac:dyDescent="0.2">
      <c r="A39" s="2002"/>
      <c r="B39" s="1961"/>
      <c r="C39" s="1961"/>
      <c r="D39" s="1961"/>
      <c r="E39" s="1961"/>
      <c r="F39" s="1962"/>
      <c r="G39" s="2004"/>
      <c r="H39" s="2004"/>
      <c r="I39" s="2004"/>
      <c r="J39" s="2005"/>
      <c r="K39" s="2004"/>
      <c r="L39" s="2004"/>
      <c r="M39" s="2004"/>
      <c r="N39" s="2004"/>
      <c r="O39" s="2004"/>
      <c r="P39" s="2005"/>
      <c r="Q39" s="2004"/>
      <c r="R39" s="2004"/>
      <c r="S39" s="2004"/>
      <c r="T39" s="2020"/>
      <c r="U39" s="2009"/>
      <c r="V39" s="1961"/>
      <c r="W39" s="1962"/>
      <c r="X39" s="1962"/>
      <c r="Y39" s="1961"/>
      <c r="Z39" s="1956"/>
    </row>
    <row r="40" spans="1:26" ht="15.75" customHeight="1" x14ac:dyDescent="0.2">
      <c r="A40" s="2001" t="s">
        <v>2178</v>
      </c>
      <c r="B40" s="1961"/>
      <c r="C40" s="1961"/>
      <c r="D40" s="1961"/>
      <c r="E40" s="1961"/>
      <c r="F40" s="1962"/>
      <c r="G40" s="2011">
        <f>SUM(G20:G39)</f>
        <v>770995</v>
      </c>
      <c r="H40" s="2015"/>
      <c r="I40" s="2011">
        <f>SUM(I20:I38)</f>
        <v>989843</v>
      </c>
      <c r="J40" s="2015"/>
      <c r="K40" s="2011">
        <f>SUM(K20:K39)</f>
        <v>896831</v>
      </c>
      <c r="L40" s="2015"/>
      <c r="M40" s="2011">
        <f>SUM(M20:M39)</f>
        <v>1086398</v>
      </c>
      <c r="N40" s="2015"/>
      <c r="O40" s="2014">
        <f>SUM(O20:O39)</f>
        <v>0</v>
      </c>
      <c r="P40" s="2015"/>
      <c r="Q40" s="2011">
        <f>SUM(Q20:Q39)</f>
        <v>1983229</v>
      </c>
      <c r="R40" s="2004"/>
      <c r="S40" s="2004"/>
      <c r="T40" s="2020"/>
      <c r="U40" s="2009"/>
      <c r="V40" s="1961"/>
      <c r="W40" s="1962"/>
      <c r="X40" s="1962"/>
      <c r="Y40" s="1961"/>
      <c r="Z40" s="1956"/>
    </row>
    <row r="41" spans="1:26" ht="9" customHeight="1" x14ac:dyDescent="0.2">
      <c r="A41" s="2002"/>
      <c r="B41" s="1961"/>
      <c r="C41" s="1961"/>
      <c r="D41" s="1961"/>
      <c r="E41" s="1961"/>
      <c r="F41" s="1962"/>
      <c r="G41" s="2004"/>
      <c r="H41" s="2004"/>
      <c r="I41" s="2004"/>
      <c r="J41" s="2005"/>
      <c r="K41" s="2004"/>
      <c r="L41" s="2004"/>
      <c r="M41" s="2004"/>
      <c r="N41" s="2004"/>
      <c r="O41" s="2004"/>
      <c r="P41" s="2005"/>
      <c r="Q41" s="2004"/>
      <c r="R41" s="2004"/>
      <c r="S41" s="2004"/>
      <c r="T41" s="2020"/>
      <c r="U41" s="2009"/>
      <c r="V41" s="1961"/>
      <c r="W41" s="1962"/>
      <c r="X41" s="1962"/>
      <c r="Y41" s="1961"/>
      <c r="Z41" s="1956"/>
    </row>
    <row r="42" spans="1:26" ht="15" customHeight="1" x14ac:dyDescent="0.2">
      <c r="A42" s="2001" t="s">
        <v>2179</v>
      </c>
      <c r="B42" s="1961"/>
      <c r="C42" s="1961"/>
      <c r="D42" s="1961"/>
      <c r="E42" s="1961"/>
      <c r="F42" s="1962"/>
      <c r="G42" s="2004"/>
      <c r="H42" s="2004"/>
      <c r="I42" s="2004" t="s">
        <v>1169</v>
      </c>
      <c r="J42" s="2005"/>
      <c r="K42" s="2004"/>
      <c r="L42" s="2004"/>
      <c r="M42" s="2004"/>
      <c r="N42" s="2004"/>
      <c r="O42" s="2004"/>
      <c r="P42" s="2005"/>
      <c r="Q42" s="2004"/>
      <c r="R42" s="2004"/>
      <c r="S42" s="2004"/>
      <c r="T42" s="2021"/>
      <c r="U42" s="2022"/>
      <c r="V42" s="1961"/>
      <c r="W42" s="1962"/>
      <c r="X42" s="1962"/>
      <c r="Y42" s="1961"/>
      <c r="Z42" s="1956"/>
    </row>
    <row r="43" spans="1:26" ht="15" customHeight="1" x14ac:dyDescent="0.2">
      <c r="A43" s="2001" t="s">
        <v>2152</v>
      </c>
      <c r="B43" s="1961"/>
      <c r="C43" s="1961"/>
      <c r="D43" s="1961"/>
      <c r="E43" s="1961"/>
      <c r="F43" s="1962"/>
      <c r="G43" s="2004"/>
      <c r="H43" s="2004"/>
      <c r="I43" s="2004" t="s">
        <v>1169</v>
      </c>
      <c r="J43" s="2005"/>
      <c r="K43" s="2004"/>
      <c r="L43" s="2004"/>
      <c r="M43" s="2004"/>
      <c r="N43" s="2004"/>
      <c r="O43" s="2004"/>
      <c r="P43" s="2005"/>
      <c r="Q43" s="2004"/>
      <c r="R43" s="2004"/>
      <c r="S43" s="2004"/>
      <c r="T43" s="2020"/>
      <c r="U43" s="2009"/>
      <c r="V43" s="1961"/>
      <c r="W43" s="1962"/>
      <c r="X43" s="1962"/>
      <c r="Y43" s="1961"/>
      <c r="Z43" s="1956"/>
    </row>
    <row r="44" spans="1:26" ht="15" customHeight="1" x14ac:dyDescent="0.2">
      <c r="A44" s="2001" t="s">
        <v>2153</v>
      </c>
      <c r="B44" s="1961"/>
      <c r="C44" s="1961"/>
      <c r="D44" s="1961"/>
      <c r="E44" s="1961"/>
      <c r="F44" s="1962"/>
      <c r="G44" s="2004"/>
      <c r="H44" s="2004"/>
      <c r="I44" s="2004" t="s">
        <v>1169</v>
      </c>
      <c r="J44" s="2005"/>
      <c r="K44" s="2004"/>
      <c r="L44" s="2004"/>
      <c r="M44" s="2004"/>
      <c r="N44" s="2004"/>
      <c r="O44" s="2004"/>
      <c r="P44" s="2005"/>
      <c r="Q44" s="2004"/>
      <c r="R44" s="2004"/>
      <c r="S44" s="2004"/>
      <c r="T44" s="2020"/>
      <c r="U44" s="2009"/>
      <c r="V44" s="1961"/>
      <c r="W44" s="1962"/>
      <c r="X44" s="1962"/>
      <c r="Y44" s="1961"/>
      <c r="Z44" s="1956"/>
    </row>
    <row r="45" spans="1:26" ht="6.75" customHeight="1" x14ac:dyDescent="0.2">
      <c r="A45" s="2002"/>
      <c r="B45" s="1961"/>
      <c r="C45" s="1961"/>
      <c r="D45" s="1961"/>
      <c r="E45" s="1961"/>
      <c r="F45" s="1962"/>
      <c r="G45" s="2004"/>
      <c r="H45" s="2004"/>
      <c r="I45" s="2004"/>
      <c r="J45" s="2005"/>
      <c r="K45" s="2004"/>
      <c r="L45" s="2004"/>
      <c r="M45" s="2004"/>
      <c r="N45" s="2004"/>
      <c r="O45" s="2004" t="s">
        <v>1169</v>
      </c>
      <c r="P45" s="2005"/>
      <c r="Q45" s="2004"/>
      <c r="R45" s="2004"/>
      <c r="S45" s="2004"/>
      <c r="T45" s="2020"/>
      <c r="U45" s="2009"/>
      <c r="V45" s="1961"/>
      <c r="W45" s="1962"/>
      <c r="X45" s="1962"/>
      <c r="Y45" s="1961"/>
      <c r="Z45" s="1956"/>
    </row>
    <row r="46" spans="1:26" ht="15" customHeight="1" x14ac:dyDescent="0.2">
      <c r="A46" s="2002"/>
      <c r="B46" s="1961" t="s">
        <v>2180</v>
      </c>
      <c r="C46" s="1962" t="s">
        <v>2181</v>
      </c>
      <c r="D46" s="1961"/>
      <c r="E46" s="1962" t="s">
        <v>2182</v>
      </c>
      <c r="F46" s="1962"/>
      <c r="G46" s="2004"/>
      <c r="H46" s="2004"/>
      <c r="I46" s="2004">
        <v>7146</v>
      </c>
      <c r="J46" s="2005"/>
      <c r="K46" s="2004"/>
      <c r="L46" s="2004"/>
      <c r="M46" s="2004">
        <v>24146</v>
      </c>
      <c r="N46" s="2004"/>
      <c r="O46" s="2004">
        <v>10048</v>
      </c>
      <c r="P46" s="2010" t="s">
        <v>2162</v>
      </c>
      <c r="Q46" s="2006">
        <f>O46+M46+K46</f>
        <v>34194</v>
      </c>
      <c r="R46" s="2004"/>
      <c r="S46" s="2004">
        <v>34194</v>
      </c>
      <c r="T46" s="2013" t="s">
        <v>2173</v>
      </c>
      <c r="U46" s="2009" t="s">
        <v>2174</v>
      </c>
      <c r="V46" s="1961"/>
      <c r="W46" s="1962"/>
      <c r="X46" s="1962"/>
      <c r="Y46" s="1961"/>
      <c r="Z46" s="1956"/>
    </row>
    <row r="47" spans="1:26" ht="15" customHeight="1" x14ac:dyDescent="0.2">
      <c r="A47" s="2002"/>
      <c r="B47" s="1961"/>
      <c r="C47" s="1961"/>
      <c r="D47" s="1961"/>
      <c r="E47" s="1961"/>
      <c r="F47" s="1962"/>
      <c r="G47" s="2004"/>
      <c r="H47" s="2004"/>
      <c r="I47" s="2004"/>
      <c r="J47" s="2005"/>
      <c r="K47" s="2004"/>
      <c r="L47" s="2004"/>
      <c r="M47" s="2004"/>
      <c r="N47" s="2004"/>
      <c r="O47" s="2004"/>
      <c r="P47" s="2005"/>
      <c r="Q47" s="2004"/>
      <c r="R47" s="2004"/>
      <c r="S47" s="2004"/>
      <c r="T47" s="2020"/>
      <c r="U47" s="2009"/>
      <c r="V47" s="1961"/>
      <c r="W47" s="1962"/>
      <c r="X47" s="1962"/>
      <c r="Y47" s="1961"/>
      <c r="Z47" s="1956"/>
    </row>
    <row r="48" spans="1:26" ht="15" customHeight="1" x14ac:dyDescent="0.2">
      <c r="A48" s="2002"/>
      <c r="B48" s="1981" t="s">
        <v>918</v>
      </c>
      <c r="C48" s="2003" t="s">
        <v>2183</v>
      </c>
      <c r="D48" s="1961"/>
      <c r="E48" s="1989" t="s">
        <v>2184</v>
      </c>
      <c r="F48" s="1962"/>
      <c r="G48" s="2004">
        <v>316345</v>
      </c>
      <c r="H48" s="2005"/>
      <c r="I48" s="2004">
        <f>556281-316345</f>
        <v>239936</v>
      </c>
      <c r="J48" s="2004"/>
      <c r="K48" s="2004">
        <v>522032</v>
      </c>
      <c r="L48" s="2004"/>
      <c r="M48" s="2004">
        <f>556281-522032</f>
        <v>34249</v>
      </c>
      <c r="N48" s="2005"/>
      <c r="O48" s="2004"/>
      <c r="Q48" s="2006">
        <f>O48+M48+K48</f>
        <v>556281</v>
      </c>
      <c r="R48" s="2004"/>
      <c r="S48" s="2004">
        <v>617512</v>
      </c>
      <c r="T48" s="2024" t="s">
        <v>2185</v>
      </c>
      <c r="U48" s="2009" t="s">
        <v>2186</v>
      </c>
      <c r="V48" s="1961"/>
      <c r="W48" s="1962" t="s">
        <v>99</v>
      </c>
      <c r="X48" s="1962" t="s">
        <v>99</v>
      </c>
      <c r="Y48" s="1961">
        <f>IF(+G48+I48-K48-M48&lt;0,0,+G48+I48-K48-M48)</f>
        <v>0</v>
      </c>
      <c r="Z48" s="1956"/>
    </row>
    <row r="49" spans="1:26" ht="15" customHeight="1" x14ac:dyDescent="0.2">
      <c r="A49" s="2002"/>
      <c r="B49" s="1981" t="s">
        <v>918</v>
      </c>
      <c r="C49" s="2003" t="s">
        <v>2183</v>
      </c>
      <c r="D49" s="1961"/>
      <c r="E49" s="1989" t="s">
        <v>2187</v>
      </c>
      <c r="G49" s="2004"/>
      <c r="H49" s="2004"/>
      <c r="I49" s="2004">
        <v>372653</v>
      </c>
      <c r="J49" s="2005"/>
      <c r="K49" s="2004"/>
      <c r="L49" s="2004"/>
      <c r="M49" s="2004">
        <v>445795</v>
      </c>
      <c r="N49" s="2004"/>
      <c r="O49" s="2004">
        <v>242689</v>
      </c>
      <c r="P49" s="2005"/>
      <c r="Q49" s="2006">
        <f>O49+M49+K49</f>
        <v>688484</v>
      </c>
      <c r="R49" s="2004"/>
      <c r="S49" s="2004">
        <v>858617</v>
      </c>
      <c r="T49" s="2024" t="s">
        <v>2185</v>
      </c>
      <c r="U49" s="2009" t="s">
        <v>2186</v>
      </c>
      <c r="V49" s="1961"/>
      <c r="W49" s="1962" t="s">
        <v>99</v>
      </c>
      <c r="X49" s="1962" t="s">
        <v>99</v>
      </c>
      <c r="Y49" s="1961">
        <f>IF(+G49+I49-K49-M49&lt;0,0,+G49+I49-K49-M49)</f>
        <v>0</v>
      </c>
      <c r="Z49" s="1956"/>
    </row>
    <row r="50" spans="1:26" ht="7.15" customHeight="1" x14ac:dyDescent="0.2">
      <c r="A50" s="2002"/>
      <c r="B50" s="1981"/>
      <c r="C50" s="2003"/>
      <c r="D50" s="1961"/>
      <c r="E50" s="1989"/>
      <c r="F50" s="1962"/>
      <c r="G50" s="2004"/>
      <c r="H50" s="2004"/>
      <c r="I50" s="2004"/>
      <c r="J50" s="2005"/>
      <c r="K50" s="2004"/>
      <c r="L50" s="2004"/>
      <c r="M50" s="2004"/>
      <c r="N50" s="2004"/>
      <c r="O50" s="2004"/>
      <c r="P50" s="2005"/>
      <c r="Q50" s="2006"/>
      <c r="R50" s="2004"/>
      <c r="S50" s="2004"/>
      <c r="T50" s="2013"/>
      <c r="U50" s="2009"/>
      <c r="V50" s="1961"/>
      <c r="W50" s="1962"/>
      <c r="X50" s="1962"/>
      <c r="Y50" s="1961"/>
      <c r="Z50" s="1956"/>
    </row>
    <row r="51" spans="1:26" ht="15" customHeight="1" x14ac:dyDescent="0.2">
      <c r="A51" s="2002"/>
      <c r="B51" s="1981" t="s">
        <v>2188</v>
      </c>
      <c r="C51" s="2003">
        <v>84.01</v>
      </c>
      <c r="D51" s="1961"/>
      <c r="E51" s="1989" t="s">
        <v>2189</v>
      </c>
      <c r="G51" s="2004"/>
      <c r="H51" s="2004"/>
      <c r="I51" s="2004">
        <v>10139</v>
      </c>
      <c r="J51" s="2005"/>
      <c r="K51" s="2004"/>
      <c r="L51" s="2004"/>
      <c r="M51" s="2004">
        <v>38272</v>
      </c>
      <c r="N51" s="2004"/>
      <c r="O51" s="2004"/>
      <c r="P51" s="2010" t="s">
        <v>2162</v>
      </c>
      <c r="Q51" s="2006">
        <f>O51+M51+K51</f>
        <v>38272</v>
      </c>
      <c r="R51" s="2004"/>
      <c r="S51" s="2004">
        <v>44464</v>
      </c>
      <c r="T51" s="2024" t="s">
        <v>2185</v>
      </c>
      <c r="U51" s="2009" t="s">
        <v>2186</v>
      </c>
      <c r="V51" s="1961"/>
      <c r="W51" s="1962"/>
      <c r="X51" s="1962"/>
      <c r="Y51" s="1961">
        <f>IF(+G51+I51-K51-M51&lt;0,0,+G51+I51-K51-M51)</f>
        <v>0</v>
      </c>
      <c r="Z51" s="1956"/>
    </row>
    <row r="52" spans="1:26" ht="7.5" customHeight="1" x14ac:dyDescent="0.2">
      <c r="A52" s="2002"/>
      <c r="B52" s="1981"/>
      <c r="C52" s="2003"/>
      <c r="D52" s="1961"/>
      <c r="E52" s="1989"/>
      <c r="F52" s="1962"/>
      <c r="G52" s="2004"/>
      <c r="H52" s="2004"/>
      <c r="I52" s="2004"/>
      <c r="J52" s="2005"/>
      <c r="K52" s="2004"/>
      <c r="L52" s="2004"/>
      <c r="M52" s="2004"/>
      <c r="N52" s="2004"/>
      <c r="O52" s="2004"/>
      <c r="P52" s="2005"/>
      <c r="Q52" s="2006"/>
      <c r="R52" s="2004"/>
      <c r="S52" s="2004"/>
      <c r="T52" s="2013"/>
      <c r="U52" s="2009"/>
      <c r="V52" s="1961"/>
      <c r="W52" s="1962"/>
      <c r="X52" s="1962"/>
      <c r="Y52" s="1961"/>
      <c r="Z52" s="1956"/>
    </row>
    <row r="53" spans="1:26" ht="15" customHeight="1" x14ac:dyDescent="0.2">
      <c r="A53" s="2002"/>
      <c r="B53" s="1981" t="s">
        <v>2190</v>
      </c>
      <c r="C53" s="2003">
        <v>84.027000000000001</v>
      </c>
      <c r="D53" s="1961"/>
      <c r="E53" s="1962" t="s">
        <v>2191</v>
      </c>
      <c r="F53" s="1962"/>
      <c r="G53" s="2004">
        <v>324598</v>
      </c>
      <c r="H53" s="2005"/>
      <c r="I53" s="2004">
        <f>573446-324598</f>
        <v>248848</v>
      </c>
      <c r="J53" s="2004"/>
      <c r="K53" s="2025">
        <v>455364</v>
      </c>
      <c r="L53" s="2004"/>
      <c r="M53" s="2004">
        <f>573446-455364</f>
        <v>118082</v>
      </c>
      <c r="N53" s="2004"/>
      <c r="O53" s="2004"/>
      <c r="P53" s="2005"/>
      <c r="Q53" s="2025">
        <f>O53+M53+K53</f>
        <v>573446</v>
      </c>
      <c r="R53" s="2004"/>
      <c r="S53" s="2007" t="s">
        <v>2158</v>
      </c>
      <c r="T53" s="2024" t="s">
        <v>2185</v>
      </c>
      <c r="U53" s="2026" t="s">
        <v>2186</v>
      </c>
      <c r="V53" s="1961"/>
      <c r="W53" s="1962" t="s">
        <v>99</v>
      </c>
      <c r="X53" s="1962" t="s">
        <v>99</v>
      </c>
      <c r="Y53" s="1961">
        <f>IF(+G53+I53-K53-M53&lt;0,0,+G53+I53-K53-M53)</f>
        <v>0</v>
      </c>
      <c r="Z53" s="1956"/>
    </row>
    <row r="54" spans="1:26" ht="15" customHeight="1" x14ac:dyDescent="0.2">
      <c r="A54" s="2002"/>
      <c r="B54" s="1981" t="s">
        <v>2190</v>
      </c>
      <c r="C54" s="2003">
        <v>84.027000000000001</v>
      </c>
      <c r="D54" s="1961"/>
      <c r="E54" s="1962" t="s">
        <v>2192</v>
      </c>
      <c r="F54" s="1962"/>
      <c r="G54" s="2004"/>
      <c r="H54" s="2004"/>
      <c r="I54" s="2004">
        <v>418108</v>
      </c>
      <c r="J54" s="2005"/>
      <c r="K54" s="2004"/>
      <c r="L54" s="2004"/>
      <c r="M54" s="2025">
        <v>569509</v>
      </c>
      <c r="N54" s="2004"/>
      <c r="O54" s="2004"/>
      <c r="P54" s="2010" t="s">
        <v>2162</v>
      </c>
      <c r="Q54" s="2025">
        <f>O54+M54+K54</f>
        <v>569509</v>
      </c>
      <c r="R54" s="2004"/>
      <c r="S54" s="2007" t="s">
        <v>2158</v>
      </c>
      <c r="T54" s="2024" t="s">
        <v>2185</v>
      </c>
      <c r="U54" s="2026" t="s">
        <v>2186</v>
      </c>
      <c r="V54" s="1961"/>
      <c r="W54" s="1962" t="s">
        <v>99</v>
      </c>
      <c r="X54" s="1962" t="s">
        <v>99</v>
      </c>
      <c r="Y54" s="1961"/>
      <c r="Z54" s="1956"/>
    </row>
    <row r="55" spans="1:26" ht="3.75" customHeight="1" x14ac:dyDescent="0.2">
      <c r="A55" s="2002"/>
      <c r="B55" s="1981"/>
      <c r="C55" s="2003"/>
      <c r="D55" s="1961"/>
      <c r="E55" s="1962"/>
      <c r="F55" s="1962"/>
      <c r="G55" s="2004"/>
      <c r="H55" s="2004"/>
      <c r="I55" s="2004"/>
      <c r="J55" s="2005"/>
      <c r="K55" s="2004"/>
      <c r="L55" s="2004"/>
      <c r="M55" s="2025"/>
      <c r="N55" s="2004"/>
      <c r="O55" s="2004"/>
      <c r="P55" s="2005"/>
      <c r="Q55" s="2025"/>
      <c r="R55" s="2004"/>
      <c r="S55" s="2007"/>
      <c r="T55" s="2027"/>
      <c r="U55" s="2026"/>
      <c r="V55" s="1961"/>
      <c r="W55" s="1962"/>
      <c r="X55" s="1962"/>
      <c r="Y55" s="1961"/>
      <c r="Z55" s="1956"/>
    </row>
    <row r="56" spans="1:26" ht="15" hidden="1" customHeight="1" x14ac:dyDescent="0.2">
      <c r="A56" s="2002"/>
      <c r="B56" s="1981" t="s">
        <v>2190</v>
      </c>
      <c r="C56" s="2003">
        <v>84.027000000000001</v>
      </c>
      <c r="D56" s="1961"/>
      <c r="E56" s="1962" t="s">
        <v>2193</v>
      </c>
      <c r="F56" s="1962"/>
      <c r="G56" s="2004"/>
      <c r="H56" s="2004"/>
      <c r="I56" s="2028"/>
      <c r="J56" s="2029"/>
      <c r="K56" s="2028"/>
      <c r="L56" s="2004"/>
      <c r="M56" s="2025"/>
      <c r="N56" s="2004"/>
      <c r="O56" s="2004"/>
      <c r="P56" s="2005"/>
      <c r="Q56" s="2025">
        <f>O56+M56+K56</f>
        <v>0</v>
      </c>
      <c r="R56" s="2004"/>
      <c r="S56" s="2007" t="s">
        <v>2158</v>
      </c>
      <c r="U56" s="2026"/>
      <c r="V56" s="1961"/>
      <c r="W56" s="1962" t="s">
        <v>99</v>
      </c>
      <c r="X56" s="1962" t="s">
        <v>99</v>
      </c>
      <c r="Y56" s="1961">
        <f>IF(+G56+I56-K56-M56&lt;0,0,+G56+I56-K56-M56)</f>
        <v>0</v>
      </c>
      <c r="Z56" s="1956"/>
    </row>
    <row r="57" spans="1:26" ht="15" hidden="1" customHeight="1" x14ac:dyDescent="0.2">
      <c r="A57" s="2002"/>
      <c r="B57" s="1981" t="s">
        <v>2190</v>
      </c>
      <c r="C57" s="2003">
        <v>84.027000000000001</v>
      </c>
      <c r="D57" s="1961"/>
      <c r="E57" s="1962" t="s">
        <v>2194</v>
      </c>
      <c r="F57" s="1962"/>
      <c r="G57" s="2004"/>
      <c r="H57" s="2004"/>
      <c r="I57" s="2004"/>
      <c r="J57" s="2005"/>
      <c r="K57" s="2004"/>
      <c r="L57" s="2004"/>
      <c r="M57" s="2030"/>
      <c r="N57" s="2004"/>
      <c r="O57" s="2004"/>
      <c r="P57" s="2005"/>
      <c r="Q57" s="2025">
        <f>O57+M57+K57</f>
        <v>0</v>
      </c>
      <c r="R57" s="2004"/>
      <c r="S57" s="2007" t="s">
        <v>2158</v>
      </c>
      <c r="T57" s="2031" t="s">
        <v>2185</v>
      </c>
      <c r="U57" s="2026" t="s">
        <v>2186</v>
      </c>
      <c r="V57" s="1961"/>
      <c r="W57" s="1962"/>
      <c r="X57" s="1962"/>
      <c r="Y57" s="1961"/>
      <c r="Z57" s="1956"/>
    </row>
    <row r="58" spans="1:26" ht="15" hidden="1" customHeight="1" x14ac:dyDescent="0.2">
      <c r="A58" s="2002"/>
      <c r="B58" s="1981"/>
      <c r="C58" s="2003"/>
      <c r="D58" s="1961"/>
      <c r="E58" s="1962"/>
      <c r="F58" s="1962"/>
      <c r="G58" s="2004"/>
      <c r="H58" s="2004"/>
      <c r="I58" s="2004"/>
      <c r="J58" s="2005"/>
      <c r="K58" s="2004"/>
      <c r="L58" s="2004"/>
      <c r="M58" s="2004"/>
      <c r="N58" s="2004"/>
      <c r="O58" s="2004"/>
      <c r="P58" s="2005"/>
      <c r="Q58" s="2006"/>
      <c r="R58" s="2004"/>
      <c r="S58" s="2004"/>
      <c r="T58" s="2020"/>
      <c r="U58" s="2009"/>
      <c r="V58" s="1961"/>
      <c r="W58" s="1962"/>
      <c r="X58" s="1962"/>
      <c r="Y58" s="1961"/>
      <c r="Z58" s="1956"/>
    </row>
    <row r="59" spans="1:26" ht="15" customHeight="1" x14ac:dyDescent="0.2">
      <c r="A59" s="2002"/>
      <c r="B59" s="1981" t="s">
        <v>2195</v>
      </c>
      <c r="C59" s="2003">
        <v>84.367000000000004</v>
      </c>
      <c r="D59" s="1961"/>
      <c r="E59" s="1962" t="s">
        <v>2196</v>
      </c>
      <c r="F59" s="1962"/>
      <c r="G59" s="2004">
        <v>50916</v>
      </c>
      <c r="H59" s="2005"/>
      <c r="I59" s="2004">
        <f>82077-50916</f>
        <v>31161</v>
      </c>
      <c r="J59" s="2004"/>
      <c r="K59" s="2004">
        <v>73126</v>
      </c>
      <c r="L59" s="2004"/>
      <c r="M59" s="2004">
        <f>82077-73126</f>
        <v>8951</v>
      </c>
      <c r="N59" s="2004"/>
      <c r="O59" s="2004"/>
      <c r="P59" s="2005"/>
      <c r="Q59" s="2006">
        <f>O59+M59+K59</f>
        <v>82077</v>
      </c>
      <c r="R59" s="2004"/>
      <c r="S59" s="2004">
        <v>91703</v>
      </c>
      <c r="T59" s="2013" t="s">
        <v>2173</v>
      </c>
      <c r="U59" s="2009" t="s">
        <v>2174</v>
      </c>
      <c r="V59" s="1961"/>
      <c r="W59" s="1962" t="s">
        <v>99</v>
      </c>
      <c r="X59" s="1962" t="s">
        <v>99</v>
      </c>
      <c r="Y59" s="1961">
        <f>IF(+G59+I59-K59-M59&lt;0,0,+G59+I59-K59-M59)</f>
        <v>0</v>
      </c>
    </row>
    <row r="60" spans="1:26" ht="15" customHeight="1" x14ac:dyDescent="0.2">
      <c r="A60" s="2002"/>
      <c r="B60" s="1981" t="s">
        <v>2195</v>
      </c>
      <c r="C60" s="2003">
        <v>84.367000000000004</v>
      </c>
      <c r="D60" s="1961"/>
      <c r="E60" s="1962" t="s">
        <v>2197</v>
      </c>
      <c r="F60" s="1962"/>
      <c r="G60" s="2004"/>
      <c r="H60" s="2004"/>
      <c r="I60" s="2004">
        <v>55755</v>
      </c>
      <c r="J60" s="2005"/>
      <c r="K60" s="2004"/>
      <c r="L60" s="2004"/>
      <c r="M60" s="2004">
        <v>102615</v>
      </c>
      <c r="N60" s="2004"/>
      <c r="O60" s="2004">
        <v>4375</v>
      </c>
      <c r="P60" s="2005"/>
      <c r="Q60" s="2006">
        <f>O60+M60+K60</f>
        <v>106990</v>
      </c>
      <c r="R60" s="2004"/>
      <c r="S60" s="2004">
        <v>120217</v>
      </c>
      <c r="T60" s="2020" t="s">
        <v>2173</v>
      </c>
      <c r="U60" s="2009" t="s">
        <v>2174</v>
      </c>
      <c r="V60" s="1961"/>
      <c r="W60" s="1962" t="s">
        <v>99</v>
      </c>
      <c r="X60" s="1962" t="s">
        <v>99</v>
      </c>
      <c r="Y60" s="1961">
        <f>IF(+G60+I60-K60-M60&lt;0,0,+G60+I60-K60-M60)</f>
        <v>0</v>
      </c>
    </row>
    <row r="61" spans="1:26" ht="7.5" customHeight="1" x14ac:dyDescent="0.2">
      <c r="A61" s="2002"/>
      <c r="B61" s="1981"/>
      <c r="C61" s="2003"/>
      <c r="D61" s="1961"/>
      <c r="E61" s="1962"/>
      <c r="F61" s="1962"/>
      <c r="G61" s="2004"/>
      <c r="H61" s="2004"/>
      <c r="I61" s="2004"/>
      <c r="J61" s="2005"/>
      <c r="K61" s="2004"/>
      <c r="L61" s="2004"/>
      <c r="M61" s="2004"/>
      <c r="N61" s="2004"/>
      <c r="O61" s="2004"/>
      <c r="P61" s="2005"/>
      <c r="Q61" s="2006"/>
      <c r="R61" s="2004"/>
      <c r="S61" s="2004"/>
      <c r="T61" s="2020"/>
      <c r="U61" s="2009"/>
      <c r="V61" s="1961"/>
      <c r="W61" s="1962"/>
      <c r="X61" s="1962"/>
      <c r="Y61" s="1961"/>
      <c r="Z61" s="1956"/>
    </row>
    <row r="62" spans="1:26" ht="15" customHeight="1" x14ac:dyDescent="0.2">
      <c r="A62" s="2002"/>
      <c r="B62" s="1981" t="s">
        <v>2198</v>
      </c>
      <c r="C62" s="2003">
        <v>84.364999999999995</v>
      </c>
      <c r="D62" s="1961"/>
      <c r="E62" s="1962" t="s">
        <v>2199</v>
      </c>
      <c r="F62" s="1962"/>
      <c r="G62" s="2004">
        <v>15370</v>
      </c>
      <c r="H62" s="2012"/>
      <c r="I62" s="2004"/>
      <c r="J62" s="2005"/>
      <c r="K62" s="2004">
        <v>15370</v>
      </c>
      <c r="L62" s="2004"/>
      <c r="M62" s="2004"/>
      <c r="N62" s="2004"/>
      <c r="O62" s="2004"/>
      <c r="Q62" s="2006">
        <f>O62+M62+K62</f>
        <v>15370</v>
      </c>
      <c r="R62" s="2004"/>
      <c r="S62" s="2004">
        <v>15370</v>
      </c>
      <c r="T62" s="2013" t="s">
        <v>2173</v>
      </c>
      <c r="U62" s="2009" t="s">
        <v>2174</v>
      </c>
      <c r="V62" s="1961"/>
      <c r="W62" s="1962" t="s">
        <v>99</v>
      </c>
      <c r="X62" s="1962" t="s">
        <v>99</v>
      </c>
      <c r="Y62" s="1961">
        <f>IF(+G62+I62-K62-M62&lt;0,0,+G62+I62-K62-M62)</f>
        <v>0</v>
      </c>
      <c r="Z62" s="1956"/>
    </row>
    <row r="63" spans="1:26" ht="15" customHeight="1" x14ac:dyDescent="0.2">
      <c r="A63" s="2002"/>
      <c r="B63" s="1981" t="s">
        <v>2198</v>
      </c>
      <c r="C63" s="2003">
        <v>84.364999999999995</v>
      </c>
      <c r="D63" s="1961"/>
      <c r="E63" s="1962" t="s">
        <v>2200</v>
      </c>
      <c r="F63" s="1962"/>
      <c r="G63" s="2014">
        <v>0</v>
      </c>
      <c r="H63" s="2012"/>
      <c r="I63" s="2015">
        <v>13800</v>
      </c>
      <c r="J63" s="2005"/>
      <c r="K63" s="2014">
        <v>0</v>
      </c>
      <c r="L63" s="2004"/>
      <c r="M63" s="2015">
        <v>13800</v>
      </c>
      <c r="N63" s="2004"/>
      <c r="O63" s="2014">
        <v>0</v>
      </c>
      <c r="P63" s="2010" t="s">
        <v>2162</v>
      </c>
      <c r="Q63" s="2015">
        <f>O63+M63+K63</f>
        <v>13800</v>
      </c>
      <c r="R63" s="2004"/>
      <c r="S63" s="2004">
        <v>13800</v>
      </c>
      <c r="T63" s="2020" t="s">
        <v>2173</v>
      </c>
      <c r="U63" s="2009" t="s">
        <v>2174</v>
      </c>
      <c r="V63" s="1961"/>
      <c r="W63" s="1962" t="s">
        <v>99</v>
      </c>
      <c r="X63" s="1962" t="s">
        <v>99</v>
      </c>
      <c r="Y63" s="1961">
        <f>IF(+G63+I63-K63-M63&lt;0,0,+G63+I63-K63-M63)</f>
        <v>0</v>
      </c>
      <c r="Z63" s="1956"/>
    </row>
    <row r="64" spans="1:26" ht="9" customHeight="1" x14ac:dyDescent="0.2">
      <c r="B64" s="1961"/>
      <c r="C64" s="1961"/>
      <c r="D64" s="1961"/>
      <c r="E64" s="1961"/>
      <c r="F64" s="1962"/>
      <c r="G64" s="2004"/>
      <c r="H64" s="2004"/>
      <c r="I64" s="2004"/>
      <c r="J64" s="2005"/>
      <c r="K64" s="2004"/>
      <c r="L64" s="2004"/>
      <c r="M64" s="2004"/>
      <c r="N64" s="2004"/>
      <c r="O64" s="2004"/>
      <c r="P64" s="2005"/>
      <c r="Q64" s="2032" t="s">
        <v>1169</v>
      </c>
      <c r="R64" s="2004"/>
      <c r="S64" s="2004"/>
      <c r="T64" s="2020"/>
      <c r="U64" s="2020"/>
      <c r="V64" s="1961"/>
      <c r="W64" s="1962"/>
      <c r="X64" s="1962"/>
      <c r="Y64" s="1961"/>
      <c r="Z64" s="1956"/>
    </row>
    <row r="65" spans="1:26" ht="18" customHeight="1" x14ac:dyDescent="0.2">
      <c r="A65" s="1971" t="s">
        <v>2201</v>
      </c>
      <c r="C65" s="2033"/>
      <c r="D65" s="1961"/>
      <c r="E65" s="1961"/>
      <c r="F65" s="1962"/>
      <c r="G65" s="2015">
        <f>SUM(G45:G64)</f>
        <v>707229</v>
      </c>
      <c r="H65" s="2015"/>
      <c r="I65" s="2015">
        <f>SUM(I45:I64)</f>
        <v>1397546</v>
      </c>
      <c r="J65" s="2015"/>
      <c r="K65" s="2015">
        <f>SUM(K45:K64)</f>
        <v>1065892</v>
      </c>
      <c r="L65" s="2015"/>
      <c r="M65" s="2015">
        <f>SUM(M45:M64)</f>
        <v>1355419</v>
      </c>
      <c r="N65" s="2015"/>
      <c r="O65" s="2015">
        <f>SUM(O45:O64)</f>
        <v>257112</v>
      </c>
      <c r="P65" s="2015"/>
      <c r="Q65" s="2015">
        <f>SUM(Q45:Q64)</f>
        <v>2678423</v>
      </c>
      <c r="R65" s="2032"/>
      <c r="S65" s="2032" t="s">
        <v>1169</v>
      </c>
      <c r="T65" s="2013"/>
      <c r="U65" s="2013"/>
      <c r="V65" s="2034"/>
      <c r="W65" s="1962"/>
      <c r="X65" s="1962"/>
      <c r="Y65" s="1961"/>
      <c r="Z65" s="1956"/>
    </row>
    <row r="66" spans="1:26" ht="15" customHeight="1" x14ac:dyDescent="0.2">
      <c r="A66" s="1971"/>
      <c r="C66" s="2033"/>
      <c r="D66" s="1961"/>
      <c r="E66" s="1961"/>
      <c r="F66" s="1962"/>
      <c r="G66" s="2015"/>
      <c r="H66" s="2015"/>
      <c r="I66" s="2015"/>
      <c r="J66" s="2015"/>
      <c r="K66" s="2015"/>
      <c r="L66" s="2015"/>
      <c r="M66" s="2015"/>
      <c r="N66" s="2015"/>
      <c r="O66" s="2015"/>
      <c r="P66" s="2015"/>
      <c r="Q66" s="2015"/>
      <c r="R66" s="2032"/>
      <c r="S66" s="2032"/>
      <c r="T66" s="2013"/>
      <c r="U66" s="2013"/>
      <c r="V66" s="1961"/>
      <c r="W66" s="1962"/>
      <c r="X66" s="1962"/>
      <c r="Y66" s="1961"/>
      <c r="Z66" s="1956"/>
    </row>
    <row r="67" spans="1:26" ht="15" hidden="1" customHeight="1" x14ac:dyDescent="0.2">
      <c r="A67" s="2001" t="s">
        <v>2179</v>
      </c>
      <c r="B67" s="1961"/>
      <c r="C67" s="1961"/>
      <c r="D67" s="1961"/>
      <c r="E67" s="1961"/>
      <c r="F67" s="1962"/>
      <c r="G67" s="2004"/>
      <c r="H67" s="2004"/>
      <c r="I67" s="2004"/>
      <c r="J67" s="2005"/>
      <c r="K67" s="2004"/>
      <c r="L67" s="2004"/>
      <c r="M67" s="2004"/>
      <c r="N67" s="2004"/>
      <c r="O67" s="2004"/>
      <c r="P67" s="2005"/>
      <c r="Q67" s="2004"/>
      <c r="R67" s="2004"/>
      <c r="S67" s="2004"/>
      <c r="T67" s="2013"/>
      <c r="U67" s="2013"/>
      <c r="V67" s="1961"/>
      <c r="W67" s="1962"/>
      <c r="X67" s="1962"/>
      <c r="Y67" s="1961"/>
      <c r="Z67" s="1956"/>
    </row>
    <row r="68" spans="1:26" ht="17.25" hidden="1" customHeight="1" x14ac:dyDescent="0.2">
      <c r="A68" s="2001" t="s">
        <v>2202</v>
      </c>
      <c r="B68" s="1961"/>
      <c r="C68" s="1961"/>
      <c r="D68" s="1961"/>
      <c r="E68" s="1961"/>
      <c r="F68" s="1962"/>
      <c r="G68" s="2004"/>
      <c r="H68" s="2004"/>
      <c r="I68" s="2004"/>
      <c r="J68" s="2005"/>
      <c r="K68" s="2004"/>
      <c r="L68" s="2004"/>
      <c r="M68" s="2004"/>
      <c r="N68" s="2004"/>
      <c r="O68" s="2004"/>
      <c r="P68" s="2005"/>
      <c r="Q68" s="2004"/>
      <c r="R68" s="2004"/>
      <c r="S68" s="2004"/>
      <c r="T68" s="2020"/>
      <c r="U68" s="2020"/>
      <c r="V68" s="1961"/>
      <c r="W68" s="1962"/>
      <c r="X68" s="1962"/>
      <c r="Y68" s="1961"/>
      <c r="Z68" s="1956"/>
    </row>
    <row r="69" spans="1:26" ht="17.25" hidden="1" customHeight="1" x14ac:dyDescent="0.2">
      <c r="A69" s="2001" t="s">
        <v>2203</v>
      </c>
      <c r="B69" s="1961"/>
      <c r="C69" s="1961"/>
      <c r="D69" s="1961"/>
      <c r="E69" s="1961"/>
      <c r="F69" s="1962"/>
      <c r="G69" s="2004"/>
      <c r="H69" s="2004"/>
      <c r="I69" s="2004"/>
      <c r="J69" s="2005"/>
      <c r="K69" s="2004"/>
      <c r="L69" s="2004"/>
      <c r="M69" s="2004"/>
      <c r="N69" s="2004"/>
      <c r="O69" s="2004"/>
      <c r="P69" s="2005"/>
      <c r="Q69" s="2004"/>
      <c r="R69" s="2004"/>
      <c r="S69" s="2004"/>
      <c r="T69" s="2013"/>
      <c r="U69" s="2013"/>
      <c r="V69" s="1961"/>
      <c r="W69" s="1962"/>
      <c r="X69" s="1962"/>
      <c r="Y69" s="1961"/>
      <c r="Z69" s="1956"/>
    </row>
    <row r="70" spans="1:26" ht="6.6" hidden="1" customHeight="1" x14ac:dyDescent="0.2">
      <c r="A70" s="2001"/>
      <c r="B70" s="1961"/>
      <c r="C70" s="1961"/>
      <c r="D70" s="1961"/>
      <c r="E70" s="1961"/>
      <c r="F70" s="1962"/>
      <c r="G70" s="2004"/>
      <c r="H70" s="2004"/>
      <c r="I70" s="2004"/>
      <c r="J70" s="2005"/>
      <c r="K70" s="2004"/>
      <c r="L70" s="2004"/>
      <c r="M70" s="2016"/>
      <c r="N70" s="2004"/>
      <c r="O70" s="2004"/>
      <c r="P70" s="2005"/>
      <c r="Q70" s="2006"/>
      <c r="R70" s="2004"/>
      <c r="S70" s="2004"/>
      <c r="T70" s="2020"/>
      <c r="U70" s="2020"/>
      <c r="V70" s="1961"/>
      <c r="W70" s="1962"/>
      <c r="X70" s="1962"/>
      <c r="Y70" s="1961"/>
      <c r="Z70" s="1956"/>
    </row>
    <row r="71" spans="1:26" ht="18.600000000000001" hidden="1" customHeight="1" x14ac:dyDescent="0.2">
      <c r="A71" s="2002"/>
      <c r="B71" s="1961" t="s">
        <v>2204</v>
      </c>
      <c r="C71" s="2003">
        <v>84.027000000000001</v>
      </c>
      <c r="D71" s="1961"/>
      <c r="E71" s="1961" t="s">
        <v>2205</v>
      </c>
      <c r="F71" s="1962"/>
      <c r="G71" s="2004"/>
      <c r="H71" s="2004"/>
      <c r="I71" s="2004"/>
      <c r="J71" s="2005"/>
      <c r="K71" s="2004"/>
      <c r="L71" s="2004"/>
      <c r="M71" s="2004"/>
      <c r="N71" s="2004"/>
      <c r="O71" s="2004" t="s">
        <v>1169</v>
      </c>
      <c r="P71" s="2005"/>
      <c r="Q71" s="2006">
        <f>O71+M71+K71</f>
        <v>0</v>
      </c>
      <c r="R71" s="2004"/>
      <c r="S71" s="2028">
        <v>1498</v>
      </c>
      <c r="T71" s="2035" t="s">
        <v>2185</v>
      </c>
      <c r="U71" s="2026" t="s">
        <v>2186</v>
      </c>
      <c r="V71" s="1961"/>
      <c r="W71" s="1962" t="s">
        <v>99</v>
      </c>
      <c r="X71" s="1962" t="s">
        <v>99</v>
      </c>
      <c r="Y71" s="1961">
        <f>IF(+G71+I71-K71-M71&lt;0,0,+G71+I71-K71-M71)</f>
        <v>0</v>
      </c>
      <c r="Z71" s="1956"/>
    </row>
    <row r="72" spans="1:26" ht="18" hidden="1" customHeight="1" x14ac:dyDescent="0.2">
      <c r="A72" s="2002"/>
      <c r="B72" s="1961" t="s">
        <v>2204</v>
      </c>
      <c r="C72" s="2003">
        <v>84.027000000000001</v>
      </c>
      <c r="D72" s="1961"/>
      <c r="E72" s="1961" t="s">
        <v>2206</v>
      </c>
      <c r="F72" s="1962"/>
      <c r="G72" s="2016">
        <v>0</v>
      </c>
      <c r="H72" s="2004"/>
      <c r="I72" s="2036">
        <v>0</v>
      </c>
      <c r="J72" s="2005"/>
      <c r="K72" s="2016">
        <v>0</v>
      </c>
      <c r="L72" s="2004"/>
      <c r="M72" s="2036"/>
      <c r="N72" s="2004"/>
      <c r="O72" s="2016">
        <v>0</v>
      </c>
      <c r="P72" s="2005"/>
      <c r="Q72" s="2015">
        <f>O72+M72+K72</f>
        <v>0</v>
      </c>
      <c r="R72" s="2004"/>
      <c r="S72" s="2004">
        <v>11314</v>
      </c>
      <c r="T72" s="2035" t="s">
        <v>2185</v>
      </c>
      <c r="U72" s="2026" t="s">
        <v>2186</v>
      </c>
      <c r="V72" s="1961" t="s">
        <v>1169</v>
      </c>
      <c r="W72" s="1962" t="s">
        <v>99</v>
      </c>
      <c r="X72" s="1962" t="s">
        <v>99</v>
      </c>
      <c r="Y72" s="1961">
        <f>IF(+G72+I72-K72-M72&lt;0,0,+G72+I72-K72-M72)</f>
        <v>0</v>
      </c>
      <c r="Z72" s="1956"/>
    </row>
    <row r="73" spans="1:26" ht="18.75" hidden="1" customHeight="1" x14ac:dyDescent="0.2">
      <c r="A73" s="1971" t="s">
        <v>2207</v>
      </c>
      <c r="B73" s="1981"/>
      <c r="C73" s="2003"/>
      <c r="D73" s="1961"/>
      <c r="E73" s="1962"/>
      <c r="F73" s="1962"/>
      <c r="G73" s="2016">
        <f>SUM(G70:G72)</f>
        <v>0</v>
      </c>
      <c r="H73" s="2004"/>
      <c r="I73" s="2016">
        <f>SUM(I70:I72)</f>
        <v>0</v>
      </c>
      <c r="J73" s="2005"/>
      <c r="K73" s="2016">
        <f>SUM(K70:K72)</f>
        <v>0</v>
      </c>
      <c r="L73" s="2004"/>
      <c r="M73" s="2016">
        <f>SUM(M70:M72)</f>
        <v>0</v>
      </c>
      <c r="N73" s="2004"/>
      <c r="O73" s="2016">
        <f>SUM(O70:O72)</f>
        <v>0</v>
      </c>
      <c r="P73" s="2005"/>
      <c r="Q73" s="2016">
        <f>SUM(Q70:Q72)</f>
        <v>0</v>
      </c>
      <c r="R73" s="2004"/>
      <c r="S73" s="2007"/>
      <c r="T73" s="2020"/>
      <c r="U73" s="2020"/>
      <c r="V73" s="1961"/>
      <c r="W73" s="1962"/>
      <c r="X73" s="1962"/>
      <c r="Y73" s="1961"/>
      <c r="Z73" s="1956"/>
    </row>
    <row r="74" spans="1:26" ht="15" customHeight="1" x14ac:dyDescent="0.2">
      <c r="A74" s="1971"/>
      <c r="B74" s="1981"/>
      <c r="C74" s="2003"/>
      <c r="D74" s="1961"/>
      <c r="E74" s="1962"/>
      <c r="F74" s="1962"/>
      <c r="G74" s="2016"/>
      <c r="H74" s="2004"/>
      <c r="I74" s="2016"/>
      <c r="J74" s="2005"/>
      <c r="K74" s="2016"/>
      <c r="L74" s="2004"/>
      <c r="M74" s="2016"/>
      <c r="N74" s="2004"/>
      <c r="O74" s="2016"/>
      <c r="P74" s="2005"/>
      <c r="Q74" s="2016"/>
      <c r="R74" s="2004"/>
      <c r="S74" s="2007"/>
      <c r="T74" s="2020"/>
      <c r="U74" s="2020"/>
      <c r="V74" s="1961"/>
      <c r="W74" s="1962"/>
      <c r="X74" s="1962"/>
      <c r="Y74" s="1961"/>
      <c r="Z74" s="1956"/>
    </row>
    <row r="75" spans="1:26" ht="16.5" hidden="1" customHeight="1" x14ac:dyDescent="0.2">
      <c r="A75" s="2001" t="s">
        <v>2179</v>
      </c>
      <c r="C75" s="2033"/>
      <c r="D75" s="1961"/>
      <c r="E75" s="1961"/>
      <c r="F75" s="1962"/>
      <c r="G75" s="2015"/>
      <c r="H75" s="2015"/>
      <c r="I75" s="2015"/>
      <c r="J75" s="2015"/>
      <c r="K75" s="2015"/>
      <c r="L75" s="2015"/>
      <c r="M75" s="2015"/>
      <c r="N75" s="2015"/>
      <c r="O75" s="2015"/>
      <c r="P75" s="2015"/>
      <c r="Q75" s="2015"/>
      <c r="R75" s="2032"/>
      <c r="S75" s="2032"/>
      <c r="T75" s="2020"/>
      <c r="U75" s="2020"/>
      <c r="V75" s="1961"/>
      <c r="W75" s="1962"/>
      <c r="X75" s="1962"/>
      <c r="Y75" s="1961"/>
      <c r="Z75" s="1956"/>
    </row>
    <row r="76" spans="1:26" ht="15.75" hidden="1" customHeight="1" x14ac:dyDescent="0.2">
      <c r="A76" s="2001" t="s">
        <v>2208</v>
      </c>
      <c r="C76" s="2033"/>
      <c r="D76" s="1961"/>
      <c r="E76" s="1961"/>
      <c r="F76" s="1962"/>
      <c r="G76" s="2015"/>
      <c r="H76" s="2015"/>
      <c r="I76" s="2015"/>
      <c r="J76" s="2015"/>
      <c r="K76" s="2015"/>
      <c r="L76" s="2015"/>
      <c r="M76" s="2015"/>
      <c r="N76" s="2015"/>
      <c r="O76" s="2015"/>
      <c r="P76" s="2015"/>
      <c r="Q76" s="2015"/>
      <c r="R76" s="2032"/>
      <c r="S76" s="2032"/>
      <c r="T76" s="2013"/>
      <c r="U76" s="2013"/>
      <c r="V76" s="1961"/>
      <c r="W76" s="1962"/>
      <c r="X76" s="1962"/>
      <c r="Y76" s="1961"/>
      <c r="Z76" s="1956"/>
    </row>
    <row r="77" spans="1:26" ht="18" hidden="1" customHeight="1" x14ac:dyDescent="0.2">
      <c r="A77" s="1971"/>
      <c r="B77" s="1981" t="s">
        <v>2209</v>
      </c>
      <c r="C77" s="2003">
        <v>84.358000000000004</v>
      </c>
      <c r="D77" s="1961"/>
      <c r="E77" s="1962" t="s">
        <v>2210</v>
      </c>
      <c r="F77" s="1962"/>
      <c r="G77" s="2015"/>
      <c r="H77" s="2015"/>
      <c r="I77" s="2015">
        <v>0</v>
      </c>
      <c r="J77" s="2015"/>
      <c r="K77" s="2015"/>
      <c r="L77" s="2015"/>
      <c r="M77" s="2015">
        <v>0</v>
      </c>
      <c r="N77" s="2015"/>
      <c r="O77" s="2015">
        <v>0</v>
      </c>
      <c r="P77" s="2015"/>
      <c r="Q77" s="2015">
        <f>O77+M77+K77</f>
        <v>0</v>
      </c>
      <c r="R77" s="2032"/>
      <c r="S77" s="2007"/>
      <c r="T77" s="2020" t="s">
        <v>2173</v>
      </c>
      <c r="U77" s="2020"/>
      <c r="V77" s="1961"/>
      <c r="W77" s="1962"/>
      <c r="X77" s="1962"/>
      <c r="Y77" s="1961">
        <f>IF(+G77+I77-K77-M77&lt;0,0,+G77+I77-K77-M77)</f>
        <v>0</v>
      </c>
      <c r="Z77" s="1956"/>
    </row>
    <row r="78" spans="1:26" ht="18" hidden="1" customHeight="1" x14ac:dyDescent="0.2">
      <c r="A78" s="1971" t="s">
        <v>2211</v>
      </c>
      <c r="B78" s="1981"/>
      <c r="C78" s="2003"/>
      <c r="D78" s="1961"/>
      <c r="E78" s="1962"/>
      <c r="F78" s="1962"/>
      <c r="G78" s="2016">
        <f>SUM(G75:G77)</f>
        <v>0</v>
      </c>
      <c r="H78" s="2004"/>
      <c r="I78" s="2016">
        <f>SUM(I75:I77)</f>
        <v>0</v>
      </c>
      <c r="J78" s="2005"/>
      <c r="K78" s="2016">
        <f>SUM(K75:K77)</f>
        <v>0</v>
      </c>
      <c r="L78" s="2004"/>
      <c r="M78" s="2016">
        <f>SUM(M75:M77)</f>
        <v>0</v>
      </c>
      <c r="N78" s="2004"/>
      <c r="O78" s="2016">
        <f>SUM(O75:O77)</f>
        <v>0</v>
      </c>
      <c r="P78" s="2005"/>
      <c r="Q78" s="2016">
        <f>SUM(Q75:Q77)</f>
        <v>0</v>
      </c>
      <c r="R78" s="2004"/>
      <c r="S78" s="2007"/>
      <c r="T78" s="2020"/>
      <c r="U78" s="2020"/>
      <c r="V78" s="1961"/>
      <c r="W78" s="1962"/>
      <c r="X78" s="1962"/>
      <c r="Y78" s="1961"/>
      <c r="Z78" s="1956"/>
    </row>
    <row r="79" spans="1:26" ht="15" hidden="1" customHeight="1" x14ac:dyDescent="0.2">
      <c r="A79" s="1971"/>
      <c r="C79" s="2033"/>
      <c r="D79" s="1961"/>
      <c r="E79" s="1961"/>
      <c r="F79" s="1962"/>
      <c r="G79" s="2015"/>
      <c r="H79" s="2015"/>
      <c r="I79" s="2015"/>
      <c r="J79" s="2015"/>
      <c r="K79" s="2015"/>
      <c r="L79" s="2015"/>
      <c r="M79" s="2015"/>
      <c r="N79" s="2015"/>
      <c r="O79" s="2015"/>
      <c r="P79" s="2015"/>
      <c r="Q79" s="2015"/>
      <c r="R79" s="2032"/>
      <c r="S79" s="2032"/>
      <c r="T79" s="2020"/>
      <c r="U79" s="2020"/>
      <c r="V79" s="1961"/>
      <c r="W79" s="1962"/>
      <c r="X79" s="1962"/>
      <c r="Y79" s="1961"/>
      <c r="Z79" s="1956"/>
    </row>
    <row r="80" spans="1:26" ht="18" hidden="1" customHeight="1" x14ac:dyDescent="0.2">
      <c r="A80" s="2001" t="s">
        <v>2179</v>
      </c>
      <c r="B80" s="1961"/>
      <c r="C80" s="1961"/>
      <c r="D80" s="1961"/>
      <c r="E80" s="1961"/>
      <c r="F80" s="1962"/>
      <c r="G80" s="2004"/>
      <c r="H80" s="2004"/>
      <c r="I80" s="2004" t="s">
        <v>1169</v>
      </c>
      <c r="J80" s="2005"/>
      <c r="K80" s="2004"/>
      <c r="L80" s="2004"/>
      <c r="M80" s="2004"/>
      <c r="N80" s="2004"/>
      <c r="O80" s="2004"/>
      <c r="P80" s="2005"/>
      <c r="Q80" s="2004"/>
      <c r="R80" s="2004"/>
      <c r="S80" s="2004"/>
      <c r="T80" s="2013"/>
      <c r="U80" s="2013"/>
      <c r="V80" s="1961"/>
      <c r="W80" s="1962"/>
      <c r="X80" s="1962"/>
      <c r="Y80" s="1961"/>
      <c r="Z80" s="1956"/>
    </row>
    <row r="81" spans="1:26" ht="17.25" hidden="1" customHeight="1" x14ac:dyDescent="0.2">
      <c r="A81" s="2001" t="s">
        <v>2202</v>
      </c>
      <c r="B81" s="1961"/>
      <c r="C81" s="1961"/>
      <c r="D81" s="1961"/>
      <c r="E81" s="1961"/>
      <c r="F81" s="1962"/>
      <c r="G81" s="2004"/>
      <c r="H81" s="2004"/>
      <c r="I81" s="2004"/>
      <c r="J81" s="2005"/>
      <c r="K81" s="2004"/>
      <c r="L81" s="2004"/>
      <c r="M81" s="2004"/>
      <c r="N81" s="2004"/>
      <c r="O81" s="2004"/>
      <c r="P81" s="2005"/>
      <c r="Q81" s="2004"/>
      <c r="R81" s="2004"/>
      <c r="S81" s="2004"/>
      <c r="T81" s="2020"/>
      <c r="U81" s="2020"/>
      <c r="V81" s="1961"/>
      <c r="W81" s="1962"/>
      <c r="X81" s="1962"/>
      <c r="Y81" s="1961"/>
      <c r="Z81" s="1956"/>
    </row>
    <row r="82" spans="1:26" ht="17.25" hidden="1" customHeight="1" x14ac:dyDescent="0.2">
      <c r="A82" s="2001" t="s">
        <v>2212</v>
      </c>
      <c r="B82" s="1961"/>
      <c r="C82" s="1961"/>
      <c r="D82" s="1961"/>
      <c r="E82" s="1961"/>
      <c r="F82" s="1962"/>
      <c r="G82" s="2004"/>
      <c r="H82" s="2004"/>
      <c r="I82" s="2004"/>
      <c r="J82" s="2005"/>
      <c r="K82" s="2004"/>
      <c r="L82" s="2004"/>
      <c r="M82" s="2004"/>
      <c r="N82" s="2004"/>
      <c r="O82" s="2004"/>
      <c r="P82" s="2005"/>
      <c r="Q82" s="2004"/>
      <c r="R82" s="2004"/>
      <c r="S82" s="2004"/>
      <c r="T82" s="2013"/>
      <c r="U82" s="2013"/>
      <c r="V82" s="1961"/>
      <c r="W82" s="1962"/>
      <c r="X82" s="1962"/>
      <c r="Y82" s="1961"/>
      <c r="Z82" s="1956"/>
    </row>
    <row r="83" spans="1:26" ht="15" hidden="1" customHeight="1" x14ac:dyDescent="0.2">
      <c r="A83" s="2001"/>
      <c r="B83" s="1961"/>
      <c r="C83" s="1961"/>
      <c r="D83" s="1961"/>
      <c r="E83" s="1961"/>
      <c r="F83" s="1962"/>
      <c r="G83" s="2004"/>
      <c r="H83" s="2004"/>
      <c r="I83" s="2004"/>
      <c r="J83" s="2005"/>
      <c r="K83" s="2004"/>
      <c r="L83" s="2004"/>
      <c r="M83" s="2016"/>
      <c r="N83" s="2004"/>
      <c r="O83" s="2004"/>
      <c r="P83" s="2005"/>
      <c r="Q83" s="2006"/>
      <c r="R83" s="2004"/>
      <c r="S83" s="2004"/>
      <c r="T83" s="2020"/>
      <c r="U83" s="2020"/>
      <c r="V83" s="1961"/>
      <c r="W83" s="1962"/>
      <c r="X83" s="1962"/>
      <c r="Y83" s="1961"/>
      <c r="Z83" s="1956"/>
    </row>
    <row r="84" spans="1:26" ht="15" hidden="1" customHeight="1" x14ac:dyDescent="0.2">
      <c r="A84" s="2001"/>
      <c r="B84" s="1961" t="s">
        <v>2213</v>
      </c>
      <c r="C84" s="1961" t="s">
        <v>2214</v>
      </c>
      <c r="D84" s="1961"/>
      <c r="E84" s="1961" t="s">
        <v>2215</v>
      </c>
      <c r="F84" s="1962"/>
      <c r="G84" s="2004"/>
      <c r="H84" s="2004"/>
      <c r="I84" s="2004"/>
      <c r="J84" s="2005"/>
      <c r="K84" s="2004"/>
      <c r="L84" s="2004"/>
      <c r="M84" s="2016"/>
      <c r="N84" s="2004"/>
      <c r="O84" s="2004"/>
      <c r="P84" s="2005"/>
      <c r="Q84" s="2006">
        <f>O84+M84+K84</f>
        <v>0</v>
      </c>
      <c r="R84" s="2004"/>
      <c r="S84" s="2004"/>
      <c r="T84" s="2020"/>
      <c r="U84" s="2020"/>
      <c r="V84" s="1961"/>
      <c r="W84" s="1962"/>
      <c r="X84" s="1962"/>
      <c r="Y84" s="1961"/>
      <c r="Z84" s="1956"/>
    </row>
    <row r="85" spans="1:26" ht="15" hidden="1" customHeight="1" x14ac:dyDescent="0.2">
      <c r="A85" s="2001"/>
      <c r="B85" s="1961" t="s">
        <v>2213</v>
      </c>
      <c r="C85" s="1961" t="s">
        <v>2214</v>
      </c>
      <c r="D85" s="1961"/>
      <c r="E85" s="1961" t="s">
        <v>2216</v>
      </c>
      <c r="F85" s="1962"/>
      <c r="G85" s="2004"/>
      <c r="H85" s="2004"/>
      <c r="I85" s="2037"/>
      <c r="J85" s="2005"/>
      <c r="K85" s="2004"/>
      <c r="L85" s="2004"/>
      <c r="M85" s="2037"/>
      <c r="N85" s="2004"/>
      <c r="O85" s="2004"/>
      <c r="P85" s="2005"/>
      <c r="Q85" s="2006">
        <f>O85+M85+K85</f>
        <v>0</v>
      </c>
      <c r="R85" s="2004"/>
      <c r="S85" s="2004"/>
      <c r="T85" s="2020" t="s">
        <v>2173</v>
      </c>
      <c r="U85" s="2020"/>
      <c r="V85" s="1961"/>
      <c r="W85" s="1962"/>
      <c r="X85" s="1962"/>
      <c r="Y85" s="1961">
        <f>IF(+G85+I85-K85-M85&lt;0,0,+G85+I85-K85-M85)</f>
        <v>0</v>
      </c>
      <c r="Z85" s="1956"/>
    </row>
    <row r="86" spans="1:26" ht="15" hidden="1" customHeight="1" x14ac:dyDescent="0.2">
      <c r="A86" s="2001"/>
      <c r="B86" s="1961"/>
      <c r="C86" s="1961"/>
      <c r="D86" s="1961"/>
      <c r="E86" s="1961"/>
      <c r="F86" s="1962"/>
      <c r="G86" s="2004"/>
      <c r="H86" s="2004"/>
      <c r="I86" s="2004"/>
      <c r="J86" s="2005"/>
      <c r="K86" s="2016"/>
      <c r="L86" s="2004"/>
      <c r="M86" s="2016"/>
      <c r="N86" s="2004"/>
      <c r="O86" s="2004"/>
      <c r="P86" s="2005"/>
      <c r="Q86" s="2006"/>
      <c r="R86" s="2004"/>
      <c r="S86" s="2004"/>
      <c r="T86" s="2020"/>
      <c r="U86" s="2020"/>
      <c r="V86" s="1961"/>
      <c r="W86" s="1962"/>
      <c r="X86" s="1962"/>
      <c r="Y86" s="1961"/>
      <c r="Z86" s="1956"/>
    </row>
    <row r="87" spans="1:26" ht="17.25" hidden="1" customHeight="1" x14ac:dyDescent="0.2">
      <c r="A87" s="2001"/>
      <c r="B87" s="1981" t="s">
        <v>2217</v>
      </c>
      <c r="C87" s="2003">
        <v>84.242999999999995</v>
      </c>
      <c r="D87" s="1961"/>
      <c r="E87" s="1962" t="s">
        <v>2218</v>
      </c>
      <c r="F87" s="1962"/>
      <c r="G87" s="2014"/>
      <c r="H87" s="2004"/>
      <c r="I87" s="2014"/>
      <c r="J87" s="2005"/>
      <c r="K87" s="2014"/>
      <c r="L87" s="2004"/>
      <c r="M87" s="2038"/>
      <c r="N87" s="2004"/>
      <c r="O87" s="2014"/>
      <c r="P87" s="2005"/>
      <c r="Q87" s="2011">
        <f>O87+M87+K87</f>
        <v>0</v>
      </c>
      <c r="R87" s="2004"/>
      <c r="S87" s="2007"/>
      <c r="T87" s="2013" t="s">
        <v>2173</v>
      </c>
      <c r="U87" s="2013"/>
      <c r="V87" s="1961"/>
      <c r="W87" s="1962" t="s">
        <v>99</v>
      </c>
      <c r="X87" s="1962" t="s">
        <v>99</v>
      </c>
      <c r="Y87" s="1961">
        <f>IF(+G87+I87-K87-M87&lt;0,0,+G87+I87-K87-M87)</f>
        <v>0</v>
      </c>
      <c r="Z87" s="1956"/>
    </row>
    <row r="88" spans="1:26" ht="18" hidden="1" customHeight="1" x14ac:dyDescent="0.2">
      <c r="A88" s="1971" t="s">
        <v>2219</v>
      </c>
      <c r="B88" s="1981"/>
      <c r="C88" s="2003"/>
      <c r="D88" s="1961"/>
      <c r="E88" s="1962"/>
      <c r="F88" s="1962"/>
      <c r="G88" s="2016">
        <f>SUM(G83:G87)</f>
        <v>0</v>
      </c>
      <c r="H88" s="2004"/>
      <c r="I88" s="2016">
        <f>SUM(I83:I87)</f>
        <v>0</v>
      </c>
      <c r="J88" s="2005"/>
      <c r="K88" s="2016">
        <f>SUM(K83:K87)</f>
        <v>0</v>
      </c>
      <c r="L88" s="2004"/>
      <c r="M88" s="2016">
        <f>SUM(M83:M87)</f>
        <v>0</v>
      </c>
      <c r="N88" s="2004"/>
      <c r="O88" s="2016">
        <f>SUM(O83:O87)</f>
        <v>0</v>
      </c>
      <c r="P88" s="2005"/>
      <c r="Q88" s="2016">
        <f>SUM(Q83:Q87)</f>
        <v>0</v>
      </c>
      <c r="R88" s="2004"/>
      <c r="S88" s="2007"/>
      <c r="T88" s="2020"/>
      <c r="U88" s="2020"/>
      <c r="V88" s="1961"/>
      <c r="W88" s="1962"/>
      <c r="X88" s="1962"/>
      <c r="Y88" s="1961"/>
      <c r="Z88" s="1956"/>
    </row>
    <row r="89" spans="1:26" ht="15" hidden="1" customHeight="1" x14ac:dyDescent="0.2">
      <c r="A89" s="1971"/>
      <c r="B89" s="1981"/>
      <c r="C89" s="2003"/>
      <c r="D89" s="1961"/>
      <c r="E89" s="1962"/>
      <c r="F89" s="1962"/>
      <c r="G89" s="2016"/>
      <c r="H89" s="2004"/>
      <c r="I89" s="2016"/>
      <c r="J89" s="2005"/>
      <c r="K89" s="2016"/>
      <c r="L89" s="2004"/>
      <c r="M89" s="2016"/>
      <c r="N89" s="2004"/>
      <c r="O89" s="2016"/>
      <c r="P89" s="2005"/>
      <c r="Q89" s="2015"/>
      <c r="R89" s="2004"/>
      <c r="S89" s="2007"/>
      <c r="T89" s="2020"/>
      <c r="U89" s="2020"/>
      <c r="V89" s="1961"/>
      <c r="W89" s="1962"/>
      <c r="X89" s="1962"/>
      <c r="Y89" s="1961"/>
      <c r="Z89" s="1956"/>
    </row>
    <row r="90" spans="1:26" ht="18" customHeight="1" x14ac:dyDescent="0.2">
      <c r="A90" s="1971" t="s">
        <v>2220</v>
      </c>
      <c r="B90" s="1981"/>
      <c r="C90" s="2003"/>
      <c r="D90" s="1961"/>
      <c r="E90" s="1962"/>
      <c r="F90" s="1962"/>
      <c r="G90" s="2016">
        <f>SUM(G65,G73,G78,G88)</f>
        <v>707229</v>
      </c>
      <c r="H90" s="2004"/>
      <c r="I90" s="2016">
        <f>SUM(I65,I73,I78,I88)</f>
        <v>1397546</v>
      </c>
      <c r="J90" s="2005"/>
      <c r="K90" s="2016">
        <f>SUM(K65,K73,K78,K88)</f>
        <v>1065892</v>
      </c>
      <c r="L90" s="2004"/>
      <c r="M90" s="2016">
        <f>SUM(M65,M73,M78,M88)</f>
        <v>1355419</v>
      </c>
      <c r="N90" s="2004"/>
      <c r="O90" s="2016">
        <f>SUM(O65,O73,O78,O88)</f>
        <v>257112</v>
      </c>
      <c r="P90" s="2005"/>
      <c r="Q90" s="2016">
        <f>SUM(Q65,Q73,Q78,Q88)</f>
        <v>2678423</v>
      </c>
      <c r="R90" s="2004"/>
      <c r="S90" s="2007"/>
      <c r="T90" s="2021"/>
      <c r="U90" s="2021"/>
      <c r="V90" s="1961"/>
      <c r="W90" s="1962"/>
      <c r="X90" s="1962"/>
      <c r="Y90" s="1961"/>
      <c r="Z90" s="1956"/>
    </row>
    <row r="91" spans="1:26" ht="9.75" customHeight="1" x14ac:dyDescent="0.2">
      <c r="A91" s="2001"/>
      <c r="B91" s="1961"/>
      <c r="C91" s="1961"/>
      <c r="D91" s="1961"/>
      <c r="E91" s="1961"/>
      <c r="F91" s="1962"/>
      <c r="G91" s="2016"/>
      <c r="H91" s="2004"/>
      <c r="I91" s="2016"/>
      <c r="J91" s="2016"/>
      <c r="K91" s="2016"/>
      <c r="L91" s="2016"/>
      <c r="M91" s="2016"/>
      <c r="N91" s="2016"/>
      <c r="O91" s="2016"/>
      <c r="P91" s="2016"/>
      <c r="Q91" s="2016"/>
      <c r="R91" s="2004"/>
      <c r="S91" s="2004"/>
      <c r="T91" s="2021"/>
      <c r="U91" s="2021"/>
      <c r="V91" s="1961"/>
      <c r="W91" s="1962"/>
      <c r="X91" s="1962"/>
      <c r="Y91" s="1961"/>
      <c r="Z91" s="1956"/>
    </row>
    <row r="92" spans="1:26" ht="15" customHeight="1" x14ac:dyDescent="0.2">
      <c r="A92" s="2001" t="s">
        <v>2221</v>
      </c>
      <c r="B92" s="1961"/>
      <c r="C92" s="1961"/>
      <c r="D92" s="1961"/>
      <c r="E92" s="1961"/>
      <c r="F92" s="1962"/>
      <c r="G92" s="2004"/>
      <c r="H92" s="2004"/>
      <c r="I92" s="2004"/>
      <c r="J92" s="2005"/>
      <c r="K92" s="2004"/>
      <c r="L92" s="2004"/>
      <c r="M92" s="2004"/>
      <c r="N92" s="2004"/>
      <c r="O92" s="2004"/>
      <c r="P92" s="2005"/>
      <c r="Q92" s="2004"/>
      <c r="R92" s="2004"/>
      <c r="S92" s="2004"/>
      <c r="T92" s="2021"/>
      <c r="U92" s="2021"/>
      <c r="V92" s="1961"/>
      <c r="W92" s="1962"/>
      <c r="X92" s="1962"/>
      <c r="Y92" s="1961"/>
      <c r="Z92" s="1956"/>
    </row>
    <row r="93" spans="1:26" ht="15" customHeight="1" x14ac:dyDescent="0.2">
      <c r="A93" s="2001" t="s">
        <v>2202</v>
      </c>
      <c r="B93" s="1961"/>
      <c r="C93" s="1961"/>
      <c r="D93" s="1961"/>
      <c r="E93" s="1961"/>
      <c r="F93" s="1962"/>
      <c r="G93" s="2004"/>
      <c r="H93" s="2004"/>
      <c r="I93" s="2004"/>
      <c r="J93" s="2005"/>
      <c r="K93" s="2004"/>
      <c r="L93" s="2004"/>
      <c r="M93" s="2004"/>
      <c r="N93" s="2004"/>
      <c r="O93" s="2004"/>
      <c r="P93" s="2005"/>
      <c r="Q93" s="2004"/>
      <c r="R93" s="2004"/>
      <c r="S93" s="2004"/>
      <c r="T93" s="2020"/>
      <c r="U93" s="2020"/>
      <c r="V93" s="1961"/>
      <c r="W93" s="1962"/>
      <c r="X93" s="1962"/>
      <c r="Y93" s="1961"/>
      <c r="Z93" s="1956"/>
    </row>
    <row r="94" spans="1:26" ht="15" customHeight="1" x14ac:dyDescent="0.2">
      <c r="A94" s="2001" t="s">
        <v>2222</v>
      </c>
      <c r="B94" s="1961"/>
      <c r="C94" s="1961"/>
      <c r="D94" s="1961"/>
      <c r="E94" s="1961"/>
      <c r="F94" s="1962"/>
      <c r="G94" s="2004"/>
      <c r="H94" s="2004"/>
      <c r="I94" s="2004"/>
      <c r="J94" s="2005"/>
      <c r="K94" s="2004"/>
      <c r="L94" s="2004"/>
      <c r="M94" s="2004"/>
      <c r="N94" s="2004"/>
      <c r="O94" s="2004"/>
      <c r="P94" s="2005"/>
      <c r="Q94" s="2004"/>
      <c r="R94" s="2004"/>
      <c r="S94" s="2004"/>
      <c r="T94" s="2020"/>
      <c r="U94" s="2020"/>
      <c r="V94" s="1961"/>
      <c r="W94" s="1962"/>
      <c r="X94" s="1962"/>
      <c r="Y94" s="1961"/>
      <c r="Z94" s="1956"/>
    </row>
    <row r="95" spans="1:26" ht="15" customHeight="1" x14ac:dyDescent="0.2">
      <c r="A95" s="2001"/>
      <c r="B95" s="1981" t="s">
        <v>2223</v>
      </c>
      <c r="C95" s="2003">
        <v>93.778000000000006</v>
      </c>
      <c r="D95" s="1961"/>
      <c r="E95" s="1962" t="s">
        <v>2224</v>
      </c>
      <c r="F95" s="1962"/>
      <c r="G95" s="2004">
        <v>8468</v>
      </c>
      <c r="H95" s="2004"/>
      <c r="I95" s="2004">
        <v>4847</v>
      </c>
      <c r="J95" s="2005"/>
      <c r="K95" s="2004">
        <v>13870</v>
      </c>
      <c r="L95" s="2004"/>
      <c r="M95" s="2004"/>
      <c r="N95" s="2004"/>
      <c r="O95" s="2004"/>
      <c r="P95" s="2005"/>
      <c r="Q95" s="2006">
        <f>O95+M95+K95</f>
        <v>13870</v>
      </c>
      <c r="R95" s="2004"/>
      <c r="S95" s="2007" t="s">
        <v>2158</v>
      </c>
      <c r="T95" s="2020" t="s">
        <v>2173</v>
      </c>
      <c r="U95" s="2013" t="s">
        <v>2174</v>
      </c>
      <c r="V95" s="1961"/>
      <c r="W95" s="1962" t="s">
        <v>99</v>
      </c>
      <c r="X95" s="1962" t="s">
        <v>99</v>
      </c>
      <c r="Y95" s="1961">
        <f>IF(+G95+I95-K95-M95&lt;0,0,+G95+I95-K95-M95)</f>
        <v>0</v>
      </c>
      <c r="Z95" s="1956"/>
    </row>
    <row r="96" spans="1:26" ht="15" customHeight="1" x14ac:dyDescent="0.2">
      <c r="A96" s="2001"/>
      <c r="B96" s="1981" t="s">
        <v>2223</v>
      </c>
      <c r="C96" s="2003">
        <v>93.778000000000006</v>
      </c>
      <c r="D96" s="1961"/>
      <c r="E96" s="1962" t="s">
        <v>2225</v>
      </c>
      <c r="F96" s="1962"/>
      <c r="G96" s="2014"/>
      <c r="H96" s="2004"/>
      <c r="I96" s="2014">
        <v>18273</v>
      </c>
      <c r="J96" s="2005"/>
      <c r="K96" s="2014"/>
      <c r="L96" s="2004"/>
      <c r="M96" s="2039">
        <v>23936</v>
      </c>
      <c r="N96" s="2004"/>
      <c r="O96" s="2014"/>
      <c r="P96" s="2005"/>
      <c r="Q96" s="2011">
        <f>O96+M96+K96</f>
        <v>23936</v>
      </c>
      <c r="R96" s="2004"/>
      <c r="S96" s="2007" t="s">
        <v>2158</v>
      </c>
      <c r="T96" s="2020" t="s">
        <v>2173</v>
      </c>
      <c r="U96" s="2013" t="s">
        <v>2174</v>
      </c>
      <c r="V96" s="1961"/>
      <c r="W96" s="1962" t="s">
        <v>99</v>
      </c>
      <c r="X96" s="1962" t="s">
        <v>99</v>
      </c>
      <c r="Y96" s="1961">
        <f>IF(+G96+I96-K96-M96&lt;0,0,+G96+I96-K96-M96)</f>
        <v>0</v>
      </c>
      <c r="Z96" s="1956"/>
    </row>
    <row r="97" spans="1:26" ht="7.15" customHeight="1" x14ac:dyDescent="0.2">
      <c r="A97" s="2001"/>
      <c r="B97" s="1961"/>
      <c r="C97" s="1961"/>
      <c r="D97" s="1961"/>
      <c r="E97" s="1961"/>
      <c r="F97" s="1962"/>
      <c r="G97" s="2004"/>
      <c r="H97" s="2004"/>
      <c r="I97" s="2004"/>
      <c r="J97" s="2005"/>
      <c r="K97" s="2004"/>
      <c r="L97" s="2004"/>
      <c r="M97" s="2004"/>
      <c r="N97" s="2004"/>
      <c r="O97" s="2004"/>
      <c r="P97" s="2005"/>
      <c r="Q97" s="2004"/>
      <c r="R97" s="2004"/>
      <c r="S97" s="2004"/>
      <c r="T97" s="2020"/>
      <c r="U97" s="2020"/>
      <c r="V97" s="1961"/>
      <c r="W97" s="1962"/>
      <c r="X97" s="1962"/>
      <c r="Y97" s="1961"/>
      <c r="Z97" s="1956"/>
    </row>
    <row r="98" spans="1:26" ht="6.6" customHeight="1" x14ac:dyDescent="0.2">
      <c r="A98" s="2002"/>
      <c r="B98" s="1981"/>
      <c r="C98" s="2003"/>
      <c r="D98" s="1961"/>
      <c r="E98" s="1962"/>
      <c r="F98" s="1962"/>
      <c r="G98" s="2016"/>
      <c r="H98" s="2004"/>
      <c r="I98" s="2016"/>
      <c r="J98" s="2005"/>
      <c r="K98" s="2016"/>
      <c r="L98" s="2004"/>
      <c r="M98" s="2016"/>
      <c r="N98" s="2004"/>
      <c r="O98" s="2016"/>
      <c r="P98" s="2005"/>
      <c r="Q98" s="2016"/>
      <c r="R98" s="2004"/>
      <c r="S98" s="2007"/>
      <c r="T98" s="2020"/>
      <c r="U98" s="2020"/>
      <c r="V98" s="1961"/>
      <c r="W98" s="1962"/>
      <c r="X98" s="1962"/>
      <c r="Y98" s="1961"/>
      <c r="Z98" s="1956"/>
    </row>
    <row r="99" spans="1:26" ht="18" customHeight="1" x14ac:dyDescent="0.2">
      <c r="A99" s="1971" t="s">
        <v>2226</v>
      </c>
      <c r="B99" s="1981"/>
      <c r="C99" s="2003"/>
      <c r="D99" s="1961"/>
      <c r="E99" s="1962"/>
      <c r="F99" s="1962"/>
      <c r="G99" s="2015">
        <f>SUM(G94:G98)</f>
        <v>8468</v>
      </c>
      <c r="H99" s="2015"/>
      <c r="I99" s="2015">
        <f>SUM(I94:I98)</f>
        <v>23120</v>
      </c>
      <c r="J99" s="2015"/>
      <c r="K99" s="2015">
        <f>SUM(K94:K98)</f>
        <v>13870</v>
      </c>
      <c r="L99" s="2015"/>
      <c r="M99" s="2015">
        <f>SUM(M94:M98)</f>
        <v>23936</v>
      </c>
      <c r="N99" s="2015"/>
      <c r="O99" s="2015">
        <f>SUM(O94:O98)</f>
        <v>0</v>
      </c>
      <c r="P99" s="2015"/>
      <c r="Q99" s="2015">
        <f>SUM(Q94:Q98)</f>
        <v>37806</v>
      </c>
      <c r="R99" s="2004"/>
      <c r="S99" s="2007"/>
      <c r="T99" s="2020"/>
      <c r="U99" s="2020"/>
      <c r="V99" s="1961"/>
      <c r="W99" s="1962"/>
      <c r="X99" s="1962"/>
      <c r="Y99" s="1961"/>
      <c r="Z99" s="1956"/>
    </row>
    <row r="100" spans="1:26" ht="7.5" customHeight="1" x14ac:dyDescent="0.2">
      <c r="A100" s="1971"/>
      <c r="B100" s="1981"/>
      <c r="C100" s="2003"/>
      <c r="D100" s="1961"/>
      <c r="E100" s="1962"/>
      <c r="F100" s="1962"/>
      <c r="G100" s="2015"/>
      <c r="H100" s="2015"/>
      <c r="I100" s="2015"/>
      <c r="J100" s="2015"/>
      <c r="K100" s="2015"/>
      <c r="L100" s="2015"/>
      <c r="M100" s="2015"/>
      <c r="N100" s="2015"/>
      <c r="O100" s="2015"/>
      <c r="P100" s="2015"/>
      <c r="Q100" s="2015"/>
      <c r="R100" s="2004"/>
      <c r="S100" s="2007"/>
      <c r="T100" s="2020"/>
      <c r="U100" s="2020"/>
      <c r="V100" s="1961"/>
      <c r="W100" s="1962"/>
      <c r="X100" s="1962"/>
      <c r="Y100" s="1961"/>
      <c r="Z100" s="1956"/>
    </row>
    <row r="101" spans="1:26" ht="21" customHeight="1" thickBot="1" x14ac:dyDescent="0.25">
      <c r="A101" s="1971" t="s">
        <v>2227</v>
      </c>
      <c r="C101" s="2040"/>
      <c r="D101" s="1961"/>
      <c r="E101" s="1961"/>
      <c r="F101" s="1962"/>
      <c r="G101" s="2041">
        <f>G40+G90+G99</f>
        <v>1486692</v>
      </c>
      <c r="H101" s="2041"/>
      <c r="I101" s="2041">
        <f>I40+I90+I99</f>
        <v>2410509</v>
      </c>
      <c r="J101" s="2041"/>
      <c r="K101" s="2041">
        <f>K40+K90+K99</f>
        <v>1976593</v>
      </c>
      <c r="L101" s="2041"/>
      <c r="M101" s="2041">
        <f>M40+M90+M99</f>
        <v>2465753</v>
      </c>
      <c r="N101" s="2041"/>
      <c r="O101" s="2041">
        <f>O40+O90+O99</f>
        <v>257112</v>
      </c>
      <c r="P101" s="2041"/>
      <c r="Q101" s="2041">
        <f>Q40+Q90+Q99</f>
        <v>4699458</v>
      </c>
      <c r="R101" s="2042"/>
      <c r="S101" s="2004"/>
      <c r="T101" s="2020"/>
      <c r="U101" s="2020"/>
      <c r="V101" s="2043">
        <f>SUM(V16:V100)</f>
        <v>1086398</v>
      </c>
      <c r="W101" s="1962"/>
      <c r="X101" s="1962"/>
      <c r="Y101" s="2044">
        <f>SUM(Y16:Y100)</f>
        <v>0</v>
      </c>
      <c r="Z101" s="1956"/>
    </row>
    <row r="102" spans="1:26" ht="15" customHeight="1" thickTop="1" x14ac:dyDescent="0.2">
      <c r="B102" s="1961"/>
      <c r="C102" s="2040"/>
      <c r="D102" s="1961"/>
      <c r="E102" s="1961"/>
      <c r="F102" s="1962"/>
      <c r="G102" s="2045"/>
      <c r="H102" s="2004"/>
      <c r="I102" s="2045"/>
      <c r="J102" s="2005"/>
      <c r="K102" s="2045"/>
      <c r="L102" s="2032"/>
      <c r="M102" s="2045"/>
      <c r="N102" s="2032"/>
      <c r="O102" s="2045"/>
      <c r="P102" s="2005"/>
      <c r="Q102" s="2045"/>
      <c r="R102" s="2032"/>
      <c r="S102" s="2004"/>
      <c r="T102" s="2046"/>
      <c r="U102" s="2046"/>
      <c r="V102" s="1994" t="s">
        <v>2228</v>
      </c>
      <c r="W102" s="1962"/>
      <c r="X102" s="1962"/>
      <c r="Y102" s="1961"/>
      <c r="Z102" s="1956"/>
    </row>
    <row r="103" spans="1:26" x14ac:dyDescent="0.2">
      <c r="B103" s="1961"/>
      <c r="C103" s="2040"/>
      <c r="D103" s="1961"/>
      <c r="E103" s="1961"/>
      <c r="F103" s="1962"/>
      <c r="G103" s="2045"/>
      <c r="H103" s="2004"/>
      <c r="I103" s="2045"/>
      <c r="J103" s="2005"/>
      <c r="K103" s="2045"/>
      <c r="L103" s="2032"/>
      <c r="M103" s="2045"/>
      <c r="N103" s="2032"/>
      <c r="O103" s="2045"/>
      <c r="P103" s="2005"/>
      <c r="Q103" s="2045"/>
      <c r="R103" s="2032"/>
      <c r="S103" s="2004"/>
      <c r="T103" s="2020"/>
      <c r="U103" s="2020"/>
      <c r="V103" s="1994" t="s">
        <v>2229</v>
      </c>
      <c r="W103" s="2023"/>
      <c r="X103" s="2023"/>
      <c r="Y103" s="1961"/>
      <c r="Z103" s="1956"/>
    </row>
    <row r="104" spans="1:26" ht="18" customHeight="1" x14ac:dyDescent="0.2">
      <c r="A104" s="1971" t="s">
        <v>2230</v>
      </c>
      <c r="B104" s="1961"/>
      <c r="C104" s="2040"/>
      <c r="D104" s="1961"/>
      <c r="E104" s="1961"/>
      <c r="F104" s="1962"/>
      <c r="G104" s="2006">
        <f>SUM(G20:G39)+SUM(G45:G64)</f>
        <v>1478224</v>
      </c>
      <c r="H104" s="2006"/>
      <c r="I104" s="2006">
        <f>SUM(I20:I39)+SUM(I45:I64)</f>
        <v>2387389</v>
      </c>
      <c r="J104" s="2006"/>
      <c r="K104" s="2006">
        <f>SUM(K20:K39)+SUM(K45:K64)</f>
        <v>1962723</v>
      </c>
      <c r="L104" s="2006"/>
      <c r="M104" s="2006">
        <f>SUM(M20:M39)+SUM(M45:M64)</f>
        <v>2441817</v>
      </c>
      <c r="N104" s="2006"/>
      <c r="O104" s="2006">
        <f>SUM(O20:O39)+SUM(O45:O64)</f>
        <v>257112</v>
      </c>
      <c r="P104" s="2006"/>
      <c r="Q104" s="2006">
        <f>SUM(Q20:Q39)+SUM(Q45:Q64)</f>
        <v>4661652</v>
      </c>
      <c r="R104" s="2032"/>
      <c r="S104" s="2004"/>
      <c r="T104" s="2020"/>
      <c r="U104" s="2020"/>
      <c r="V104" s="2047">
        <f>+V101/M108</f>
        <v>0.44059482032466352</v>
      </c>
      <c r="W104" s="2023"/>
      <c r="X104" s="2023"/>
      <c r="Y104" s="1961"/>
      <c r="Z104" s="1956"/>
    </row>
    <row r="105" spans="1:26" ht="6" customHeight="1" x14ac:dyDescent="0.2">
      <c r="A105" s="1971"/>
      <c r="B105" s="1961"/>
      <c r="C105" s="2040"/>
      <c r="D105" s="1961"/>
      <c r="E105" s="1961"/>
      <c r="F105" s="1962"/>
      <c r="G105" s="2045"/>
      <c r="H105" s="2004"/>
      <c r="I105" s="2045"/>
      <c r="J105" s="2005"/>
      <c r="K105" s="2045"/>
      <c r="L105" s="2032"/>
      <c r="M105" s="2045"/>
      <c r="N105" s="2032"/>
      <c r="O105" s="2045"/>
      <c r="P105" s="2005"/>
      <c r="Q105" s="2045"/>
      <c r="R105" s="2032"/>
      <c r="S105" s="2004"/>
      <c r="T105" s="2020"/>
      <c r="U105" s="2020"/>
      <c r="W105" s="2023"/>
      <c r="X105" s="2023"/>
      <c r="Y105" s="1961"/>
      <c r="Z105" s="1956"/>
    </row>
    <row r="106" spans="1:26" ht="20.25" customHeight="1" x14ac:dyDescent="0.2">
      <c r="A106" s="1971" t="s">
        <v>2231</v>
      </c>
      <c r="B106" s="1961"/>
      <c r="C106" s="2040"/>
      <c r="D106" s="1961"/>
      <c r="E106" s="1961"/>
      <c r="F106" s="1962"/>
      <c r="G106" s="2015">
        <f>SUM(G73,G78,G88,G99)</f>
        <v>8468</v>
      </c>
      <c r="H106" s="2015"/>
      <c r="I106" s="2015">
        <f>SUM(I73,I78,I88,I99)</f>
        <v>23120</v>
      </c>
      <c r="J106" s="2015"/>
      <c r="K106" s="2015">
        <f>SUM(K73,K78,K88,K99)</f>
        <v>13870</v>
      </c>
      <c r="L106" s="2015"/>
      <c r="M106" s="2015">
        <f>SUM(M73,M78,M88,M99)</f>
        <v>23936</v>
      </c>
      <c r="N106" s="2015"/>
      <c r="O106" s="2015">
        <f>SUM(O73,O78,O88,O99)</f>
        <v>0</v>
      </c>
      <c r="P106" s="2015"/>
      <c r="Q106" s="2015">
        <f>SUM(Q73,Q78,Q88,Q99)</f>
        <v>37806</v>
      </c>
      <c r="R106" s="2032"/>
      <c r="S106" s="2004"/>
      <c r="T106" s="2020"/>
      <c r="U106" s="2020"/>
      <c r="V106" s="1963">
        <f>M108*0.4</f>
        <v>986301.20000000007</v>
      </c>
      <c r="W106" s="2023"/>
      <c r="X106" s="2023"/>
      <c r="Y106" s="1961"/>
      <c r="Z106" s="1956"/>
    </row>
    <row r="107" spans="1:26" ht="0.75" customHeight="1" x14ac:dyDescent="0.2">
      <c r="A107" s="1971"/>
      <c r="B107" s="1961"/>
      <c r="C107" s="2040"/>
      <c r="D107" s="1961"/>
      <c r="E107" s="1961"/>
      <c r="F107" s="1962"/>
      <c r="G107" s="2045"/>
      <c r="H107" s="2004"/>
      <c r="I107" s="2045"/>
      <c r="J107" s="2005"/>
      <c r="K107" s="2045"/>
      <c r="L107" s="2032"/>
      <c r="M107" s="2045"/>
      <c r="N107" s="2032"/>
      <c r="O107" s="2045"/>
      <c r="P107" s="2005"/>
      <c r="Q107" s="2045"/>
      <c r="R107" s="2032"/>
      <c r="S107" s="2004"/>
      <c r="T107" s="2046"/>
      <c r="U107" s="2046"/>
      <c r="W107" s="2023"/>
      <c r="X107" s="2023"/>
      <c r="Y107" s="1961"/>
      <c r="Z107" s="1956"/>
    </row>
    <row r="108" spans="1:26" s="2048" customFormat="1" ht="21" customHeight="1" x14ac:dyDescent="0.2">
      <c r="A108" s="1971" t="s">
        <v>2227</v>
      </c>
      <c r="B108" s="1961"/>
      <c r="C108" s="2040"/>
      <c r="D108" s="1961"/>
      <c r="E108" s="1961"/>
      <c r="F108" s="1962"/>
      <c r="G108" s="2041">
        <f>G104+G106</f>
        <v>1486692</v>
      </c>
      <c r="H108" s="2041"/>
      <c r="I108" s="2041">
        <f>I104+I106</f>
        <v>2410509</v>
      </c>
      <c r="J108" s="2041"/>
      <c r="K108" s="2041">
        <f t="shared" ref="K108:Q108" si="0">K104+K106</f>
        <v>1976593</v>
      </c>
      <c r="L108" s="2041"/>
      <c r="M108" s="2041">
        <f t="shared" si="0"/>
        <v>2465753</v>
      </c>
      <c r="N108" s="2041"/>
      <c r="O108" s="2041">
        <f t="shared" si="0"/>
        <v>257112</v>
      </c>
      <c r="P108" s="2041"/>
      <c r="Q108" s="2041">
        <f t="shared" si="0"/>
        <v>4699458</v>
      </c>
      <c r="R108" s="2032"/>
      <c r="S108" s="2004"/>
      <c r="T108" s="2046"/>
      <c r="U108" s="2046"/>
      <c r="V108" s="1963"/>
      <c r="W108" s="2023"/>
      <c r="X108" s="2023"/>
      <c r="Y108" s="1961"/>
      <c r="Z108" s="1956"/>
    </row>
    <row r="109" spans="1:26" s="2049" customFormat="1" ht="15" customHeight="1" x14ac:dyDescent="0.2">
      <c r="A109" s="1962"/>
      <c r="B109" s="1961"/>
      <c r="C109" s="2040"/>
      <c r="D109" s="1961"/>
      <c r="E109" s="1961"/>
      <c r="F109" s="1962"/>
      <c r="G109" s="2045"/>
      <c r="H109" s="2004"/>
      <c r="I109" s="2045"/>
      <c r="J109" s="2005"/>
      <c r="K109" s="2045"/>
      <c r="L109" s="2032"/>
      <c r="M109" s="2045"/>
      <c r="N109" s="2032"/>
      <c r="O109" s="2045"/>
      <c r="P109" s="2005"/>
      <c r="Q109" s="2045"/>
      <c r="R109" s="2032"/>
      <c r="S109" s="2004"/>
      <c r="T109" s="2046"/>
      <c r="U109" s="2046"/>
      <c r="V109" s="1963"/>
      <c r="W109" s="2023"/>
      <c r="X109" s="2023"/>
      <c r="Y109" s="1963"/>
      <c r="Z109" s="1956"/>
    </row>
    <row r="110" spans="1:26" s="2049" customFormat="1" ht="15" customHeight="1" x14ac:dyDescent="0.2">
      <c r="A110" s="1961" t="s">
        <v>2232</v>
      </c>
      <c r="B110" s="1963"/>
      <c r="C110" s="1961"/>
      <c r="D110" s="1961"/>
      <c r="E110" s="1961"/>
      <c r="F110" s="1962"/>
      <c r="G110" s="2004"/>
      <c r="H110" s="2004"/>
      <c r="I110" s="2004"/>
      <c r="J110" s="2005"/>
      <c r="K110" s="2004"/>
      <c r="L110" s="2004"/>
      <c r="M110" s="2004"/>
      <c r="N110" s="2004"/>
      <c r="O110" s="2004"/>
      <c r="P110" s="2005"/>
      <c r="Q110" s="2004"/>
      <c r="R110" s="2004"/>
      <c r="S110" s="2004"/>
      <c r="T110" s="2046"/>
      <c r="U110" s="2046"/>
      <c r="V110" s="1963"/>
      <c r="W110" s="2023"/>
      <c r="X110" s="2023"/>
      <c r="Y110" s="1963"/>
      <c r="Z110" s="1956"/>
    </row>
    <row r="111" spans="1:26" s="2049" customFormat="1" ht="15" customHeight="1" x14ac:dyDescent="0.2">
      <c r="A111" s="1961" t="s">
        <v>2233</v>
      </c>
      <c r="B111" s="1963"/>
      <c r="C111" s="1961"/>
      <c r="D111" s="1961"/>
      <c r="E111" s="1961"/>
      <c r="F111" s="1962"/>
      <c r="G111" s="2004"/>
      <c r="H111" s="2004"/>
      <c r="I111" s="2004"/>
      <c r="J111" s="2005"/>
      <c r="K111" s="2004"/>
      <c r="L111" s="2004"/>
      <c r="M111" s="2004"/>
      <c r="N111" s="2004"/>
      <c r="O111" s="2004"/>
      <c r="P111" s="2005"/>
      <c r="Q111" s="2004"/>
      <c r="R111" s="2004"/>
      <c r="S111" s="2004"/>
      <c r="T111" s="2046"/>
      <c r="U111" s="2046"/>
      <c r="V111" s="1963"/>
      <c r="W111" s="2023"/>
      <c r="X111" s="2023"/>
      <c r="Y111" s="1963"/>
      <c r="Z111" s="1956"/>
    </row>
    <row r="112" spans="1:26" s="2049" customFormat="1" ht="15" customHeight="1" x14ac:dyDescent="0.2">
      <c r="A112" s="2050" t="s">
        <v>2234</v>
      </c>
      <c r="B112" s="1963"/>
      <c r="C112" s="1961"/>
      <c r="D112" s="1961"/>
      <c r="E112" s="1961"/>
      <c r="F112" s="1962"/>
      <c r="G112" s="2004"/>
      <c r="H112" s="2004"/>
      <c r="I112" s="2004"/>
      <c r="J112" s="2005"/>
      <c r="K112" s="2004"/>
      <c r="L112" s="2004"/>
      <c r="M112" s="2004"/>
      <c r="N112" s="2004"/>
      <c r="O112" s="2004"/>
      <c r="P112" s="2005"/>
      <c r="Q112" s="2004"/>
      <c r="R112" s="2004"/>
      <c r="S112" s="2004"/>
      <c r="T112" s="2020"/>
      <c r="U112" s="2020"/>
      <c r="V112" s="1963"/>
      <c r="W112" s="2023"/>
      <c r="X112" s="2023"/>
      <c r="Y112" s="1963"/>
      <c r="Z112" s="1956"/>
    </row>
    <row r="113" spans="1:27" s="2049" customFormat="1" ht="15" customHeight="1" x14ac:dyDescent="0.2">
      <c r="A113" s="1981" t="s">
        <v>2235</v>
      </c>
      <c r="B113" s="1981"/>
      <c r="C113" s="1961"/>
      <c r="D113" s="1961"/>
      <c r="E113" s="1961"/>
      <c r="F113" s="1962"/>
      <c r="G113" s="2004"/>
      <c r="H113" s="2004"/>
      <c r="I113" s="2004"/>
      <c r="J113" s="2005"/>
      <c r="K113" s="2004"/>
      <c r="L113" s="2004"/>
      <c r="M113" s="2004"/>
      <c r="N113" s="2004"/>
      <c r="O113" s="2004"/>
      <c r="P113" s="2005"/>
      <c r="Q113" s="2004"/>
      <c r="R113" s="2004"/>
      <c r="S113" s="2004"/>
      <c r="T113" s="2020"/>
      <c r="U113" s="2020"/>
      <c r="V113" s="1963"/>
      <c r="W113" s="2023"/>
      <c r="X113" s="2023"/>
      <c r="Y113" s="1963"/>
      <c r="Z113" s="1956"/>
    </row>
    <row r="114" spans="1:27" s="2049" customFormat="1" ht="13.5" customHeight="1" x14ac:dyDescent="0.2">
      <c r="A114" s="2051" t="s">
        <v>2236</v>
      </c>
      <c r="B114" s="2051"/>
      <c r="C114" s="1956"/>
      <c r="D114" s="1956"/>
      <c r="E114" s="1956"/>
      <c r="F114" s="1955"/>
      <c r="G114" s="2052"/>
      <c r="H114" s="2052"/>
      <c r="I114" s="2052"/>
      <c r="J114" s="2053"/>
      <c r="K114" s="2052"/>
      <c r="L114" s="2052"/>
      <c r="M114" s="2052"/>
      <c r="N114" s="2052"/>
      <c r="O114" s="2052"/>
      <c r="P114" s="2053"/>
      <c r="Q114" s="2052"/>
      <c r="R114" s="2052"/>
      <c r="S114" s="2052"/>
      <c r="T114" s="2020"/>
      <c r="U114" s="2020"/>
      <c r="V114" s="1963"/>
      <c r="W114" s="2023"/>
      <c r="X114" s="2023"/>
      <c r="Y114" s="1963"/>
      <c r="Z114" s="1956"/>
    </row>
    <row r="115" spans="1:27" s="2049" customFormat="1" ht="15" customHeight="1" x14ac:dyDescent="0.2">
      <c r="A115" s="2054" t="s">
        <v>2237</v>
      </c>
      <c r="B115" s="2055"/>
      <c r="C115" s="2056"/>
      <c r="D115" s="2057"/>
      <c r="E115" s="2057"/>
      <c r="F115" s="2057"/>
      <c r="G115" s="2057"/>
      <c r="H115" s="2057"/>
      <c r="I115" s="2057"/>
      <c r="J115" s="2057"/>
      <c r="T115" s="2020"/>
      <c r="U115" s="2020"/>
      <c r="V115" s="1963"/>
      <c r="W115" s="2023"/>
      <c r="X115" s="2023"/>
      <c r="Y115" s="1963"/>
      <c r="Z115" s="1956"/>
    </row>
    <row r="116" spans="1:27" s="2049" customFormat="1" ht="15" customHeight="1" x14ac:dyDescent="0.2">
      <c r="A116" s="2057" t="s">
        <v>2238</v>
      </c>
      <c r="B116" s="2058"/>
      <c r="C116" s="2059"/>
      <c r="T116" s="2046"/>
      <c r="U116" s="2046"/>
      <c r="V116" s="1963"/>
      <c r="W116" s="2023"/>
      <c r="X116" s="2023"/>
      <c r="Y116" s="1963"/>
      <c r="Z116" s="1956"/>
    </row>
    <row r="117" spans="1:27" s="2049" customFormat="1" ht="15" customHeight="1" x14ac:dyDescent="0.2">
      <c r="A117" s="2057" t="s">
        <v>2239</v>
      </c>
      <c r="B117" s="2058"/>
      <c r="C117" s="2059"/>
      <c r="T117" s="2060"/>
      <c r="U117" s="2060"/>
      <c r="V117" s="1963"/>
      <c r="W117" s="2023"/>
      <c r="X117" s="2023"/>
      <c r="Y117" s="1963"/>
      <c r="Z117" s="1956"/>
    </row>
    <row r="118" spans="1:27" s="2049" customFormat="1" ht="15" customHeight="1" x14ac:dyDescent="0.2">
      <c r="A118" s="2057" t="s">
        <v>2240</v>
      </c>
      <c r="B118" s="2058"/>
      <c r="C118" s="2059"/>
      <c r="T118" s="1963"/>
      <c r="U118" s="1963"/>
      <c r="V118" s="1963"/>
      <c r="W118" s="1963"/>
      <c r="X118" s="1963"/>
      <c r="Y118" s="1963"/>
      <c r="Z118" s="1956"/>
    </row>
    <row r="119" spans="1:27" s="2061" customFormat="1" ht="15" customHeight="1" x14ac:dyDescent="0.15">
      <c r="B119" s="2062"/>
      <c r="C119" s="2063"/>
      <c r="F119" s="2064"/>
      <c r="G119" s="2064"/>
      <c r="H119" s="2064"/>
      <c r="I119" s="2064"/>
      <c r="J119" s="2065"/>
      <c r="T119" s="1963"/>
      <c r="U119" s="1963"/>
      <c r="V119" s="1963"/>
      <c r="W119" s="1963"/>
      <c r="X119" s="1963"/>
      <c r="Y119" s="1963"/>
    </row>
    <row r="120" spans="1:27" ht="15" customHeight="1" x14ac:dyDescent="0.2"/>
    <row r="121" spans="1:27" ht="15" customHeight="1" x14ac:dyDescent="0.2"/>
    <row r="122" spans="1:27" ht="15" customHeight="1" x14ac:dyDescent="0.2"/>
    <row r="123" spans="1:27" ht="15" customHeight="1" x14ac:dyDescent="0.2"/>
    <row r="124" spans="1:27" ht="15" customHeight="1" x14ac:dyDescent="0.2">
      <c r="Z124" s="1956">
        <v>622361</v>
      </c>
      <c r="AA124" s="1963" t="s">
        <v>2241</v>
      </c>
    </row>
    <row r="125" spans="1:27" ht="15" customHeight="1" x14ac:dyDescent="0.2">
      <c r="Z125" s="1956">
        <v>842924</v>
      </c>
      <c r="AA125" s="1963" t="s">
        <v>2241</v>
      </c>
    </row>
    <row r="126" spans="1:27" ht="15" customHeight="1" x14ac:dyDescent="0.2">
      <c r="B126" s="2051"/>
      <c r="C126" s="2066"/>
      <c r="D126" s="1956"/>
      <c r="E126" s="2067"/>
      <c r="F126" s="1955"/>
      <c r="G126" s="2052"/>
      <c r="H126" s="2052"/>
      <c r="I126" s="2052"/>
      <c r="J126" s="2053"/>
      <c r="K126" s="2052"/>
      <c r="L126" s="2052"/>
      <c r="M126" s="2052"/>
      <c r="N126" s="2052"/>
      <c r="O126" s="2052"/>
      <c r="P126" s="2053"/>
      <c r="Q126" s="2068"/>
      <c r="R126" s="2052"/>
      <c r="S126" s="2052"/>
      <c r="T126" s="2020"/>
      <c r="U126" s="2020"/>
      <c r="V126" s="1961"/>
      <c r="W126" s="1962"/>
      <c r="X126" s="1962"/>
      <c r="Y126" s="1961"/>
      <c r="Z126" s="1956"/>
    </row>
    <row r="127" spans="1:27" ht="15" customHeight="1" x14ac:dyDescent="0.2"/>
    <row r="128" spans="1:27"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sheetData>
  <mergeCells count="6">
    <mergeCell ref="T12:V12"/>
    <mergeCell ref="A5:S5"/>
    <mergeCell ref="A6:S6"/>
    <mergeCell ref="A7:S7"/>
    <mergeCell ref="A8:S8"/>
    <mergeCell ref="T11:X11"/>
  </mergeCells>
  <printOptions gridLinesSet="0"/>
  <pageMargins left="0.5" right="0.4" top="0.75" bottom="0" header="0.5" footer="0"/>
  <pageSetup scale="72" fitToWidth="0" fitToHeight="0" orientation="landscape" horizontalDpi="1200" verticalDpi="1200" r:id="rId1"/>
  <headerFooter alignWithMargins="0">
    <oddFooter>&amp;L&amp;"Times New Roman,Regular"See the accompanying notes to the Schedule of Expenditures of Federal Awards.</oddFooter>
  </headerFooter>
  <rowBreaks count="1" manualBreakCount="1">
    <brk id="90" max="23" man="1"/>
  </rowBreaks>
  <colBreaks count="1" manualBreakCount="1">
    <brk id="19" min="1" max="1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91" t="s">
        <v>1168</v>
      </c>
      <c r="B2" s="2191"/>
      <c r="C2" s="2191"/>
      <c r="D2" s="2191"/>
      <c r="E2" s="2191"/>
      <c r="F2" s="2191"/>
      <c r="G2" s="2191"/>
      <c r="H2" s="2191"/>
      <c r="I2" s="2191"/>
      <c r="J2" s="219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05" t="s">
        <v>1633</v>
      </c>
      <c r="B35" s="2206"/>
      <c r="C35" s="2206"/>
      <c r="D35" s="2206"/>
      <c r="E35" s="2207"/>
      <c r="F35" s="2207"/>
      <c r="G35" s="2207"/>
      <c r="H35" s="2207"/>
      <c r="I35" s="220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05" t="s">
        <v>313</v>
      </c>
      <c r="B47" s="2208"/>
      <c r="C47" s="2208"/>
      <c r="D47" s="2208"/>
      <c r="E47" s="2209"/>
      <c r="F47" s="2209"/>
      <c r="G47" s="2209"/>
      <c r="H47" s="2209"/>
      <c r="I47" s="220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12"/>
      <c r="C57" s="2213"/>
      <c r="D57" s="2213"/>
      <c r="E57" s="2213"/>
      <c r="F57" s="2213"/>
      <c r="G57" s="2213"/>
      <c r="H57" s="2213"/>
      <c r="I57" s="2213"/>
      <c r="J57" s="2214"/>
    </row>
    <row r="58" spans="1:10" s="181" customFormat="1" x14ac:dyDescent="0.2">
      <c r="A58" s="253"/>
      <c r="B58" s="2215"/>
      <c r="C58" s="2216"/>
      <c r="D58" s="2216"/>
      <c r="E58" s="2216"/>
      <c r="F58" s="2216"/>
      <c r="G58" s="2216"/>
      <c r="H58" s="2216"/>
      <c r="I58" s="2216"/>
      <c r="J58" s="2217"/>
    </row>
    <row r="59" spans="1:10" s="181" customFormat="1" x14ac:dyDescent="0.2">
      <c r="A59" s="253"/>
      <c r="B59" s="2215"/>
      <c r="C59" s="2216"/>
      <c r="D59" s="2216"/>
      <c r="E59" s="2216"/>
      <c r="F59" s="2216"/>
      <c r="G59" s="2216"/>
      <c r="H59" s="2216"/>
      <c r="I59" s="2216"/>
      <c r="J59" s="2217"/>
    </row>
    <row r="60" spans="1:10" s="181" customFormat="1" x14ac:dyDescent="0.2">
      <c r="A60" s="253"/>
      <c r="B60" s="2215"/>
      <c r="C60" s="2216"/>
      <c r="D60" s="2216"/>
      <c r="E60" s="2216"/>
      <c r="F60" s="2216"/>
      <c r="G60" s="2216"/>
      <c r="H60" s="2216"/>
      <c r="I60" s="2216"/>
      <c r="J60" s="2217"/>
    </row>
    <row r="61" spans="1:10" s="181" customFormat="1" x14ac:dyDescent="0.2">
      <c r="A61" s="253"/>
      <c r="B61" s="2215"/>
      <c r="C61" s="2216"/>
      <c r="D61" s="2216"/>
      <c r="E61" s="2216"/>
      <c r="F61" s="2216"/>
      <c r="G61" s="2216"/>
      <c r="H61" s="2216"/>
      <c r="I61" s="2216"/>
      <c r="J61" s="2217"/>
    </row>
    <row r="62" spans="1:10" s="181" customFormat="1" x14ac:dyDescent="0.2">
      <c r="A62" s="253"/>
      <c r="B62" s="2215"/>
      <c r="C62" s="2216"/>
      <c r="D62" s="2216"/>
      <c r="E62" s="2216"/>
      <c r="F62" s="2216"/>
      <c r="G62" s="2216"/>
      <c r="H62" s="2216"/>
      <c r="I62" s="2216"/>
      <c r="J62" s="2217"/>
    </row>
    <row r="63" spans="1:10" s="181" customFormat="1" x14ac:dyDescent="0.2">
      <c r="A63" s="253"/>
      <c r="B63" s="2215"/>
      <c r="C63" s="2216"/>
      <c r="D63" s="2216"/>
      <c r="E63" s="2216"/>
      <c r="F63" s="2216"/>
      <c r="G63" s="2216"/>
      <c r="H63" s="2216"/>
      <c r="I63" s="2216"/>
      <c r="J63" s="2217"/>
    </row>
    <row r="64" spans="1:10" s="181" customFormat="1" x14ac:dyDescent="0.2">
      <c r="A64" s="253"/>
      <c r="B64" s="2215"/>
      <c r="C64" s="2216"/>
      <c r="D64" s="2216"/>
      <c r="E64" s="2216"/>
      <c r="F64" s="2216"/>
      <c r="G64" s="2216"/>
      <c r="H64" s="2216"/>
      <c r="I64" s="2216"/>
      <c r="J64" s="2217"/>
    </row>
    <row r="65" spans="1:10" s="181" customFormat="1" x14ac:dyDescent="0.2">
      <c r="A65" s="253"/>
      <c r="B65" s="2215"/>
      <c r="C65" s="2216"/>
      <c r="D65" s="2216"/>
      <c r="E65" s="2216"/>
      <c r="F65" s="2216"/>
      <c r="G65" s="2216"/>
      <c r="H65" s="2216"/>
      <c r="I65" s="2216"/>
      <c r="J65" s="2217"/>
    </row>
    <row r="66" spans="1:10" s="181" customFormat="1" x14ac:dyDescent="0.2">
      <c r="A66" s="253"/>
      <c r="B66" s="2215"/>
      <c r="C66" s="2216"/>
      <c r="D66" s="2216"/>
      <c r="E66" s="2216"/>
      <c r="F66" s="2216"/>
      <c r="G66" s="2216"/>
      <c r="H66" s="2216"/>
      <c r="I66" s="2216"/>
      <c r="J66" s="2217"/>
    </row>
    <row r="67" spans="1:10" s="181" customFormat="1" ht="9" customHeight="1" x14ac:dyDescent="0.2">
      <c r="A67" s="254"/>
      <c r="B67" s="2218"/>
      <c r="C67" s="2219"/>
      <c r="D67" s="2219"/>
      <c r="E67" s="2219"/>
      <c r="F67" s="2219"/>
      <c r="G67" s="2219"/>
      <c r="H67" s="2219"/>
      <c r="I67" s="2219"/>
      <c r="J67" s="222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05" t="s">
        <v>1323</v>
      </c>
      <c r="B70" s="2208"/>
      <c r="C70" s="2208"/>
      <c r="D70" s="2208"/>
      <c r="E70" s="2209"/>
      <c r="F70" s="2209"/>
      <c r="G70" s="2209"/>
      <c r="H70" s="2209"/>
      <c r="I70" s="220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10" t="s">
        <v>1320</v>
      </c>
      <c r="B83" s="2210"/>
      <c r="C83" s="2210"/>
      <c r="D83" s="221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92" t="s">
        <v>2268</v>
      </c>
      <c r="C102" s="2193"/>
      <c r="D102" s="2193"/>
      <c r="E102" s="2193"/>
      <c r="F102" s="2193"/>
      <c r="G102" s="2193"/>
      <c r="H102" s="2193"/>
      <c r="I102" s="2194"/>
    </row>
    <row r="103" spans="1:9" s="181" customFormat="1" ht="11.25" customHeight="1" x14ac:dyDescent="0.2">
      <c r="A103" s="316"/>
      <c r="B103" s="2195"/>
      <c r="C103" s="2196"/>
      <c r="D103" s="2196"/>
      <c r="E103" s="2196"/>
      <c r="F103" s="2196"/>
      <c r="G103" s="2196"/>
      <c r="H103" s="2196"/>
      <c r="I103" s="2197"/>
    </row>
    <row r="104" spans="1:9" s="181" customFormat="1" ht="11.25" customHeight="1" x14ac:dyDescent="0.2">
      <c r="A104" s="316"/>
      <c r="B104" s="2195"/>
      <c r="C104" s="2196"/>
      <c r="D104" s="2196"/>
      <c r="E104" s="2196"/>
      <c r="F104" s="2196"/>
      <c r="G104" s="2196"/>
      <c r="H104" s="2196"/>
      <c r="I104" s="2197"/>
    </row>
    <row r="105" spans="1:9" s="181" customFormat="1" x14ac:dyDescent="0.2">
      <c r="A105" s="316"/>
      <c r="B105" s="2195"/>
      <c r="C105" s="2196"/>
      <c r="D105" s="2196"/>
      <c r="E105" s="2196"/>
      <c r="F105" s="2196"/>
      <c r="G105" s="2196"/>
      <c r="H105" s="2196"/>
      <c r="I105" s="2197"/>
    </row>
    <row r="106" spans="1:9" s="181" customFormat="1" ht="11.25" customHeight="1" x14ac:dyDescent="0.2">
      <c r="A106" s="316"/>
      <c r="B106" s="2195"/>
      <c r="C106" s="2196"/>
      <c r="D106" s="2196"/>
      <c r="E106" s="2196"/>
      <c r="F106" s="2196"/>
      <c r="G106" s="2196"/>
      <c r="H106" s="2196"/>
      <c r="I106" s="2197"/>
    </row>
    <row r="107" spans="1:9" s="181" customFormat="1" ht="11.25" customHeight="1" x14ac:dyDescent="0.2">
      <c r="A107" s="316"/>
      <c r="B107" s="2195"/>
      <c r="C107" s="2196"/>
      <c r="D107" s="2196"/>
      <c r="E107" s="2196"/>
      <c r="F107" s="2196"/>
      <c r="G107" s="2196"/>
      <c r="H107" s="2196"/>
      <c r="I107" s="2197"/>
    </row>
    <row r="108" spans="1:9" s="181" customFormat="1" ht="11.25" customHeight="1" x14ac:dyDescent="0.2">
      <c r="A108" s="316"/>
      <c r="B108" s="2195"/>
      <c r="C108" s="2196"/>
      <c r="D108" s="2196"/>
      <c r="E108" s="2196"/>
      <c r="F108" s="2196"/>
      <c r="G108" s="2196"/>
      <c r="H108" s="2196"/>
      <c r="I108" s="2197"/>
    </row>
    <row r="109" spans="1:9" s="181" customFormat="1" ht="11.25" customHeight="1" x14ac:dyDescent="0.2">
      <c r="A109" s="316"/>
      <c r="B109" s="2195"/>
      <c r="C109" s="2196"/>
      <c r="D109" s="2196"/>
      <c r="E109" s="2196"/>
      <c r="F109" s="2196"/>
      <c r="G109" s="2196"/>
      <c r="H109" s="2196"/>
      <c r="I109" s="2197"/>
    </row>
    <row r="110" spans="1:9" s="181" customFormat="1" ht="11.25" customHeight="1" x14ac:dyDescent="0.2">
      <c r="A110" s="316"/>
      <c r="B110" s="2195"/>
      <c r="C110" s="2196"/>
      <c r="D110" s="2196"/>
      <c r="E110" s="2196"/>
      <c r="F110" s="2196"/>
      <c r="G110" s="2196"/>
      <c r="H110" s="2196"/>
      <c r="I110" s="2197"/>
    </row>
    <row r="111" spans="1:9" s="181" customFormat="1" ht="11.25" customHeight="1" x14ac:dyDescent="0.2">
      <c r="A111" s="316"/>
      <c r="B111" s="2195"/>
      <c r="C111" s="2196"/>
      <c r="D111" s="2196"/>
      <c r="E111" s="2196"/>
      <c r="F111" s="2196"/>
      <c r="G111" s="2196"/>
      <c r="H111" s="2196"/>
      <c r="I111" s="2197"/>
    </row>
    <row r="112" spans="1:9" s="181" customFormat="1" ht="11.25" customHeight="1" x14ac:dyDescent="0.2">
      <c r="A112" s="316"/>
      <c r="B112" s="2198"/>
      <c r="C112" s="2199"/>
      <c r="D112" s="2199"/>
      <c r="E112" s="2199"/>
      <c r="F112" s="2199"/>
      <c r="G112" s="2199"/>
      <c r="H112" s="2199"/>
      <c r="I112" s="220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01" t="s">
        <v>2267</v>
      </c>
      <c r="D114" s="220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02" t="s">
        <v>1330</v>
      </c>
      <c r="D117" s="2203"/>
      <c r="E117" s="2204"/>
      <c r="F117" s="2204"/>
      <c r="G117" s="2204"/>
      <c r="H117" s="2204"/>
      <c r="I117" s="304"/>
    </row>
    <row r="118" spans="1:9" s="181" customFormat="1" ht="24" customHeight="1" x14ac:dyDescent="0.2">
      <c r="A118" s="316"/>
      <c r="B118" s="316"/>
      <c r="C118" s="316"/>
      <c r="D118" s="323" t="s">
        <v>2288</v>
      </c>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87" t="str">
        <f>'Single Audit Cover'!A7</f>
        <v>Kewanee CUSD 229</v>
      </c>
      <c r="B1" s="2587"/>
      <c r="C1" s="2587"/>
      <c r="D1" s="2587"/>
      <c r="E1" s="2587"/>
      <c r="F1" s="2587"/>
    </row>
    <row r="2" spans="1:7" ht="13.5" customHeight="1" x14ac:dyDescent="0.2">
      <c r="A2" s="2571">
        <f>'Single Audit Cover'!E7</f>
        <v>28037229026</v>
      </c>
      <c r="B2" s="2571"/>
      <c r="C2" s="2571"/>
      <c r="D2" s="2571"/>
      <c r="E2" s="2571"/>
      <c r="F2" s="2571"/>
      <c r="G2" s="1269"/>
    </row>
    <row r="3" spans="1:7" ht="15.75" customHeight="1" x14ac:dyDescent="0.2">
      <c r="A3" s="2588" t="s">
        <v>1271</v>
      </c>
      <c r="B3" s="2588"/>
      <c r="C3" s="2588"/>
      <c r="D3" s="2588"/>
      <c r="E3" s="2588"/>
      <c r="F3" s="2588"/>
    </row>
    <row r="4" spans="1:7" ht="13.5" customHeight="1" x14ac:dyDescent="0.2">
      <c r="A4" s="2589" t="str">
        <f>'Single Audit Cover'!A4</f>
        <v>Year Ending June 30, 2019</v>
      </c>
      <c r="B4" s="2589"/>
      <c r="C4" s="2589"/>
      <c r="D4" s="2589"/>
      <c r="E4" s="2589"/>
      <c r="F4" s="2589"/>
    </row>
    <row r="5" spans="1:7" ht="8.25" customHeight="1" x14ac:dyDescent="0.2">
      <c r="C5" s="317"/>
      <c r="D5" s="317"/>
    </row>
    <row r="6" spans="1:7" ht="13.5" customHeight="1" x14ac:dyDescent="0.2">
      <c r="A6" s="1270" t="s">
        <v>1728</v>
      </c>
      <c r="C6" s="317"/>
      <c r="D6" s="317"/>
    </row>
    <row r="7" spans="1:7" ht="60.95" customHeight="1" x14ac:dyDescent="0.2">
      <c r="A7" s="2586" t="s">
        <v>2110</v>
      </c>
      <c r="B7" s="2586"/>
      <c r="C7" s="2586"/>
      <c r="D7" s="2586"/>
      <c r="E7" s="2586"/>
      <c r="F7" s="2586"/>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2099</v>
      </c>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586" t="s">
        <v>2111</v>
      </c>
      <c r="B13" s="2586"/>
      <c r="C13" s="2586"/>
      <c r="D13" s="2586"/>
      <c r="E13" s="2586"/>
      <c r="F13" s="2586"/>
    </row>
    <row r="14" spans="1:7" ht="9.75" customHeight="1" x14ac:dyDescent="0.2">
      <c r="C14" s="1254"/>
      <c r="D14" s="1254"/>
    </row>
    <row r="15" spans="1:7" ht="13.5" customHeight="1" x14ac:dyDescent="0.2">
      <c r="C15" s="1843" t="s">
        <v>1270</v>
      </c>
      <c r="D15" s="2584" t="s">
        <v>1269</v>
      </c>
      <c r="E15" s="2584"/>
      <c r="F15" s="2584"/>
    </row>
    <row r="16" spans="1:7" ht="13.5" customHeight="1" x14ac:dyDescent="0.2">
      <c r="A16" s="1276"/>
      <c r="B16" s="1270" t="s">
        <v>1268</v>
      </c>
      <c r="C16" s="1843" t="s">
        <v>1267</v>
      </c>
      <c r="D16" s="2585" t="s">
        <v>1588</v>
      </c>
      <c r="E16" s="2585"/>
      <c r="F16" s="2585"/>
    </row>
    <row r="17" spans="1:6" ht="20.45" customHeight="1" x14ac:dyDescent="0.2">
      <c r="A17" s="1277"/>
      <c r="B17" s="1278" t="s">
        <v>2244</v>
      </c>
      <c r="C17" s="1279"/>
      <c r="D17" s="2579"/>
      <c r="E17" s="2579"/>
      <c r="F17" s="2579"/>
    </row>
    <row r="18" spans="1:6" ht="20.65" customHeight="1" x14ac:dyDescent="0.2">
      <c r="A18" s="1277"/>
      <c r="B18" s="1278"/>
      <c r="C18" s="1279"/>
      <c r="D18" s="2579"/>
      <c r="E18" s="2579"/>
      <c r="F18" s="2579"/>
    </row>
    <row r="19" spans="1:6" ht="20.65" customHeight="1" x14ac:dyDescent="0.2">
      <c r="A19" s="1277"/>
      <c r="B19" s="1278"/>
      <c r="C19" s="1279"/>
      <c r="D19" s="2579"/>
      <c r="E19" s="2579"/>
      <c r="F19" s="2579"/>
    </row>
    <row r="20" spans="1:6" ht="20.65" customHeight="1" x14ac:dyDescent="0.2">
      <c r="A20" s="1277"/>
      <c r="B20" s="1278"/>
      <c r="C20" s="1279"/>
      <c r="D20" s="2579"/>
      <c r="E20" s="2579"/>
      <c r="F20" s="2579"/>
    </row>
    <row r="21" spans="1:6" ht="20.65" customHeight="1" x14ac:dyDescent="0.2">
      <c r="A21" s="1277"/>
      <c r="B21" s="1278"/>
      <c r="C21" s="1279"/>
      <c r="D21" s="2579"/>
      <c r="E21" s="2579"/>
      <c r="F21" s="2579"/>
    </row>
    <row r="22" spans="1:6" ht="20.65" customHeight="1" x14ac:dyDescent="0.2">
      <c r="A22" s="1277"/>
      <c r="B22" s="1278"/>
      <c r="C22" s="1279"/>
      <c r="D22" s="2579"/>
      <c r="E22" s="2579"/>
      <c r="F22" s="2579"/>
    </row>
    <row r="23" spans="1:6" ht="20.65" customHeight="1" x14ac:dyDescent="0.2">
      <c r="A23" s="1277"/>
      <c r="B23" s="1278"/>
      <c r="C23" s="1279"/>
      <c r="D23" s="2579"/>
      <c r="E23" s="2579"/>
      <c r="F23" s="2579"/>
    </row>
    <row r="24" spans="1:6" ht="20.65" customHeight="1" x14ac:dyDescent="0.2">
      <c r="A24" s="1277"/>
      <c r="B24" s="1278"/>
      <c r="C24" s="1279"/>
      <c r="D24" s="2579"/>
      <c r="E24" s="2579"/>
      <c r="F24" s="2579"/>
    </row>
    <row r="25" spans="1:6" ht="20.65" customHeight="1" x14ac:dyDescent="0.2">
      <c r="A25" s="1277"/>
      <c r="B25" s="1278"/>
      <c r="C25" s="1279"/>
      <c r="D25" s="2579"/>
      <c r="E25" s="2579"/>
      <c r="F25" s="2579"/>
    </row>
    <row r="26" spans="1:6" ht="20.65" customHeight="1" x14ac:dyDescent="0.2">
      <c r="A26" s="1277"/>
      <c r="B26" s="1278"/>
      <c r="C26" s="1279"/>
      <c r="D26" s="2579"/>
      <c r="E26" s="2579"/>
      <c r="F26" s="2579"/>
    </row>
    <row r="27" spans="1:6" ht="20.65" customHeight="1" x14ac:dyDescent="0.2">
      <c r="A27" s="1277"/>
      <c r="B27" s="1278"/>
      <c r="C27" s="1279"/>
      <c r="D27" s="2579"/>
      <c r="E27" s="2579"/>
      <c r="F27" s="2579"/>
    </row>
    <row r="28" spans="1:6" ht="20.65" customHeight="1" x14ac:dyDescent="0.2">
      <c r="A28" s="1277"/>
      <c r="B28" s="1278"/>
      <c r="C28" s="1279"/>
      <c r="D28" s="2579"/>
      <c r="E28" s="2579"/>
      <c r="F28" s="2579"/>
    </row>
    <row r="29" spans="1:6" ht="20.65" customHeight="1" x14ac:dyDescent="0.2">
      <c r="A29" s="1277"/>
      <c r="B29" s="1278"/>
      <c r="C29" s="1279"/>
      <c r="D29" s="2579"/>
      <c r="E29" s="2579"/>
      <c r="F29" s="2579"/>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580" t="s">
        <v>2112</v>
      </c>
      <c r="B32" s="2580"/>
      <c r="C32" s="2580"/>
      <c r="D32" s="2580"/>
      <c r="E32" s="2580"/>
      <c r="F32" s="2580"/>
    </row>
    <row r="33" spans="1:6" ht="13.5" customHeight="1" x14ac:dyDescent="0.2">
      <c r="A33" s="328" t="s">
        <v>1434</v>
      </c>
      <c r="B33" s="328"/>
      <c r="C33" s="1282">
        <v>92965</v>
      </c>
      <c r="D33" s="1900"/>
      <c r="E33" s="1280"/>
    </row>
    <row r="34" spans="1:6" ht="13.5" customHeight="1" x14ac:dyDescent="0.2">
      <c r="A34" s="328" t="s">
        <v>1835</v>
      </c>
      <c r="B34" s="328"/>
      <c r="C34" s="1283">
        <v>0</v>
      </c>
      <c r="D34" s="1900" t="s">
        <v>1589</v>
      </c>
      <c r="E34" s="2581">
        <f>+C33+C34</f>
        <v>92965</v>
      </c>
      <c r="F34" s="2582"/>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t="s">
        <v>383</v>
      </c>
      <c r="D38" s="1900"/>
      <c r="E38" s="1280"/>
    </row>
    <row r="39" spans="1:6" ht="14.25" customHeight="1" x14ac:dyDescent="0.2">
      <c r="A39" s="328"/>
      <c r="B39" s="328" t="s">
        <v>1436</v>
      </c>
      <c r="C39" s="1286" t="s">
        <v>383</v>
      </c>
      <c r="D39" s="1900"/>
      <c r="E39" s="1280"/>
    </row>
    <row r="40" spans="1:6" ht="14.25" customHeight="1" x14ac:dyDescent="0.2">
      <c r="A40" s="328"/>
      <c r="B40" s="328" t="s">
        <v>1437</v>
      </c>
      <c r="C40" s="1286" t="s">
        <v>383</v>
      </c>
      <c r="D40" s="1900"/>
      <c r="E40" s="1280"/>
    </row>
    <row r="41" spans="1:6" ht="14.25" customHeight="1" x14ac:dyDescent="0.2">
      <c r="A41" s="328"/>
      <c r="B41" s="328" t="s">
        <v>1438</v>
      </c>
      <c r="C41" s="1286" t="s">
        <v>383</v>
      </c>
      <c r="D41" s="1900"/>
      <c r="E41" s="1280"/>
    </row>
    <row r="42" spans="1:6" ht="14.25" customHeight="1" x14ac:dyDescent="0.2">
      <c r="A42" s="328" t="s">
        <v>1439</v>
      </c>
      <c r="B42" s="328"/>
      <c r="C42" s="1898" t="s">
        <v>383</v>
      </c>
      <c r="D42" s="1900"/>
      <c r="E42" s="1280"/>
    </row>
    <row r="43" spans="1:6" ht="14.25" customHeight="1" x14ac:dyDescent="0.2">
      <c r="A43" s="328" t="s">
        <v>1440</v>
      </c>
      <c r="B43" s="328"/>
      <c r="C43" s="1287" t="s">
        <v>383</v>
      </c>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1730</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583" t="s">
        <v>1590</v>
      </c>
      <c r="C49" s="2583"/>
      <c r="D49" s="2583"/>
      <c r="E49" s="1393"/>
    </row>
    <row r="50" spans="1:5" s="1294" customFormat="1" ht="3.75" customHeight="1" x14ac:dyDescent="0.2">
      <c r="A50" s="1293"/>
      <c r="B50" s="1842"/>
      <c r="C50" s="1842"/>
      <c r="D50" s="1842"/>
      <c r="E50" s="1393"/>
    </row>
    <row r="51" spans="1:5" s="1294" customFormat="1" ht="20.25" customHeight="1" x14ac:dyDescent="0.2">
      <c r="A51" s="1295">
        <v>6</v>
      </c>
      <c r="B51" s="2578" t="s">
        <v>1551</v>
      </c>
      <c r="C51" s="2578"/>
      <c r="D51" s="2578"/>
    </row>
    <row r="52" spans="1:5" ht="14.25" customHeight="1" x14ac:dyDescent="0.2">
      <c r="A52" s="1295"/>
      <c r="B52" s="2578"/>
      <c r="C52" s="2578"/>
      <c r="D52" s="257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1" t="str">
        <f>'Single Audit Cover'!A7</f>
        <v>Kewanee CUSD 229</v>
      </c>
      <c r="C1" s="2602"/>
      <c r="D1" s="2602"/>
      <c r="E1" s="2602"/>
      <c r="F1" s="2602"/>
      <c r="G1" s="2602"/>
      <c r="H1" s="2602"/>
      <c r="I1" s="2602"/>
      <c r="J1" s="1403"/>
    </row>
    <row r="2" spans="2:10" s="317" customFormat="1" ht="12.75" customHeight="1" x14ac:dyDescent="0.2">
      <c r="B2" s="2603">
        <f>'Single Audit Cover'!E7</f>
        <v>28037229026</v>
      </c>
      <c r="C2" s="2604"/>
      <c r="D2" s="2604"/>
      <c r="E2" s="2604"/>
      <c r="F2" s="2604"/>
      <c r="G2" s="2604"/>
      <c r="H2" s="2604"/>
      <c r="I2" s="2604"/>
      <c r="J2" s="1403"/>
    </row>
    <row r="3" spans="2:10" s="317" customFormat="1" ht="12.75" customHeight="1" x14ac:dyDescent="0.2">
      <c r="B3" s="2605" t="s">
        <v>1285</v>
      </c>
      <c r="C3" s="2606"/>
      <c r="D3" s="2606"/>
      <c r="E3" s="2606"/>
      <c r="F3" s="2606"/>
      <c r="G3" s="2606"/>
      <c r="H3" s="2606"/>
      <c r="I3" s="2606"/>
      <c r="J3" s="1404"/>
    </row>
    <row r="4" spans="2:10" s="317" customFormat="1" ht="12.75" customHeight="1" x14ac:dyDescent="0.2">
      <c r="B4" s="2605" t="str">
        <f>'Single Audit Cover'!A4</f>
        <v>Year Ending June 30, 2019</v>
      </c>
      <c r="C4" s="2606"/>
      <c r="D4" s="2606"/>
      <c r="E4" s="2606"/>
      <c r="F4" s="2606"/>
      <c r="G4" s="2606"/>
      <c r="H4" s="2606"/>
      <c r="I4" s="2606"/>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605" t="s">
        <v>1284</v>
      </c>
      <c r="C7" s="2606"/>
      <c r="D7" s="2606"/>
      <c r="E7" s="2606"/>
      <c r="F7" s="2606"/>
      <c r="G7" s="2606"/>
      <c r="H7" s="2606"/>
      <c r="I7" s="2606"/>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607" t="s">
        <v>1164</v>
      </c>
      <c r="D11" s="2607"/>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2099</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2099</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2099</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t="s">
        <v>2099</v>
      </c>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2099</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608" t="s">
        <v>2243</v>
      </c>
      <c r="E29" s="2608"/>
      <c r="F29" s="2608"/>
      <c r="G29" s="2608"/>
      <c r="H29" s="2608"/>
      <c r="I29" s="2608"/>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t="s">
        <v>2099</v>
      </c>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609" t="s">
        <v>1748</v>
      </c>
      <c r="D37" s="2610"/>
      <c r="E37" s="2610"/>
      <c r="F37" s="2611"/>
      <c r="G37" s="2609" t="s">
        <v>1592</v>
      </c>
      <c r="H37" s="2610"/>
      <c r="I37" s="2611"/>
    </row>
    <row r="38" spans="2:9" ht="16.5" customHeight="1" x14ac:dyDescent="0.2">
      <c r="B38" s="1425" t="s">
        <v>2242</v>
      </c>
      <c r="C38" s="2597" t="s">
        <v>2114</v>
      </c>
      <c r="D38" s="2598"/>
      <c r="E38" s="2598"/>
      <c r="F38" s="2599"/>
      <c r="G38" s="2612">
        <f>126298+577881+18735+74230+45044+193967+13136+37106+1</f>
        <v>1086398</v>
      </c>
      <c r="H38" s="2613"/>
      <c r="I38" s="2614"/>
    </row>
    <row r="39" spans="2:9" ht="16.5" customHeight="1" x14ac:dyDescent="0.2">
      <c r="B39" s="1425"/>
      <c r="C39" s="2597"/>
      <c r="D39" s="2598"/>
      <c r="E39" s="2598"/>
      <c r="F39" s="2599"/>
      <c r="G39" s="2600"/>
      <c r="H39" s="2600"/>
      <c r="I39" s="2600"/>
    </row>
    <row r="40" spans="2:9" ht="16.5" customHeight="1" x14ac:dyDescent="0.2">
      <c r="B40" s="1425"/>
      <c r="C40" s="2597"/>
      <c r="D40" s="2598"/>
      <c r="E40" s="2598"/>
      <c r="F40" s="2599"/>
      <c r="G40" s="2600"/>
      <c r="H40" s="2600"/>
      <c r="I40" s="2600"/>
    </row>
    <row r="41" spans="2:9" ht="16.5" customHeight="1" x14ac:dyDescent="0.2">
      <c r="B41" s="1425"/>
      <c r="C41" s="2597"/>
      <c r="D41" s="2598"/>
      <c r="E41" s="2598"/>
      <c r="F41" s="2599"/>
      <c r="G41" s="2600"/>
      <c r="H41" s="2600"/>
      <c r="I41" s="2600"/>
    </row>
    <row r="42" spans="2:9" ht="16.5" customHeight="1" x14ac:dyDescent="0.2">
      <c r="B42" s="1425"/>
      <c r="C42" s="2597"/>
      <c r="D42" s="2598"/>
      <c r="E42" s="2598"/>
      <c r="F42" s="2599"/>
      <c r="G42" s="2600"/>
      <c r="H42" s="2600"/>
      <c r="I42" s="2600"/>
    </row>
    <row r="43" spans="2:9" ht="16.5" customHeight="1" x14ac:dyDescent="0.2">
      <c r="B43" s="1425"/>
      <c r="C43" s="2590" t="s">
        <v>1593</v>
      </c>
      <c r="D43" s="2591"/>
      <c r="E43" s="2591"/>
      <c r="F43" s="2592"/>
      <c r="G43" s="2593">
        <f>SUM(G38:I42)</f>
        <v>1086398</v>
      </c>
      <c r="H43" s="2593"/>
      <c r="I43" s="2593"/>
    </row>
    <row r="44" spans="2:9" ht="12.75" customHeight="1" x14ac:dyDescent="0.2"/>
    <row r="45" spans="2:9" ht="12.75" customHeight="1" x14ac:dyDescent="0.2">
      <c r="B45" s="1416" t="s">
        <v>1838</v>
      </c>
      <c r="D45" s="2594">
        <f>2465752+1</f>
        <v>2465753</v>
      </c>
      <c r="E45" s="2595"/>
    </row>
    <row r="46" spans="2:9" ht="5.25" customHeight="1" x14ac:dyDescent="0.2">
      <c r="B46" s="1426"/>
      <c r="D46" s="1427"/>
      <c r="E46" s="1428"/>
    </row>
    <row r="47" spans="2:9" ht="12.75" customHeight="1" x14ac:dyDescent="0.2">
      <c r="B47" s="1294" t="s">
        <v>1594</v>
      </c>
      <c r="C47" s="1294"/>
      <c r="D47" s="1429">
        <f>+G43/D45</f>
        <v>0.44059482032466352</v>
      </c>
      <c r="E47" s="1430"/>
      <c r="F47" s="1431"/>
      <c r="I47" s="1432"/>
    </row>
    <row r="48" spans="2:9" ht="9.9499999999999993" customHeight="1" x14ac:dyDescent="0.2"/>
    <row r="49" spans="1:9" x14ac:dyDescent="0.2">
      <c r="B49" s="1362" t="s">
        <v>1273</v>
      </c>
      <c r="C49" s="1276"/>
      <c r="D49" s="1276"/>
      <c r="E49" s="2596">
        <v>750000</v>
      </c>
      <c r="F49" s="2596"/>
      <c r="G49" s="2596"/>
      <c r="H49" s="322"/>
    </row>
    <row r="51" spans="1:9" ht="13.5" customHeight="1" x14ac:dyDescent="0.2">
      <c r="B51" s="1362" t="s">
        <v>1272</v>
      </c>
      <c r="C51" s="1276"/>
      <c r="E51" s="1419"/>
      <c r="F51" s="1294" t="s">
        <v>885</v>
      </c>
      <c r="G51" s="1419" t="s">
        <v>2099</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01" t="str">
        <f>'Single Audit Cover'!A7</f>
        <v>Kewanee CUSD 229</v>
      </c>
      <c r="C1" s="2601"/>
      <c r="D1" s="2601"/>
      <c r="E1" s="2601"/>
      <c r="F1" s="2601"/>
      <c r="G1" s="2601"/>
      <c r="H1" s="2601"/>
      <c r="I1" s="2601"/>
      <c r="J1" s="2601"/>
      <c r="K1" s="2601"/>
      <c r="L1" s="1368"/>
      <c r="M1" s="1368"/>
    </row>
    <row r="2" spans="1:13" ht="12" customHeight="1" x14ac:dyDescent="0.2">
      <c r="B2" s="2603">
        <f>'Single Audit Cover'!E7</f>
        <v>28037229026</v>
      </c>
      <c r="C2" s="2603"/>
      <c r="D2" s="2603"/>
      <c r="E2" s="2603"/>
      <c r="F2" s="2603"/>
      <c r="G2" s="2603"/>
      <c r="H2" s="2603"/>
      <c r="I2" s="2603"/>
      <c r="J2" s="2603"/>
      <c r="K2" s="2603"/>
      <c r="L2" s="1369"/>
      <c r="M2" s="1370"/>
    </row>
    <row r="3" spans="1:13" ht="10.35" customHeight="1" x14ac:dyDescent="0.2">
      <c r="B3" s="2617" t="s">
        <v>1285</v>
      </c>
      <c r="C3" s="2617"/>
      <c r="D3" s="2617"/>
      <c r="E3" s="2617"/>
      <c r="F3" s="2617"/>
      <c r="G3" s="2617"/>
      <c r="H3" s="2617"/>
      <c r="I3" s="2617"/>
      <c r="J3" s="2617"/>
      <c r="K3" s="2617"/>
      <c r="L3" s="1371"/>
      <c r="M3" s="1371"/>
    </row>
    <row r="4" spans="1:13" ht="14.25" customHeight="1" x14ac:dyDescent="0.2">
      <c r="B4" s="2618" t="str">
        <f>'Single Audit Cover'!A4</f>
        <v>Year Ending June 30, 2019</v>
      </c>
      <c r="C4" s="2618"/>
      <c r="D4" s="2618"/>
      <c r="E4" s="2618"/>
      <c r="F4" s="2618"/>
      <c r="G4" s="2618"/>
      <c r="H4" s="2618"/>
      <c r="I4" s="2618"/>
      <c r="J4" s="2618"/>
      <c r="K4" s="2618"/>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18" t="s">
        <v>1296</v>
      </c>
      <c r="C7" s="2618"/>
      <c r="D7" s="2619"/>
      <c r="E7" s="2619"/>
      <c r="F7" s="2619"/>
      <c r="G7" s="2619"/>
      <c r="H7" s="2619"/>
      <c r="I7" s="2619"/>
      <c r="J7" s="2619"/>
      <c r="K7" s="2619"/>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t="s">
        <v>2245</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616"/>
      <c r="C14" s="2616"/>
      <c r="D14" s="2616"/>
      <c r="E14" s="2616"/>
      <c r="F14" s="2616"/>
      <c r="G14" s="2616"/>
      <c r="H14" s="2616"/>
      <c r="I14" s="2616"/>
      <c r="J14" s="2616"/>
      <c r="K14" s="2616"/>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616"/>
      <c r="C17" s="2616"/>
      <c r="D17" s="2616"/>
      <c r="E17" s="2616"/>
      <c r="F17" s="2616"/>
      <c r="G17" s="2616"/>
      <c r="H17" s="2616"/>
      <c r="I17" s="2616"/>
      <c r="J17" s="2616"/>
      <c r="K17" s="2616"/>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620"/>
      <c r="C20" s="2620"/>
      <c r="D20" s="2616"/>
      <c r="E20" s="2616"/>
      <c r="F20" s="2616"/>
      <c r="G20" s="2616"/>
      <c r="H20" s="2616"/>
      <c r="I20" s="2616"/>
      <c r="J20" s="2616"/>
      <c r="K20" s="2616"/>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616"/>
      <c r="C23" s="2616"/>
      <c r="D23" s="2616"/>
      <c r="E23" s="2616"/>
      <c r="F23" s="2616"/>
      <c r="G23" s="2616"/>
      <c r="H23" s="2616"/>
      <c r="I23" s="2616"/>
      <c r="J23" s="2616"/>
      <c r="K23" s="2616"/>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616"/>
      <c r="C26" s="2616"/>
      <c r="D26" s="2616"/>
      <c r="E26" s="2616"/>
      <c r="F26" s="2616"/>
      <c r="G26" s="2616"/>
      <c r="H26" s="2616"/>
      <c r="I26" s="2616"/>
      <c r="J26" s="2616"/>
      <c r="K26" s="2616"/>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615"/>
      <c r="C29" s="2615"/>
      <c r="D29" s="2616"/>
      <c r="E29" s="2616"/>
      <c r="F29" s="2616"/>
      <c r="G29" s="2616"/>
      <c r="H29" s="2616"/>
      <c r="I29" s="2616"/>
      <c r="J29" s="2616"/>
      <c r="K29" s="2616"/>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615"/>
      <c r="C32" s="2615"/>
      <c r="D32" s="2616"/>
      <c r="E32" s="2616"/>
      <c r="F32" s="2616"/>
      <c r="G32" s="2616"/>
      <c r="H32" s="2616"/>
      <c r="I32" s="2616"/>
      <c r="J32" s="2616"/>
      <c r="K32" s="2616"/>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24" t="str">
        <f>'Single Audit Cover'!A7</f>
        <v>Kewanee CUSD 229</v>
      </c>
      <c r="C1" s="2624"/>
      <c r="D1" s="2624"/>
      <c r="E1" s="2624"/>
      <c r="F1" s="2624"/>
      <c r="G1" s="2624"/>
      <c r="H1" s="2624"/>
      <c r="I1" s="2624"/>
      <c r="J1" s="2624"/>
      <c r="K1" s="2624"/>
      <c r="L1" s="1446"/>
    </row>
    <row r="2" spans="1:12" ht="12.75" customHeight="1" x14ac:dyDescent="0.2">
      <c r="B2" s="2625">
        <f>'Single Audit Cover'!E7</f>
        <v>28037229026</v>
      </c>
      <c r="C2" s="2625"/>
      <c r="D2" s="2625"/>
      <c r="E2" s="2625"/>
      <c r="F2" s="2625"/>
      <c r="G2" s="2625"/>
      <c r="H2" s="2625"/>
      <c r="I2" s="2625"/>
      <c r="J2" s="2625"/>
      <c r="K2" s="2625"/>
      <c r="L2" s="1447"/>
    </row>
    <row r="3" spans="1:12" ht="12.75" customHeight="1" x14ac:dyDescent="0.2">
      <c r="B3" s="2617" t="s">
        <v>1285</v>
      </c>
      <c r="C3" s="2617"/>
      <c r="D3" s="2617"/>
      <c r="E3" s="2617"/>
      <c r="F3" s="2617"/>
      <c r="G3" s="2617"/>
      <c r="H3" s="2617"/>
      <c r="I3" s="2617"/>
      <c r="J3" s="2617"/>
      <c r="K3" s="2617"/>
      <c r="L3" s="1371"/>
    </row>
    <row r="4" spans="1:12" ht="12.75" customHeight="1" x14ac:dyDescent="0.2">
      <c r="B4" s="2617" t="str">
        <f>'Single Audit Cover'!A4</f>
        <v>Year Ending June 30, 2019</v>
      </c>
      <c r="C4" s="2617"/>
      <c r="D4" s="2617"/>
      <c r="E4" s="2617"/>
      <c r="F4" s="2617"/>
      <c r="G4" s="2617"/>
      <c r="H4" s="2617"/>
      <c r="I4" s="2617"/>
      <c r="J4" s="2617"/>
      <c r="K4" s="2617"/>
      <c r="L4" s="1371"/>
    </row>
    <row r="5" spans="1:12" ht="5.25" customHeight="1" x14ac:dyDescent="0.2">
      <c r="B5" s="1254" t="s">
        <v>1169</v>
      </c>
      <c r="C5" s="1254"/>
      <c r="L5" s="322"/>
    </row>
    <row r="6" spans="1:12" ht="30.75" customHeight="1" x14ac:dyDescent="0.2">
      <c r="A6" s="322"/>
      <c r="B6" s="2626" t="s">
        <v>1308</v>
      </c>
      <c r="C6" s="2626"/>
      <c r="D6" s="2626"/>
      <c r="E6" s="2626"/>
      <c r="F6" s="2626"/>
      <c r="G6" s="2626"/>
      <c r="H6" s="2626"/>
      <c r="I6" s="2626"/>
      <c r="J6" s="2626"/>
      <c r="K6" s="2626"/>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1988</v>
      </c>
      <c r="D8" s="1449">
        <v>1</v>
      </c>
      <c r="E8" s="322"/>
      <c r="F8" s="1378" t="s">
        <v>1295</v>
      </c>
      <c r="G8" s="1450" t="s">
        <v>2067</v>
      </c>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608" t="s">
        <v>2246</v>
      </c>
      <c r="G12" s="2608"/>
      <c r="H12" s="2608"/>
      <c r="I12" s="2608"/>
      <c r="J12" s="2608"/>
      <c r="K12" s="2608"/>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21" t="s">
        <v>2248</v>
      </c>
      <c r="E14" s="2621"/>
      <c r="F14" s="2621"/>
      <c r="H14" s="1456" t="s">
        <v>1303</v>
      </c>
      <c r="I14" s="2622" t="s">
        <v>2242</v>
      </c>
      <c r="J14" s="2622"/>
      <c r="K14" s="2622"/>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22" t="s">
        <v>2120</v>
      </c>
      <c r="E16" s="2622"/>
      <c r="F16" s="2622"/>
      <c r="G16" s="2622"/>
      <c r="H16" s="2622"/>
      <c r="I16" s="2622"/>
      <c r="J16" s="2622"/>
      <c r="K16" s="2622"/>
      <c r="L16" s="322"/>
    </row>
    <row r="17" spans="2:12" ht="13.5" customHeight="1" x14ac:dyDescent="0.2">
      <c r="B17" s="1381" t="s">
        <v>1301</v>
      </c>
      <c r="C17" s="1381"/>
      <c r="D17" s="2623" t="s">
        <v>2247</v>
      </c>
      <c r="E17" s="2623"/>
      <c r="F17" s="2623"/>
      <c r="G17" s="2623"/>
      <c r="H17" s="2623"/>
      <c r="I17" s="2623"/>
      <c r="J17" s="2623"/>
      <c r="K17" s="262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616" t="s">
        <v>2255</v>
      </c>
      <c r="C20" s="2616"/>
      <c r="D20" s="2616"/>
      <c r="E20" s="2616"/>
      <c r="F20" s="2616"/>
      <c r="G20" s="2616"/>
      <c r="H20" s="2616"/>
      <c r="I20" s="2616"/>
      <c r="J20" s="2616"/>
      <c r="K20" s="2616"/>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616" t="s">
        <v>2256</v>
      </c>
      <c r="C23" s="2616"/>
      <c r="D23" s="2616"/>
      <c r="E23" s="2616"/>
      <c r="F23" s="2616"/>
      <c r="G23" s="2616"/>
      <c r="H23" s="2616"/>
      <c r="I23" s="2616"/>
      <c r="J23" s="2616"/>
      <c r="K23" s="2616"/>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616" t="s">
        <v>2249</v>
      </c>
      <c r="C26" s="2616"/>
      <c r="D26" s="2616"/>
      <c r="E26" s="2616"/>
      <c r="F26" s="2616"/>
      <c r="G26" s="2616"/>
      <c r="H26" s="2616"/>
      <c r="I26" s="2616"/>
      <c r="J26" s="2616"/>
      <c r="K26" s="2616"/>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616" t="s">
        <v>2250</v>
      </c>
      <c r="C29" s="2616"/>
      <c r="D29" s="2616"/>
      <c r="E29" s="2616"/>
      <c r="F29" s="2616"/>
      <c r="G29" s="2616"/>
      <c r="H29" s="2616"/>
      <c r="I29" s="2616"/>
      <c r="J29" s="2616"/>
      <c r="K29" s="2616"/>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616" t="s">
        <v>2251</v>
      </c>
      <c r="C32" s="2616"/>
      <c r="D32" s="2616"/>
      <c r="E32" s="2616"/>
      <c r="F32" s="2616"/>
      <c r="G32" s="2616"/>
      <c r="H32" s="2616"/>
      <c r="I32" s="2616"/>
      <c r="J32" s="2616"/>
      <c r="K32" s="2616"/>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16" t="s">
        <v>2257</v>
      </c>
      <c r="C35" s="2616"/>
      <c r="D35" s="2616"/>
      <c r="E35" s="2616"/>
      <c r="F35" s="2616"/>
      <c r="G35" s="2616"/>
      <c r="H35" s="2616"/>
      <c r="I35" s="2616"/>
      <c r="J35" s="2616"/>
      <c r="K35" s="2616"/>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616" t="s">
        <v>2252</v>
      </c>
      <c r="C38" s="2616"/>
      <c r="D38" s="2616"/>
      <c r="E38" s="2616"/>
      <c r="F38" s="2616"/>
      <c r="G38" s="2616"/>
      <c r="H38" s="2616"/>
      <c r="I38" s="2616"/>
      <c r="J38" s="2616"/>
      <c r="K38" s="2616"/>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616" t="s">
        <v>2253</v>
      </c>
      <c r="C41" s="2616"/>
      <c r="D41" s="2616"/>
      <c r="E41" s="2616"/>
      <c r="F41" s="2616"/>
      <c r="G41" s="2616"/>
      <c r="H41" s="2616"/>
      <c r="I41" s="2616"/>
      <c r="J41" s="2616"/>
      <c r="K41" s="2616"/>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24" t="str">
        <f>'Single Audit Cover'!A7</f>
        <v>Kewanee CUSD 229</v>
      </c>
      <c r="C1" s="2624"/>
      <c r="D1" s="2624"/>
      <c r="E1" s="2624"/>
      <c r="F1" s="2624"/>
      <c r="G1" s="2624"/>
      <c r="H1" s="2624"/>
      <c r="I1" s="2624"/>
      <c r="J1" s="2624"/>
      <c r="K1" s="2624"/>
      <c r="L1" s="1446"/>
    </row>
    <row r="2" spans="1:12" ht="12.75" customHeight="1" x14ac:dyDescent="0.2">
      <c r="B2" s="2625">
        <f>'Single Audit Cover'!E7</f>
        <v>28037229026</v>
      </c>
      <c r="C2" s="2625"/>
      <c r="D2" s="2625"/>
      <c r="E2" s="2625"/>
      <c r="F2" s="2625"/>
      <c r="G2" s="2625"/>
      <c r="H2" s="2625"/>
      <c r="I2" s="2625"/>
      <c r="J2" s="2625"/>
      <c r="K2" s="2625"/>
      <c r="L2" s="1447"/>
    </row>
    <row r="3" spans="1:12" ht="12.75" customHeight="1" x14ac:dyDescent="0.2">
      <c r="B3" s="2617" t="s">
        <v>1285</v>
      </c>
      <c r="C3" s="2617"/>
      <c r="D3" s="2617"/>
      <c r="E3" s="2617"/>
      <c r="F3" s="2617"/>
      <c r="G3" s="2617"/>
      <c r="H3" s="2617"/>
      <c r="I3" s="2617"/>
      <c r="J3" s="2617"/>
      <c r="K3" s="2617"/>
      <c r="L3" s="2069"/>
    </row>
    <row r="4" spans="1:12" ht="12.75" customHeight="1" x14ac:dyDescent="0.2">
      <c r="B4" s="2617" t="str">
        <f>'Single Audit Cover'!A4</f>
        <v>Year Ending June 30, 2019</v>
      </c>
      <c r="C4" s="2617"/>
      <c r="D4" s="2617"/>
      <c r="E4" s="2617"/>
      <c r="F4" s="2617"/>
      <c r="G4" s="2617"/>
      <c r="H4" s="2617"/>
      <c r="I4" s="2617"/>
      <c r="J4" s="2617"/>
      <c r="K4" s="2617"/>
      <c r="L4" s="2069"/>
    </row>
    <row r="5" spans="1:12" ht="5.25" customHeight="1" x14ac:dyDescent="0.2">
      <c r="B5" s="1254" t="s">
        <v>1169</v>
      </c>
      <c r="C5" s="1254"/>
      <c r="L5" s="322"/>
    </row>
    <row r="6" spans="1:12" ht="30.75" customHeight="1" x14ac:dyDescent="0.2">
      <c r="A6" s="322"/>
      <c r="B6" s="2626" t="s">
        <v>1308</v>
      </c>
      <c r="C6" s="2626"/>
      <c r="D6" s="2626"/>
      <c r="E6" s="2626"/>
      <c r="F6" s="2626"/>
      <c r="G6" s="2626"/>
      <c r="H6" s="2626"/>
      <c r="I6" s="2626"/>
      <c r="J6" s="2626"/>
      <c r="K6" s="2626"/>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1988</v>
      </c>
      <c r="D8" s="1449">
        <v>2</v>
      </c>
      <c r="E8" s="322"/>
      <c r="F8" s="1378" t="s">
        <v>1295</v>
      </c>
      <c r="G8" s="1450" t="s">
        <v>2067</v>
      </c>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608" t="s">
        <v>2246</v>
      </c>
      <c r="G12" s="2608"/>
      <c r="H12" s="2608"/>
      <c r="I12" s="2608"/>
      <c r="J12" s="2608"/>
      <c r="K12" s="2608"/>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21" t="s">
        <v>2248</v>
      </c>
      <c r="E14" s="2621"/>
      <c r="F14" s="2621"/>
      <c r="H14" s="1456" t="s">
        <v>1303</v>
      </c>
      <c r="I14" s="2622" t="s">
        <v>2242</v>
      </c>
      <c r="J14" s="2622"/>
      <c r="K14" s="2622"/>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22" t="s">
        <v>2120</v>
      </c>
      <c r="E16" s="2622"/>
      <c r="F16" s="2622"/>
      <c r="G16" s="2622"/>
      <c r="H16" s="2622"/>
      <c r="I16" s="2622"/>
      <c r="J16" s="2622"/>
      <c r="K16" s="2622"/>
      <c r="L16" s="322"/>
    </row>
    <row r="17" spans="2:12" ht="13.5" customHeight="1" x14ac:dyDescent="0.2">
      <c r="B17" s="1381" t="s">
        <v>1301</v>
      </c>
      <c r="C17" s="1381"/>
      <c r="D17" s="2623" t="s">
        <v>2247</v>
      </c>
      <c r="E17" s="2623"/>
      <c r="F17" s="2623"/>
      <c r="G17" s="2623"/>
      <c r="H17" s="2623"/>
      <c r="I17" s="2623"/>
      <c r="J17" s="2623"/>
      <c r="K17" s="262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616" t="s">
        <v>2262</v>
      </c>
      <c r="C20" s="2616"/>
      <c r="D20" s="2616"/>
      <c r="E20" s="2616"/>
      <c r="F20" s="2616"/>
      <c r="G20" s="2616"/>
      <c r="H20" s="2616"/>
      <c r="I20" s="2616"/>
      <c r="J20" s="2616"/>
      <c r="K20" s="2616"/>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616" t="s">
        <v>2263</v>
      </c>
      <c r="C23" s="2616"/>
      <c r="D23" s="2616"/>
      <c r="E23" s="2616"/>
      <c r="F23" s="2616"/>
      <c r="G23" s="2616"/>
      <c r="H23" s="2616"/>
      <c r="I23" s="2616"/>
      <c r="J23" s="2616"/>
      <c r="K23" s="2616"/>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616" t="s">
        <v>2249</v>
      </c>
      <c r="C26" s="2616"/>
      <c r="D26" s="2616"/>
      <c r="E26" s="2616"/>
      <c r="F26" s="2616"/>
      <c r="G26" s="2616"/>
      <c r="H26" s="2616"/>
      <c r="I26" s="2616"/>
      <c r="J26" s="2616"/>
      <c r="K26" s="2616"/>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616" t="s">
        <v>2259</v>
      </c>
      <c r="C29" s="2616"/>
      <c r="D29" s="2616"/>
      <c r="E29" s="2616"/>
      <c r="F29" s="2616"/>
      <c r="G29" s="2616"/>
      <c r="H29" s="2616"/>
      <c r="I29" s="2616"/>
      <c r="J29" s="2616"/>
      <c r="K29" s="2616"/>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616" t="s">
        <v>2261</v>
      </c>
      <c r="C32" s="2616"/>
      <c r="D32" s="2616"/>
      <c r="E32" s="2616"/>
      <c r="F32" s="2616"/>
      <c r="G32" s="2616"/>
      <c r="H32" s="2616"/>
      <c r="I32" s="2616"/>
      <c r="J32" s="2616"/>
      <c r="K32" s="2616"/>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16" t="s">
        <v>2260</v>
      </c>
      <c r="C35" s="2616"/>
      <c r="D35" s="2616"/>
      <c r="E35" s="2616"/>
      <c r="F35" s="2616"/>
      <c r="G35" s="2616"/>
      <c r="H35" s="2616"/>
      <c r="I35" s="2616"/>
      <c r="J35" s="2616"/>
      <c r="K35" s="2616"/>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616" t="s">
        <v>2264</v>
      </c>
      <c r="C38" s="2616"/>
      <c r="D38" s="2616"/>
      <c r="E38" s="2616"/>
      <c r="F38" s="2616"/>
      <c r="G38" s="2616"/>
      <c r="H38" s="2616"/>
      <c r="I38" s="2616"/>
      <c r="J38" s="2616"/>
      <c r="K38" s="2616"/>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616" t="s">
        <v>2265</v>
      </c>
      <c r="C41" s="2616"/>
      <c r="D41" s="2616"/>
      <c r="E41" s="2616"/>
      <c r="F41" s="2616"/>
      <c r="G41" s="2616"/>
      <c r="H41" s="2616"/>
      <c r="I41" s="2616"/>
      <c r="J41" s="2616"/>
      <c r="K41" s="2616"/>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601" t="str">
        <f>'Single Audit Cover'!A7</f>
        <v>Kewanee CUSD 229</v>
      </c>
      <c r="C1" s="2601"/>
      <c r="D1" s="2601"/>
      <c r="E1" s="1466"/>
    </row>
    <row r="2" spans="2:5" s="1276" customFormat="1" ht="12.75" customHeight="1" x14ac:dyDescent="0.2">
      <c r="B2" s="2603">
        <f>'Single Audit Cover'!E7</f>
        <v>28037229026</v>
      </c>
      <c r="C2" s="2603"/>
      <c r="D2" s="2603"/>
      <c r="E2" s="1467"/>
    </row>
    <row r="3" spans="2:5" ht="12.75" customHeight="1" x14ac:dyDescent="0.2">
      <c r="B3" s="2617" t="s">
        <v>1763</v>
      </c>
      <c r="C3" s="2617"/>
      <c r="D3" s="2617"/>
      <c r="E3" s="1268"/>
    </row>
    <row r="4" spans="2:5" s="1276" customFormat="1" ht="12.75" customHeight="1" x14ac:dyDescent="0.2">
      <c r="B4" s="2627" t="str">
        <f>'Single Audit Cover'!A4</f>
        <v>Year Ending June 30, 2019</v>
      </c>
      <c r="C4" s="2627"/>
      <c r="D4" s="2627"/>
      <c r="E4" s="1468"/>
    </row>
    <row r="5" spans="2:5" s="1276" customFormat="1" ht="40.15" customHeight="1" x14ac:dyDescent="0.2">
      <c r="B5" s="1469" t="s">
        <v>1764</v>
      </c>
      <c r="C5" s="328"/>
      <c r="D5" s="328"/>
      <c r="E5" s="328"/>
    </row>
    <row r="6" spans="2:5" s="1276" customFormat="1" ht="13.5" customHeight="1" x14ac:dyDescent="0.2">
      <c r="B6" s="1470" t="s">
        <v>1315</v>
      </c>
      <c r="C6" s="1470" t="s">
        <v>1314</v>
      </c>
      <c r="D6" s="1470" t="s">
        <v>1765</v>
      </c>
    </row>
    <row r="7" spans="2:5" ht="13.5" customHeight="1" x14ac:dyDescent="0.2">
      <c r="B7" s="1471" t="s">
        <v>2098</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629" t="str">
        <f>'Single Audit Cover'!A7</f>
        <v>Kewanee CUSD 229</v>
      </c>
      <c r="C1" s="2629"/>
      <c r="D1" s="2629"/>
      <c r="E1" s="2629"/>
      <c r="F1" s="1933"/>
      <c r="G1" s="1933"/>
      <c r="H1" s="1933"/>
      <c r="I1" s="1933"/>
      <c r="J1" s="1933"/>
      <c r="K1" s="1933"/>
      <c r="L1" s="1933"/>
    </row>
    <row r="2" spans="2:12" ht="13.5" customHeight="1" x14ac:dyDescent="0.2">
      <c r="B2" s="2630">
        <f>'Single Audit Cover'!E7</f>
        <v>28037229026</v>
      </c>
      <c r="C2" s="2630"/>
      <c r="D2" s="2630"/>
      <c r="E2" s="2630"/>
      <c r="F2" s="1935"/>
      <c r="G2" s="1935"/>
      <c r="H2" s="1935"/>
      <c r="I2" s="1935"/>
      <c r="J2" s="1935"/>
      <c r="K2" s="1935"/>
      <c r="L2" s="1935"/>
    </row>
    <row r="3" spans="2:12" ht="13.5" customHeight="1" x14ac:dyDescent="0.2">
      <c r="B3" s="2631" t="s">
        <v>2100</v>
      </c>
      <c r="C3" s="2631"/>
      <c r="D3" s="2631"/>
      <c r="E3" s="2631"/>
      <c r="F3" s="1936"/>
      <c r="G3" s="1936"/>
      <c r="H3" s="1936"/>
      <c r="I3" s="1936"/>
      <c r="J3" s="1936"/>
      <c r="K3" s="1936"/>
      <c r="L3" s="1936"/>
    </row>
    <row r="4" spans="2:12" ht="13.5" customHeight="1" x14ac:dyDescent="0.2">
      <c r="B4" s="2632" t="s">
        <v>1986</v>
      </c>
      <c r="C4" s="2632"/>
      <c r="D4" s="2632"/>
      <c r="E4" s="2632"/>
      <c r="F4" s="1937"/>
      <c r="G4" s="1937"/>
      <c r="H4" s="1937"/>
      <c r="I4" s="1937"/>
      <c r="J4" s="1937"/>
      <c r="K4" s="1937"/>
      <c r="L4" s="1937"/>
    </row>
    <row r="5" spans="2:12" ht="29.85" customHeight="1" x14ac:dyDescent="0.2"/>
    <row r="6" spans="2:12" ht="13.5" customHeight="1" x14ac:dyDescent="0.2">
      <c r="B6" s="1938" t="s">
        <v>2101</v>
      </c>
      <c r="C6" s="1938"/>
      <c r="D6" s="1939"/>
      <c r="E6" s="1940"/>
      <c r="F6" s="1940"/>
      <c r="G6" s="1941"/>
      <c r="H6" s="1941"/>
      <c r="I6" s="1941"/>
    </row>
    <row r="7" spans="2:12" ht="13.5" customHeight="1" x14ac:dyDescent="0.2">
      <c r="B7" s="1934" t="s">
        <v>1169</v>
      </c>
    </row>
    <row r="8" spans="2:12" ht="13.5" customHeight="1" x14ac:dyDescent="0.2">
      <c r="B8" s="1942" t="s">
        <v>2102</v>
      </c>
      <c r="C8" s="1943" t="s">
        <v>1988</v>
      </c>
      <c r="D8" s="1944">
        <v>1</v>
      </c>
    </row>
    <row r="9" spans="2:12" ht="13.5" customHeight="1" x14ac:dyDescent="0.2">
      <c r="B9" s="1945"/>
      <c r="C9" s="1945"/>
      <c r="D9" s="1945"/>
    </row>
    <row r="10" spans="2:12" ht="13.5" customHeight="1" x14ac:dyDescent="0.2">
      <c r="B10" s="1942" t="s">
        <v>2103</v>
      </c>
      <c r="C10" s="1942"/>
    </row>
    <row r="11" spans="2:12" ht="66.75" customHeight="1" x14ac:dyDescent="0.2">
      <c r="B11" s="2628" t="str">
        <f>+'SF&amp;QC Sec-3 1 finding 2019-001'!B23:K23</f>
        <v>The District did not obtain debarment certification or check the System for Award Management website for vendors contracted in excess of $25,000 related to the grant program.  Upon further review, it was determined that the vendors were not suspended or debarred.</v>
      </c>
      <c r="C11" s="2628"/>
      <c r="D11" s="2628"/>
      <c r="E11" s="2628"/>
    </row>
    <row r="12" spans="2:12" ht="13.5" customHeight="1" x14ac:dyDescent="0.2"/>
    <row r="13" spans="2:12" ht="13.5" customHeight="1" x14ac:dyDescent="0.2">
      <c r="B13" s="1942" t="s">
        <v>2104</v>
      </c>
      <c r="C13" s="1942"/>
    </row>
    <row r="14" spans="2:12" ht="76.5" customHeight="1" x14ac:dyDescent="0.2">
      <c r="B14" s="2628" t="s">
        <v>2254</v>
      </c>
      <c r="C14" s="2628"/>
      <c r="D14" s="2628"/>
      <c r="E14" s="2628"/>
    </row>
    <row r="15" spans="2:12" ht="13.5" customHeight="1" x14ac:dyDescent="0.2"/>
    <row r="16" spans="2:12" ht="13.5" customHeight="1" x14ac:dyDescent="0.2">
      <c r="B16" s="1942" t="s">
        <v>2105</v>
      </c>
      <c r="C16" s="1942"/>
      <c r="E16" s="1946">
        <v>43739</v>
      </c>
    </row>
    <row r="17" spans="2:5" ht="13.5" customHeight="1" x14ac:dyDescent="0.2"/>
    <row r="18" spans="2:5" ht="13.5" customHeight="1" x14ac:dyDescent="0.2">
      <c r="B18" s="1942" t="s">
        <v>2106</v>
      </c>
      <c r="C18" s="1942"/>
      <c r="E18" s="1947" t="s">
        <v>2109</v>
      </c>
    </row>
    <row r="19" spans="2:5" ht="13.5" customHeight="1" x14ac:dyDescent="0.2"/>
    <row r="20" spans="2:5" ht="13.5" customHeight="1" x14ac:dyDescent="0.2">
      <c r="B20" s="1942" t="s">
        <v>2107</v>
      </c>
      <c r="C20" s="1942"/>
      <c r="E20" s="1947" t="s">
        <v>2258</v>
      </c>
    </row>
    <row r="21" spans="2:5" ht="13.5" customHeight="1" x14ac:dyDescent="0.2">
      <c r="E21" s="1947"/>
    </row>
    <row r="22" spans="2:5" ht="13.5" customHeight="1" x14ac:dyDescent="0.2">
      <c r="E22" s="1947"/>
    </row>
    <row r="23" spans="2:5" ht="13.5" customHeight="1" x14ac:dyDescent="0.2"/>
    <row r="24" spans="2:5" ht="13.5" customHeight="1" x14ac:dyDescent="0.2"/>
    <row r="25" spans="2:5" ht="13.5" customHeight="1" x14ac:dyDescent="0.2">
      <c r="B25" s="1948"/>
      <c r="C25" s="1948"/>
      <c r="D25" s="1948"/>
    </row>
    <row r="26" spans="2:5" ht="13.5" customHeight="1" x14ac:dyDescent="0.2">
      <c r="B26" s="1948"/>
      <c r="C26" s="1948"/>
      <c r="D26" s="1948"/>
    </row>
    <row r="27" spans="2:5" ht="13.5" customHeight="1" x14ac:dyDescent="0.2">
      <c r="B27" s="1948"/>
      <c r="C27" s="1948"/>
      <c r="D27" s="194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9"/>
      <c r="C35" s="1949"/>
      <c r="D35" s="1949"/>
    </row>
    <row r="36" spans="2:5" ht="13.5" customHeight="1" x14ac:dyDescent="0.2"/>
    <row r="37" spans="2:5" ht="13.5" customHeight="1" x14ac:dyDescent="0.2">
      <c r="B37" s="1949"/>
      <c r="C37" s="1949"/>
      <c r="D37" s="1949"/>
    </row>
    <row r="38" spans="2:5" ht="13.5" customHeight="1" x14ac:dyDescent="0.2">
      <c r="B38" s="1949"/>
      <c r="C38" s="1949"/>
      <c r="D38" s="1949"/>
    </row>
    <row r="39" spans="2:5" ht="13.5" customHeight="1" x14ac:dyDescent="0.2">
      <c r="B39" s="1949"/>
      <c r="C39" s="1949"/>
      <c r="D39" s="1949"/>
    </row>
    <row r="40" spans="2:5" ht="13.5" customHeight="1" x14ac:dyDescent="0.2">
      <c r="B40" s="1949"/>
      <c r="C40" s="1949"/>
      <c r="D40" s="1949"/>
    </row>
    <row r="41" spans="2:5" ht="13.5" customHeight="1" x14ac:dyDescent="0.2">
      <c r="B41" s="1950"/>
      <c r="C41" s="1950"/>
      <c r="D41" s="1950"/>
      <c r="E41" s="1950"/>
    </row>
    <row r="42" spans="2:5" ht="12.2" customHeight="1" x14ac:dyDescent="0.2">
      <c r="B42" s="1951" t="s">
        <v>2108</v>
      </c>
      <c r="C42" s="1951"/>
      <c r="D42" s="1951"/>
    </row>
    <row r="43" spans="2:5" ht="12.2" customHeight="1" x14ac:dyDescent="0.2">
      <c r="B43" s="1952"/>
      <c r="C43" s="1952"/>
      <c r="D43" s="1952"/>
    </row>
    <row r="44" spans="2:5" ht="12.75" customHeight="1" x14ac:dyDescent="0.2">
      <c r="B44" s="1942"/>
      <c r="C44" s="1942"/>
      <c r="D44" s="1942"/>
    </row>
    <row r="45" spans="2:5" ht="12.75" customHeight="1" x14ac:dyDescent="0.2">
      <c r="B45" s="1942"/>
      <c r="C45" s="1942"/>
      <c r="D45" s="1942"/>
    </row>
    <row r="46" spans="2:5" x14ac:dyDescent="0.2">
      <c r="B46" s="1942"/>
      <c r="C46" s="1942"/>
      <c r="D46" s="1942"/>
    </row>
    <row r="47" spans="2:5" x14ac:dyDescent="0.2">
      <c r="B47" s="1942"/>
      <c r="C47" s="1942"/>
      <c r="D47" s="1942"/>
    </row>
    <row r="51" spans="2:4" x14ac:dyDescent="0.2">
      <c r="B51" s="1953"/>
      <c r="C51" s="1953"/>
      <c r="D51" s="195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4"/>
      <c r="C64" s="1954"/>
      <c r="D64" s="1954"/>
    </row>
    <row r="65" spans="2:4" x14ac:dyDescent="0.2">
      <c r="B65" s="1942"/>
      <c r="C65" s="1942"/>
      <c r="D65" s="1942"/>
    </row>
    <row r="66" spans="2:4" x14ac:dyDescent="0.2">
      <c r="B66" s="1942"/>
      <c r="C66" s="1942"/>
      <c r="D66" s="1942"/>
    </row>
    <row r="67" spans="2:4" x14ac:dyDescent="0.2">
      <c r="B67" s="1954"/>
      <c r="C67" s="1954"/>
      <c r="D67" s="1954"/>
    </row>
    <row r="68" spans="2:4" x14ac:dyDescent="0.2">
      <c r="B68" s="1954"/>
      <c r="C68" s="1954"/>
      <c r="D68" s="1954"/>
    </row>
    <row r="69" spans="2:4" x14ac:dyDescent="0.2">
      <c r="B69" s="1954"/>
      <c r="C69" s="1954"/>
      <c r="D69" s="1954"/>
    </row>
    <row r="70" spans="2:4" x14ac:dyDescent="0.2">
      <c r="B70" s="1942"/>
      <c r="C70" s="1942"/>
      <c r="D70" s="194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629" t="str">
        <f>'Single Audit Cover'!A7</f>
        <v>Kewanee CUSD 229</v>
      </c>
      <c r="C1" s="2629"/>
      <c r="D1" s="2629"/>
      <c r="E1" s="2629"/>
      <c r="F1" s="1933"/>
      <c r="G1" s="1933"/>
      <c r="H1" s="1933"/>
      <c r="I1" s="1933"/>
      <c r="J1" s="1933"/>
      <c r="K1" s="1933"/>
      <c r="L1" s="1933"/>
    </row>
    <row r="2" spans="2:12" ht="13.5" customHeight="1" x14ac:dyDescent="0.2">
      <c r="B2" s="2630">
        <f>'Single Audit Cover'!E7</f>
        <v>28037229026</v>
      </c>
      <c r="C2" s="2630"/>
      <c r="D2" s="2630"/>
      <c r="E2" s="2630"/>
      <c r="F2" s="1935"/>
      <c r="G2" s="1935"/>
      <c r="H2" s="1935"/>
      <c r="I2" s="1935"/>
      <c r="J2" s="1935"/>
      <c r="K2" s="1935"/>
      <c r="L2" s="1935"/>
    </row>
    <row r="3" spans="2:12" ht="13.5" customHeight="1" x14ac:dyDescent="0.2">
      <c r="B3" s="2631" t="s">
        <v>2100</v>
      </c>
      <c r="C3" s="2631"/>
      <c r="D3" s="2631"/>
      <c r="E3" s="2631"/>
      <c r="F3" s="1936"/>
      <c r="G3" s="1936"/>
      <c r="H3" s="1936"/>
      <c r="I3" s="1936"/>
      <c r="J3" s="1936"/>
      <c r="K3" s="1936"/>
      <c r="L3" s="1936"/>
    </row>
    <row r="4" spans="2:12" ht="13.5" customHeight="1" x14ac:dyDescent="0.2">
      <c r="B4" s="2632" t="s">
        <v>1986</v>
      </c>
      <c r="C4" s="2632"/>
      <c r="D4" s="2632"/>
      <c r="E4" s="2632"/>
      <c r="F4" s="1937"/>
      <c r="G4" s="1937"/>
      <c r="H4" s="1937"/>
      <c r="I4" s="1937"/>
      <c r="J4" s="1937"/>
      <c r="K4" s="1937"/>
      <c r="L4" s="1937"/>
    </row>
    <row r="5" spans="2:12" ht="29.85" customHeight="1" x14ac:dyDescent="0.2"/>
    <row r="6" spans="2:12" ht="13.5" customHeight="1" x14ac:dyDescent="0.2">
      <c r="B6" s="1938" t="s">
        <v>2101</v>
      </c>
      <c r="C6" s="1938"/>
      <c r="D6" s="1939"/>
      <c r="E6" s="1940"/>
      <c r="F6" s="1940"/>
      <c r="G6" s="1941"/>
      <c r="H6" s="1941"/>
      <c r="I6" s="1941"/>
    </row>
    <row r="7" spans="2:12" ht="13.5" customHeight="1" x14ac:dyDescent="0.2">
      <c r="B7" s="1934" t="s">
        <v>1169</v>
      </c>
    </row>
    <row r="8" spans="2:12" ht="13.5" customHeight="1" x14ac:dyDescent="0.2">
      <c r="B8" s="1942" t="s">
        <v>2102</v>
      </c>
      <c r="C8" s="1943" t="s">
        <v>1988</v>
      </c>
      <c r="D8" s="1944">
        <v>2</v>
      </c>
    </row>
    <row r="9" spans="2:12" ht="13.5" customHeight="1" x14ac:dyDescent="0.2">
      <c r="B9" s="1945"/>
      <c r="C9" s="1945"/>
      <c r="D9" s="1945"/>
    </row>
    <row r="10" spans="2:12" ht="13.5" customHeight="1" x14ac:dyDescent="0.2">
      <c r="B10" s="1942" t="s">
        <v>2103</v>
      </c>
      <c r="C10" s="1942"/>
    </row>
    <row r="11" spans="2:12" ht="66.75" customHeight="1" x14ac:dyDescent="0.2">
      <c r="B11" s="2628" t="str">
        <f>+'SF&amp;QC Sec-3 2 Finding 2019-002'!B23:K23</f>
        <v>The District has not monitored the net cash resources of the child nutrition program.  Upon further review, it was determined that the net cash resources of the nonprofit school food service did not exceed 3 months average expenditures.</v>
      </c>
      <c r="C11" s="2628"/>
      <c r="D11" s="2628"/>
      <c r="E11" s="2628"/>
    </row>
    <row r="12" spans="2:12" ht="13.5" customHeight="1" x14ac:dyDescent="0.2"/>
    <row r="13" spans="2:12" ht="13.5" customHeight="1" x14ac:dyDescent="0.2">
      <c r="B13" s="1942" t="s">
        <v>2104</v>
      </c>
      <c r="C13" s="1942"/>
    </row>
    <row r="14" spans="2:12" ht="76.5" customHeight="1" x14ac:dyDescent="0.2">
      <c r="B14" s="2628" t="s">
        <v>2266</v>
      </c>
      <c r="C14" s="2628"/>
      <c r="D14" s="2628"/>
      <c r="E14" s="2628"/>
    </row>
    <row r="15" spans="2:12" ht="13.5" customHeight="1" x14ac:dyDescent="0.2"/>
    <row r="16" spans="2:12" ht="13.5" customHeight="1" x14ac:dyDescent="0.2">
      <c r="B16" s="1942" t="s">
        <v>2105</v>
      </c>
      <c r="C16" s="1942"/>
      <c r="E16" s="1946">
        <v>43739</v>
      </c>
    </row>
    <row r="17" spans="2:5" ht="13.5" customHeight="1" x14ac:dyDescent="0.2"/>
    <row r="18" spans="2:5" ht="13.5" customHeight="1" x14ac:dyDescent="0.2">
      <c r="B18" s="1942" t="s">
        <v>2106</v>
      </c>
      <c r="C18" s="1942"/>
      <c r="E18" s="1947" t="s">
        <v>2109</v>
      </c>
    </row>
    <row r="19" spans="2:5" ht="13.5" customHeight="1" x14ac:dyDescent="0.2"/>
    <row r="20" spans="2:5" ht="13.5" customHeight="1" x14ac:dyDescent="0.2">
      <c r="B20" s="1942" t="s">
        <v>2107</v>
      </c>
      <c r="C20" s="1942"/>
      <c r="E20" s="1947" t="s">
        <v>2258</v>
      </c>
    </row>
    <row r="21" spans="2:5" ht="13.5" customHeight="1" x14ac:dyDescent="0.2">
      <c r="E21" s="1947"/>
    </row>
    <row r="22" spans="2:5" ht="13.5" customHeight="1" x14ac:dyDescent="0.2">
      <c r="E22" s="1947"/>
    </row>
    <row r="23" spans="2:5" ht="13.5" customHeight="1" x14ac:dyDescent="0.2"/>
    <row r="24" spans="2:5" ht="13.5" customHeight="1" x14ac:dyDescent="0.2"/>
    <row r="25" spans="2:5" ht="13.5" customHeight="1" x14ac:dyDescent="0.2">
      <c r="B25" s="1948"/>
      <c r="C25" s="1948"/>
      <c r="D25" s="1948"/>
    </row>
    <row r="26" spans="2:5" ht="13.5" customHeight="1" x14ac:dyDescent="0.2">
      <c r="B26" s="1948"/>
      <c r="C26" s="1948"/>
      <c r="D26" s="1948"/>
    </row>
    <row r="27" spans="2:5" ht="13.5" customHeight="1" x14ac:dyDescent="0.2">
      <c r="B27" s="1948"/>
      <c r="C27" s="1948"/>
      <c r="D27" s="194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9"/>
      <c r="C35" s="1949"/>
      <c r="D35" s="1949"/>
    </row>
    <row r="36" spans="2:5" ht="13.5" customHeight="1" x14ac:dyDescent="0.2"/>
    <row r="37" spans="2:5" ht="13.5" customHeight="1" x14ac:dyDescent="0.2">
      <c r="B37" s="1949"/>
      <c r="C37" s="1949"/>
      <c r="D37" s="1949"/>
    </row>
    <row r="38" spans="2:5" ht="13.5" customHeight="1" x14ac:dyDescent="0.2">
      <c r="B38" s="1949"/>
      <c r="C38" s="1949"/>
      <c r="D38" s="1949"/>
    </row>
    <row r="39" spans="2:5" ht="13.5" customHeight="1" x14ac:dyDescent="0.2">
      <c r="B39" s="1949"/>
      <c r="C39" s="1949"/>
      <c r="D39" s="1949"/>
    </row>
    <row r="40" spans="2:5" ht="13.5" customHeight="1" x14ac:dyDescent="0.2">
      <c r="B40" s="1949"/>
      <c r="C40" s="1949"/>
      <c r="D40" s="1949"/>
    </row>
    <row r="41" spans="2:5" ht="13.5" customHeight="1" x14ac:dyDescent="0.2">
      <c r="B41" s="1950"/>
      <c r="C41" s="1950"/>
      <c r="D41" s="1950"/>
      <c r="E41" s="1950"/>
    </row>
    <row r="42" spans="2:5" ht="12.2" customHeight="1" x14ac:dyDescent="0.2">
      <c r="B42" s="1951" t="s">
        <v>2108</v>
      </c>
      <c r="C42" s="1951"/>
      <c r="D42" s="1951"/>
    </row>
    <row r="43" spans="2:5" ht="12.2" customHeight="1" x14ac:dyDescent="0.2">
      <c r="B43" s="1952"/>
      <c r="C43" s="1952"/>
      <c r="D43" s="1952"/>
    </row>
    <row r="44" spans="2:5" ht="12.75" customHeight="1" x14ac:dyDescent="0.2">
      <c r="B44" s="1942"/>
      <c r="C44" s="1942"/>
      <c r="D44" s="1942"/>
    </row>
    <row r="45" spans="2:5" ht="12.75" customHeight="1" x14ac:dyDescent="0.2">
      <c r="B45" s="1942"/>
      <c r="C45" s="1942"/>
      <c r="D45" s="1942"/>
    </row>
    <row r="46" spans="2:5" x14ac:dyDescent="0.2">
      <c r="B46" s="1942"/>
      <c r="C46" s="1942"/>
      <c r="D46" s="1942"/>
    </row>
    <row r="47" spans="2:5" x14ac:dyDescent="0.2">
      <c r="B47" s="1942"/>
      <c r="C47" s="1942"/>
      <c r="D47" s="1942"/>
    </row>
    <row r="51" spans="2:4" x14ac:dyDescent="0.2">
      <c r="B51" s="1953"/>
      <c r="C51" s="1953"/>
      <c r="D51" s="195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4"/>
      <c r="C64" s="1954"/>
      <c r="D64" s="1954"/>
    </row>
    <row r="65" spans="2:4" x14ac:dyDescent="0.2">
      <c r="B65" s="1942"/>
      <c r="C65" s="1942"/>
      <c r="D65" s="1942"/>
    </row>
    <row r="66" spans="2:4" x14ac:dyDescent="0.2">
      <c r="B66" s="1942"/>
      <c r="C66" s="1942"/>
      <c r="D66" s="1942"/>
    </row>
    <row r="67" spans="2:4" x14ac:dyDescent="0.2">
      <c r="B67" s="1954"/>
      <c r="C67" s="1954"/>
      <c r="D67" s="1954"/>
    </row>
    <row r="68" spans="2:4" x14ac:dyDescent="0.2">
      <c r="B68" s="1954"/>
      <c r="C68" s="1954"/>
      <c r="D68" s="1954"/>
    </row>
    <row r="69" spans="2:4" x14ac:dyDescent="0.2">
      <c r="B69" s="1954"/>
      <c r="C69" s="1954"/>
      <c r="D69" s="1954"/>
    </row>
    <row r="70" spans="2:4" x14ac:dyDescent="0.2">
      <c r="B70" s="1942"/>
      <c r="C70" s="1942"/>
      <c r="D70" s="194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4"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21" t="s">
        <v>386</v>
      </c>
      <c r="B1" s="2221"/>
      <c r="C1" s="2221"/>
      <c r="D1" s="2221"/>
      <c r="E1" s="2221"/>
      <c r="F1" s="2221"/>
      <c r="G1" s="2221"/>
      <c r="H1" s="2221"/>
      <c r="I1" s="2221"/>
      <c r="J1" s="2221"/>
      <c r="K1" s="2221"/>
      <c r="L1" s="2221"/>
      <c r="M1" s="222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78365796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29">
        <f>ROUND(D10+F10+H10,5)</f>
        <v>2.5399999999999999E-2</v>
      </c>
      <c r="K10" s="222"/>
      <c r="L10" s="355">
        <v>5.0000000000000001E-4</v>
      </c>
      <c r="M10" s="222"/>
    </row>
    <row r="11" spans="1:14" ht="7.5" customHeight="1" x14ac:dyDescent="0.2">
      <c r="B11" s="222"/>
      <c r="C11" s="222"/>
      <c r="D11" s="2231" t="str">
        <f>IF(SUM(J10)&lt;=0.0999999,"","Enter the Tax Rates by moving the decimal two places to the left.")</f>
        <v/>
      </c>
      <c r="E11" s="2232"/>
      <c r="F11" s="2232"/>
      <c r="G11" s="2232"/>
      <c r="H11" s="2232"/>
      <c r="I11" s="2232"/>
      <c r="J11" s="223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19695475</v>
      </c>
      <c r="E16" s="356"/>
      <c r="F16" s="1730">
        <f>SUM('Acct Summary 7-8'!C17,'Acct Summary 7-8'!D17,'Acct Summary 7-8'!F17)</f>
        <v>18766974</v>
      </c>
      <c r="G16" s="356"/>
      <c r="H16" s="1730">
        <f>SUM(D16-F16)</f>
        <v>928501</v>
      </c>
      <c r="I16" s="222"/>
      <c r="J16" s="1730">
        <f>SUM('Acct Summary 7-8'!C81,'Acct Summary 7-8'!D81,'Acct Summary 7-8'!F81,'Acct Summary 7-8'!I81)</f>
        <v>12175737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10814479.848000001</v>
      </c>
      <c r="I31" s="368"/>
      <c r="J31" s="222"/>
      <c r="K31" s="222"/>
      <c r="L31" s="222"/>
      <c r="M31" s="222"/>
    </row>
    <row r="32" spans="1:13" ht="13.35" customHeight="1" x14ac:dyDescent="0.2">
      <c r="B32" s="369" t="s">
        <v>2067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6595000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22"/>
      <c r="C54" s="2223"/>
      <c r="D54" s="2223"/>
      <c r="E54" s="2223"/>
      <c r="F54" s="2223"/>
      <c r="G54" s="2223"/>
      <c r="H54" s="2223"/>
      <c r="I54" s="2223"/>
      <c r="J54" s="2223"/>
      <c r="K54" s="2223"/>
      <c r="L54" s="2224"/>
      <c r="M54" s="380"/>
    </row>
    <row r="55" spans="1:13" ht="12.75" customHeight="1" x14ac:dyDescent="0.2">
      <c r="B55" s="2225"/>
      <c r="C55" s="2226"/>
      <c r="D55" s="2226"/>
      <c r="E55" s="2226"/>
      <c r="F55" s="2226"/>
      <c r="G55" s="2226"/>
      <c r="H55" s="2226"/>
      <c r="I55" s="2226"/>
      <c r="J55" s="2226"/>
      <c r="K55" s="2226"/>
      <c r="L55" s="2227"/>
      <c r="M55" s="380"/>
    </row>
    <row r="56" spans="1:13" ht="12.75" customHeight="1" x14ac:dyDescent="0.2">
      <c r="B56" s="2225"/>
      <c r="C56" s="2226"/>
      <c r="D56" s="2226"/>
      <c r="E56" s="2226"/>
      <c r="F56" s="2226"/>
      <c r="G56" s="2226"/>
      <c r="H56" s="2226"/>
      <c r="I56" s="2226"/>
      <c r="J56" s="2226"/>
      <c r="K56" s="2226"/>
      <c r="L56" s="2227"/>
      <c r="M56" s="222"/>
    </row>
    <row r="57" spans="1:13" ht="12.75" customHeight="1" x14ac:dyDescent="0.2">
      <c r="B57" s="2225"/>
      <c r="C57" s="2226"/>
      <c r="D57" s="2226"/>
      <c r="E57" s="2226"/>
      <c r="F57" s="2226"/>
      <c r="G57" s="2226"/>
      <c r="H57" s="2226"/>
      <c r="I57" s="2226"/>
      <c r="J57" s="2226"/>
      <c r="K57" s="2226"/>
      <c r="L57" s="2227"/>
      <c r="M57" s="222"/>
    </row>
    <row r="58" spans="1:13" x14ac:dyDescent="0.2">
      <c r="B58" s="2228"/>
      <c r="C58" s="2229"/>
      <c r="D58" s="2229"/>
      <c r="E58" s="2229"/>
      <c r="F58" s="2229"/>
      <c r="G58" s="2229"/>
      <c r="H58" s="2229"/>
      <c r="I58" s="2229"/>
      <c r="J58" s="2229"/>
      <c r="K58" s="2229"/>
      <c r="L58" s="223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33"/>
      <c r="D61" s="223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36"/>
      <c r="B1" s="2237"/>
      <c r="C1" s="2237"/>
      <c r="D1" s="384"/>
      <c r="E1" s="384"/>
      <c r="F1" s="384"/>
      <c r="G1" s="384"/>
      <c r="H1" s="384"/>
      <c r="I1" s="384"/>
      <c r="J1" s="384"/>
      <c r="K1" s="384"/>
      <c r="L1" s="384"/>
      <c r="M1" s="384"/>
      <c r="N1" s="384"/>
      <c r="O1" s="2236"/>
      <c r="P1" s="2237"/>
      <c r="Q1" s="2237"/>
    </row>
    <row r="2" spans="1:18" ht="15" x14ac:dyDescent="0.2">
      <c r="A2" s="2240" t="s">
        <v>556</v>
      </c>
      <c r="B2" s="2240"/>
      <c r="C2" s="2240"/>
      <c r="D2" s="2240"/>
      <c r="E2" s="2240"/>
      <c r="F2" s="2240"/>
      <c r="G2" s="2240"/>
      <c r="H2" s="2240"/>
      <c r="I2" s="2240"/>
      <c r="J2" s="2240"/>
      <c r="K2" s="2240"/>
      <c r="L2" s="2240"/>
      <c r="M2" s="2240"/>
      <c r="N2" s="2240"/>
      <c r="O2" s="2240"/>
      <c r="P2" s="2240"/>
      <c r="Q2" s="2240"/>
      <c r="R2" s="2240"/>
    </row>
    <row r="3" spans="1:18" ht="12.75" x14ac:dyDescent="0.2">
      <c r="A3" s="2241" t="s">
        <v>1413</v>
      </c>
      <c r="B3" s="2241"/>
      <c r="C3" s="2241"/>
      <c r="D3" s="2241"/>
      <c r="E3" s="2241"/>
      <c r="F3" s="2241"/>
      <c r="G3" s="2241"/>
      <c r="H3" s="2241"/>
      <c r="I3" s="2241"/>
      <c r="J3" s="2241"/>
      <c r="K3" s="2241"/>
      <c r="L3" s="2241"/>
      <c r="M3" s="2241"/>
      <c r="N3" s="2241"/>
      <c r="O3" s="2241"/>
      <c r="P3" s="2241"/>
      <c r="Q3" s="2241"/>
      <c r="R3" s="2241"/>
    </row>
    <row r="4" spans="1:18" x14ac:dyDescent="0.2">
      <c r="A4" s="2242" t="s">
        <v>1554</v>
      </c>
      <c r="B4" s="2242"/>
      <c r="C4" s="2242"/>
      <c r="D4" s="2242"/>
      <c r="E4" s="2242"/>
      <c r="F4" s="2242"/>
      <c r="G4" s="2242"/>
      <c r="H4" s="2242"/>
      <c r="I4" s="2242"/>
      <c r="J4" s="2242"/>
      <c r="K4" s="2242"/>
      <c r="L4" s="2242"/>
      <c r="M4" s="2242"/>
      <c r="N4" s="2242"/>
      <c r="O4" s="2242"/>
      <c r="P4" s="2242"/>
      <c r="Q4" s="2242"/>
      <c r="R4" s="224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Kewanee CUSD 229</v>
      </c>
      <c r="E7" s="391"/>
      <c r="G7" s="252"/>
      <c r="H7" s="387"/>
      <c r="I7" s="387"/>
      <c r="J7" s="387"/>
      <c r="K7" s="387"/>
      <c r="L7" s="329"/>
      <c r="M7" s="329"/>
      <c r="N7" s="329"/>
      <c r="O7" s="329"/>
      <c r="P7" s="329"/>
    </row>
    <row r="8" spans="1:18" ht="12.75" x14ac:dyDescent="0.2">
      <c r="A8" s="329"/>
      <c r="B8" s="329"/>
      <c r="C8" s="389" t="s">
        <v>1125</v>
      </c>
      <c r="D8" s="392">
        <f>COVER!A13</f>
        <v>28037229026</v>
      </c>
      <c r="E8" s="393"/>
      <c r="G8" s="329"/>
      <c r="H8" s="329"/>
      <c r="I8" s="329"/>
      <c r="J8" s="329"/>
      <c r="K8" s="329"/>
      <c r="L8" s="329"/>
      <c r="M8" s="329"/>
      <c r="N8" s="329"/>
      <c r="O8" s="329"/>
      <c r="P8" s="329"/>
    </row>
    <row r="9" spans="1:18" ht="12.75" x14ac:dyDescent="0.2">
      <c r="A9" s="329"/>
      <c r="B9" s="329"/>
      <c r="C9" s="389" t="s">
        <v>713</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12175737</v>
      </c>
      <c r="I12" s="404"/>
      <c r="J12" s="404"/>
      <c r="K12" s="405">
        <f>TRUNC((H12/H13*100000),5)/100000</f>
        <v>0.61819971330000001</v>
      </c>
      <c r="L12" s="406"/>
      <c r="M12" s="360" t="s">
        <v>1144</v>
      </c>
      <c r="N12" s="360"/>
      <c r="O12" s="407">
        <v>0.35</v>
      </c>
      <c r="P12" s="218"/>
      <c r="Q12" s="218"/>
    </row>
    <row r="13" spans="1:18" s="408" customFormat="1" ht="12.75" x14ac:dyDescent="0.2">
      <c r="A13" s="218"/>
      <c r="B13" s="401"/>
      <c r="C13" s="2238" t="s">
        <v>1324</v>
      </c>
      <c r="D13" s="2239"/>
      <c r="E13" s="218"/>
      <c r="F13" s="409" t="s">
        <v>793</v>
      </c>
      <c r="G13" s="402"/>
      <c r="H13" s="403">
        <f>SUM('Acct Summary 7-8'!C8+'Acct Summary 7-8'!D8+'Acct Summary 7-8'!F8+'Acct Summary 7-8'!I8)+H14</f>
        <v>19695475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18766974</v>
      </c>
      <c r="I17" s="404"/>
      <c r="J17" s="416"/>
      <c r="K17" s="405">
        <f>TRUNC((H17/H18*100000),5)/100000</f>
        <v>0.95285714099999996</v>
      </c>
      <c r="L17" s="406"/>
      <c r="M17" s="417" t="s">
        <v>1171</v>
      </c>
      <c r="O17" s="418" t="str">
        <f>IF(AND(O16="2", J20 &gt; 2),"1",IF(AND(O16 = "1", J20 &gt; 2),"2",IF(AND(O16="1", J20 &gt;1),"1","0")))</f>
        <v>0</v>
      </c>
      <c r="P17" s="218"/>
    </row>
    <row r="18" spans="1:18" s="408" customFormat="1" ht="11.25" x14ac:dyDescent="0.2">
      <c r="A18" s="218"/>
      <c r="B18" s="401"/>
      <c r="C18" s="2238" t="s">
        <v>1317</v>
      </c>
      <c r="D18" s="2239"/>
      <c r="E18" s="218"/>
      <c r="F18" s="419" t="s">
        <v>794</v>
      </c>
      <c r="G18" s="402"/>
      <c r="H18" s="403">
        <f>SUM('Acct Summary 7-8'!C8+'Acct Summary 7-8'!D8+'Acct Summary 7-8'!F8+'Acct Summary 7-8'!I8)+H19</f>
        <v>19695475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35" t="s">
        <v>1412</v>
      </c>
      <c r="D24" s="2235"/>
      <c r="E24" s="218"/>
      <c r="F24" s="218" t="s">
        <v>445</v>
      </c>
      <c r="G24" s="402"/>
      <c r="H24" s="403">
        <f>SUM('Assets-Liab 5-6'!C4+'Assets-Liab 5-6'!D4+'Assets-Liab 5-6'!F4+'Assets-Liab 5-6'!I4+'Assets-Liab 5-6'!C5+'Assets-Liab 5-6'!D5+'Assets-Liab 5-6'!F5+'Assets-Liab 5-6'!I5)</f>
        <v>12175737</v>
      </c>
      <c r="I24" s="422"/>
      <c r="J24" s="422"/>
      <c r="K24" s="423">
        <f>TRUNC(((H24/H25*100000)/100000),2)</f>
        <v>233.56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52130.483330000003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1691917.5356399999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6595000</v>
      </c>
      <c r="I32" s="420"/>
      <c r="J32" s="420"/>
      <c r="K32" s="423">
        <f>TRUNC(100-((((H32/H33*100))*100)/100),2)</f>
        <v>39.01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10814479.848000001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4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4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45" t="s">
        <v>973</v>
      </c>
      <c r="B3" s="2246"/>
      <c r="C3" s="1556"/>
      <c r="D3" s="1557"/>
      <c r="E3" s="1557"/>
      <c r="F3" s="1557"/>
      <c r="G3" s="1557"/>
      <c r="H3" s="1557"/>
      <c r="I3" s="1557"/>
      <c r="J3" s="1557"/>
      <c r="K3" s="1557"/>
      <c r="L3" s="1557"/>
      <c r="M3" s="1558"/>
      <c r="N3" s="1559"/>
    </row>
    <row r="4" spans="1:14" ht="13.5" customHeight="1" x14ac:dyDescent="0.2">
      <c r="A4" s="463" t="s">
        <v>1651</v>
      </c>
      <c r="B4" s="464"/>
      <c r="C4" s="465">
        <v>2532942</v>
      </c>
      <c r="D4" s="465">
        <v>1250635</v>
      </c>
      <c r="E4" s="465">
        <v>910102</v>
      </c>
      <c r="F4" s="465">
        <v>414288</v>
      </c>
      <c r="G4" s="465">
        <v>976591</v>
      </c>
      <c r="H4" s="465">
        <v>1211408</v>
      </c>
      <c r="I4" s="465">
        <v>433573</v>
      </c>
      <c r="J4" s="465">
        <v>230258</v>
      </c>
      <c r="K4" s="465">
        <v>103123</v>
      </c>
      <c r="L4" s="465">
        <v>305094</v>
      </c>
      <c r="M4" s="468"/>
      <c r="N4" s="469"/>
    </row>
    <row r="5" spans="1:14" x14ac:dyDescent="0.2">
      <c r="A5" s="463" t="s">
        <v>992</v>
      </c>
      <c r="B5" s="470">
        <v>120</v>
      </c>
      <c r="C5" s="465">
        <v>6398137</v>
      </c>
      <c r="D5" s="465">
        <v>627093</v>
      </c>
      <c r="E5" s="465">
        <v>1013471</v>
      </c>
      <c r="F5" s="465">
        <v>416808</v>
      </c>
      <c r="G5" s="465">
        <v>0</v>
      </c>
      <c r="H5" s="465">
        <v>0</v>
      </c>
      <c r="I5" s="465">
        <v>102261</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8931079</v>
      </c>
      <c r="D13" s="1734">
        <f t="shared" ref="D13:L13" si="0">SUM(D4:D12)</f>
        <v>1877728</v>
      </c>
      <c r="E13" s="1734">
        <f t="shared" si="0"/>
        <v>1923573</v>
      </c>
      <c r="F13" s="1734">
        <f t="shared" si="0"/>
        <v>831096</v>
      </c>
      <c r="G13" s="1734">
        <f t="shared" si="0"/>
        <v>976591</v>
      </c>
      <c r="H13" s="1734">
        <f t="shared" si="0"/>
        <v>1211408</v>
      </c>
      <c r="I13" s="1734">
        <f t="shared" si="0"/>
        <v>535834</v>
      </c>
      <c r="J13" s="1734">
        <f t="shared" si="0"/>
        <v>230258</v>
      </c>
      <c r="K13" s="1734">
        <f t="shared" si="0"/>
        <v>103123</v>
      </c>
      <c r="L13" s="1734">
        <f t="shared" si="0"/>
        <v>305094</v>
      </c>
      <c r="M13" s="468"/>
      <c r="N13" s="469"/>
    </row>
    <row r="14" spans="1:14" ht="18" customHeight="1" thickTop="1" x14ac:dyDescent="0.2">
      <c r="A14" s="2247" t="s">
        <v>147</v>
      </c>
      <c r="B14" s="2248"/>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425290</v>
      </c>
      <c r="N16" s="482"/>
    </row>
    <row r="17" spans="1:14" s="483" customFormat="1" ht="12.75" customHeight="1" x14ac:dyDescent="0.2">
      <c r="A17" s="480" t="s">
        <v>1403</v>
      </c>
      <c r="B17" s="481">
        <v>230</v>
      </c>
      <c r="C17" s="475"/>
      <c r="D17" s="475"/>
      <c r="E17" s="475"/>
      <c r="F17" s="475"/>
      <c r="G17" s="475"/>
      <c r="H17" s="475"/>
      <c r="I17" s="475"/>
      <c r="J17" s="475"/>
      <c r="K17" s="475"/>
      <c r="L17" s="475"/>
      <c r="M17" s="465">
        <v>26499604</v>
      </c>
      <c r="N17" s="482"/>
    </row>
    <row r="18" spans="1:14" s="483" customFormat="1" ht="12.75" customHeight="1" x14ac:dyDescent="0.2">
      <c r="A18" s="480" t="s">
        <v>1404</v>
      </c>
      <c r="B18" s="481">
        <v>240</v>
      </c>
      <c r="C18" s="475"/>
      <c r="D18" s="475"/>
      <c r="E18" s="475"/>
      <c r="F18" s="475"/>
      <c r="G18" s="475"/>
      <c r="H18" s="475"/>
      <c r="I18" s="475"/>
      <c r="J18" s="475"/>
      <c r="K18" s="475"/>
      <c r="L18" s="475"/>
      <c r="M18" s="465">
        <v>3171205</v>
      </c>
      <c r="N18" s="482"/>
    </row>
    <row r="19" spans="1:14" s="483" customFormat="1" ht="12.75" customHeight="1" x14ac:dyDescent="0.2">
      <c r="A19" s="480" t="s">
        <v>1405</v>
      </c>
      <c r="B19" s="481">
        <v>250</v>
      </c>
      <c r="C19" s="475"/>
      <c r="D19" s="475"/>
      <c r="E19" s="475"/>
      <c r="F19" s="475"/>
      <c r="G19" s="475"/>
      <c r="H19" s="475"/>
      <c r="I19" s="475"/>
      <c r="J19" s="475"/>
      <c r="K19" s="475"/>
      <c r="L19" s="475"/>
      <c r="M19" s="465">
        <v>5576028</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1923573</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4671427</v>
      </c>
    </row>
    <row r="23" spans="1:14" ht="13.5" customHeight="1" thickBot="1" x14ac:dyDescent="0.25">
      <c r="A23" s="1733" t="s">
        <v>643</v>
      </c>
      <c r="B23" s="1738"/>
      <c r="C23" s="468"/>
      <c r="D23" s="468"/>
      <c r="E23" s="468"/>
      <c r="F23" s="468"/>
      <c r="G23" s="468"/>
      <c r="H23" s="468"/>
      <c r="I23" s="468"/>
      <c r="J23" s="468"/>
      <c r="K23" s="468"/>
      <c r="L23" s="468"/>
      <c r="M23" s="1685">
        <f>SUM(M15:M22)</f>
        <v>35672127</v>
      </c>
      <c r="N23" s="1685">
        <f>SUM(N21:N22)</f>
        <v>6595000</v>
      </c>
    </row>
    <row r="24" spans="1:14" ht="18" customHeight="1" thickTop="1" x14ac:dyDescent="0.2">
      <c r="A24" s="2249" t="s">
        <v>598</v>
      </c>
      <c r="B24" s="2250"/>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208665</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208665</v>
      </c>
      <c r="M34" s="468"/>
      <c r="N34" s="478"/>
    </row>
    <row r="35" spans="1:14" ht="18" customHeight="1" thickTop="1" x14ac:dyDescent="0.2">
      <c r="A35" s="2251" t="s">
        <v>529</v>
      </c>
      <c r="B35" s="2252"/>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6595000</v>
      </c>
    </row>
    <row r="37" spans="1:14" ht="13.5" thickBot="1" x14ac:dyDescent="0.25">
      <c r="A37" s="1733" t="s">
        <v>653</v>
      </c>
      <c r="B37" s="1738"/>
      <c r="C37" s="475"/>
      <c r="D37" s="475"/>
      <c r="E37" s="475"/>
      <c r="F37" s="475"/>
      <c r="G37" s="475"/>
      <c r="H37" s="475"/>
      <c r="I37" s="475"/>
      <c r="J37" s="475"/>
      <c r="K37" s="475"/>
      <c r="L37" s="478"/>
      <c r="M37" s="468"/>
      <c r="N37" s="1685">
        <f>SUM(N36:N36)</f>
        <v>6595000</v>
      </c>
    </row>
    <row r="38" spans="1:14" s="329" customFormat="1" ht="13.5" customHeight="1" thickTop="1" x14ac:dyDescent="0.2">
      <c r="A38" s="493" t="s">
        <v>420</v>
      </c>
      <c r="B38" s="481">
        <v>714</v>
      </c>
      <c r="C38" s="465">
        <v>65035</v>
      </c>
      <c r="D38" s="465">
        <v>0</v>
      </c>
      <c r="E38" s="465">
        <v>1811443</v>
      </c>
      <c r="F38" s="465">
        <v>0</v>
      </c>
      <c r="G38" s="465">
        <v>595550</v>
      </c>
      <c r="H38" s="465">
        <v>0</v>
      </c>
      <c r="I38" s="465">
        <v>0</v>
      </c>
      <c r="J38" s="465">
        <v>0</v>
      </c>
      <c r="K38" s="465">
        <v>0</v>
      </c>
      <c r="L38" s="465">
        <v>96429</v>
      </c>
      <c r="M38" s="494"/>
      <c r="N38" s="494"/>
    </row>
    <row r="39" spans="1:14" s="329" customFormat="1" ht="13.5" customHeight="1" x14ac:dyDescent="0.2">
      <c r="A39" s="493" t="s">
        <v>342</v>
      </c>
      <c r="B39" s="481">
        <v>730</v>
      </c>
      <c r="C39" s="465">
        <v>8866044</v>
      </c>
      <c r="D39" s="465">
        <v>1877728</v>
      </c>
      <c r="E39" s="465">
        <v>112130</v>
      </c>
      <c r="F39" s="465">
        <v>831096</v>
      </c>
      <c r="G39" s="465">
        <v>381041</v>
      </c>
      <c r="H39" s="465">
        <v>1211408</v>
      </c>
      <c r="I39" s="465">
        <v>535834</v>
      </c>
      <c r="J39" s="465">
        <v>230258</v>
      </c>
      <c r="K39" s="465">
        <v>103123</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35672127</v>
      </c>
      <c r="N40" s="494"/>
    </row>
    <row r="41" spans="1:14" ht="13.5" customHeight="1" thickBot="1" x14ac:dyDescent="0.25">
      <c r="A41" s="1733" t="s">
        <v>655</v>
      </c>
      <c r="B41" s="1703"/>
      <c r="C41" s="1685">
        <f>(SUM(C34,C37,C38,C39))</f>
        <v>8931079</v>
      </c>
      <c r="D41" s="1685">
        <f t="shared" ref="D41:L41" si="2">SUM(D34,D37,D38:D39)</f>
        <v>1877728</v>
      </c>
      <c r="E41" s="1685">
        <f t="shared" si="2"/>
        <v>1923573</v>
      </c>
      <c r="F41" s="1685">
        <f t="shared" si="2"/>
        <v>831096</v>
      </c>
      <c r="G41" s="1685">
        <f t="shared" si="2"/>
        <v>976591</v>
      </c>
      <c r="H41" s="1685">
        <f t="shared" si="2"/>
        <v>1211408</v>
      </c>
      <c r="I41" s="1685">
        <f t="shared" si="2"/>
        <v>535834</v>
      </c>
      <c r="J41" s="1685">
        <f t="shared" si="2"/>
        <v>230258</v>
      </c>
      <c r="K41" s="1685">
        <f t="shared" si="2"/>
        <v>103123</v>
      </c>
      <c r="L41" s="1685">
        <f t="shared" si="2"/>
        <v>305094</v>
      </c>
      <c r="M41" s="1685">
        <f>SUM(M40)</f>
        <v>35672127</v>
      </c>
      <c r="N41" s="1685">
        <f>SUM(N37)</f>
        <v>6595000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2" sqref="L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6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6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73" t="s">
        <v>1175</v>
      </c>
      <c r="B3" s="2274"/>
      <c r="C3" s="1570"/>
      <c r="D3" s="1571"/>
      <c r="E3" s="1571"/>
      <c r="F3" s="1571"/>
      <c r="G3" s="1571"/>
      <c r="H3" s="1571"/>
      <c r="I3" s="1571"/>
      <c r="J3" s="1571"/>
      <c r="K3" s="1572"/>
      <c r="L3" s="503"/>
    </row>
    <row r="4" spans="1:13" ht="15.75" customHeight="1" x14ac:dyDescent="0.2">
      <c r="A4" s="1925" t="s">
        <v>1499</v>
      </c>
      <c r="B4" s="1926">
        <v>1000</v>
      </c>
      <c r="C4" s="1739">
        <f>'Revenues 9-14'!C109</f>
        <v>2660404</v>
      </c>
      <c r="D4" s="1739">
        <f>'Revenues 9-14'!D109</f>
        <v>577252</v>
      </c>
      <c r="E4" s="1739">
        <f>'Revenues 9-14'!E109</f>
        <v>946921</v>
      </c>
      <c r="F4" s="1739">
        <f>'Revenues 9-14'!F109</f>
        <v>180348</v>
      </c>
      <c r="G4" s="1739">
        <f>'Revenues 9-14'!G109</f>
        <v>770947</v>
      </c>
      <c r="H4" s="1739">
        <f>'Revenues 9-14'!H109</f>
        <v>36246</v>
      </c>
      <c r="I4" s="1739">
        <f>'Revenues 9-14'!I109</f>
        <v>48803</v>
      </c>
      <c r="J4" s="1739">
        <f>'Revenues 9-14'!J109</f>
        <v>583614</v>
      </c>
      <c r="K4" s="1739">
        <f>'Revenues 9-14'!K109</f>
        <v>39846</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11464020</v>
      </c>
      <c r="D6" s="1740">
        <f>'Revenues 9-14'!D170</f>
        <v>1770698</v>
      </c>
      <c r="E6" s="1740">
        <f>'Revenues 9-14'!E170</f>
        <v>0</v>
      </c>
      <c r="F6" s="1740">
        <f>'Revenues 9-14'!F170</f>
        <v>576364</v>
      </c>
      <c r="G6" s="1740">
        <f>'Revenues 9-14'!G170</f>
        <v>0</v>
      </c>
      <c r="H6" s="1740">
        <f>'Revenues 9-14'!H170</f>
        <v>590161</v>
      </c>
      <c r="I6" s="1740">
        <f>'Revenues 9-14'!I170</f>
        <v>0</v>
      </c>
      <c r="J6" s="1740">
        <f>'Revenues 9-14'!J170</f>
        <v>0</v>
      </c>
      <c r="K6" s="1740">
        <f>'Revenues 9-14'!K170</f>
        <v>0</v>
      </c>
      <c r="L6" s="347"/>
      <c r="M6" s="510"/>
    </row>
    <row r="7" spans="1:13" ht="15.75" customHeight="1" x14ac:dyDescent="0.2">
      <c r="A7" s="1573" t="s">
        <v>1502</v>
      </c>
      <c r="B7" s="1575">
        <v>4000</v>
      </c>
      <c r="C7" s="1740">
        <f>'Revenues 9-14'!C267</f>
        <v>2417586</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16542010</v>
      </c>
      <c r="D8" s="1685">
        <f t="shared" ref="D8:K8" si="0">SUM(D4:D7)</f>
        <v>2347950</v>
      </c>
      <c r="E8" s="1685">
        <f t="shared" si="0"/>
        <v>946921</v>
      </c>
      <c r="F8" s="1685">
        <f t="shared" si="0"/>
        <v>756712</v>
      </c>
      <c r="G8" s="1685">
        <f t="shared" si="0"/>
        <v>770947</v>
      </c>
      <c r="H8" s="1685">
        <f t="shared" si="0"/>
        <v>626407</v>
      </c>
      <c r="I8" s="1685">
        <f t="shared" si="0"/>
        <v>48803</v>
      </c>
      <c r="J8" s="1685">
        <f t="shared" si="0"/>
        <v>583614</v>
      </c>
      <c r="K8" s="1685">
        <f t="shared" si="0"/>
        <v>39846</v>
      </c>
      <c r="L8" s="347"/>
    </row>
    <row r="9" spans="1:13" ht="15.75" thickTop="1" x14ac:dyDescent="0.2">
      <c r="A9" s="511" t="s">
        <v>1653</v>
      </c>
      <c r="B9" s="512">
        <v>3998</v>
      </c>
      <c r="C9" s="465">
        <v>4956780</v>
      </c>
      <c r="D9" s="513"/>
      <c r="E9" s="479"/>
      <c r="F9" s="479"/>
      <c r="G9" s="514"/>
      <c r="H9" s="479"/>
      <c r="I9" s="506" t="s">
        <v>1169</v>
      </c>
      <c r="J9" s="476"/>
      <c r="K9" s="479"/>
      <c r="L9" s="347"/>
    </row>
    <row r="10" spans="1:13" s="516" customFormat="1" ht="13.5" thickBot="1" x14ac:dyDescent="0.25">
      <c r="A10" s="1733" t="s">
        <v>1173</v>
      </c>
      <c r="B10" s="1706"/>
      <c r="C10" s="1685">
        <f>SUM(C8:C9)</f>
        <v>21498790</v>
      </c>
      <c r="D10" s="1685">
        <f t="shared" ref="D10:K10" si="1">SUM(D8:D9)</f>
        <v>2347950</v>
      </c>
      <c r="E10" s="1685">
        <f t="shared" si="1"/>
        <v>946921</v>
      </c>
      <c r="F10" s="1685">
        <f t="shared" si="1"/>
        <v>756712</v>
      </c>
      <c r="G10" s="1685">
        <f t="shared" si="1"/>
        <v>770947</v>
      </c>
      <c r="H10" s="1685">
        <f t="shared" si="1"/>
        <v>626407</v>
      </c>
      <c r="I10" s="1685">
        <f t="shared" si="1"/>
        <v>48803</v>
      </c>
      <c r="J10" s="1685">
        <f t="shared" si="1"/>
        <v>583614</v>
      </c>
      <c r="K10" s="1685">
        <f t="shared" si="1"/>
        <v>39846</v>
      </c>
      <c r="L10" s="515"/>
    </row>
    <row r="11" spans="1:13" s="516" customFormat="1" ht="16.7" customHeight="1" thickTop="1" x14ac:dyDescent="0.2">
      <c r="A11" s="2247" t="s">
        <v>1176</v>
      </c>
      <c r="B11" s="2248"/>
      <c r="C11" s="1567"/>
      <c r="D11" s="1568"/>
      <c r="E11" s="1568"/>
      <c r="F11" s="1568"/>
      <c r="G11" s="1568"/>
      <c r="H11" s="1568"/>
      <c r="I11" s="1568"/>
      <c r="J11" s="1568"/>
      <c r="K11" s="1569"/>
      <c r="L11" s="515"/>
    </row>
    <row r="12" spans="1:13" ht="15.75" customHeight="1" x14ac:dyDescent="0.2">
      <c r="A12" s="1573" t="s">
        <v>456</v>
      </c>
      <c r="B12" s="1575">
        <v>1000</v>
      </c>
      <c r="C12" s="1739">
        <f>'Expenditures 15-22'!K33</f>
        <v>10129776</v>
      </c>
      <c r="D12" s="517" t="s">
        <v>1169</v>
      </c>
      <c r="E12" s="468" t="s">
        <v>1169</v>
      </c>
      <c r="F12" s="468" t="s">
        <v>1169</v>
      </c>
      <c r="G12" s="1739">
        <f>'Expenditures 15-22'!K229</f>
        <v>274268</v>
      </c>
      <c r="H12" s="518"/>
      <c r="I12" s="468" t="s">
        <v>1169</v>
      </c>
      <c r="J12" s="468" t="s">
        <v>1169</v>
      </c>
      <c r="K12" s="518" t="s">
        <v>1169</v>
      </c>
      <c r="L12" s="347"/>
    </row>
    <row r="13" spans="1:13" ht="15.75" customHeight="1" x14ac:dyDescent="0.2">
      <c r="A13" s="1573" t="s">
        <v>457</v>
      </c>
      <c r="B13" s="1575">
        <v>2000</v>
      </c>
      <c r="C13" s="1740">
        <f>'Expenditures 15-22'!K74</f>
        <v>4057173</v>
      </c>
      <c r="D13" s="1740">
        <f>'Expenditures 15-22'!K129</f>
        <v>2146801</v>
      </c>
      <c r="E13" s="469" t="s">
        <v>1169</v>
      </c>
      <c r="F13" s="1740">
        <f>'Expenditures 15-22'!K184</f>
        <v>734817</v>
      </c>
      <c r="G13" s="1740">
        <f>'Expenditures 15-22'!K279</f>
        <v>465703</v>
      </c>
      <c r="H13" s="1740">
        <f>'Expenditures 15-22'!K303</f>
        <v>3387177</v>
      </c>
      <c r="I13" s="468" t="s">
        <v>1169</v>
      </c>
      <c r="J13" s="1740">
        <f>'Expenditures 15-22'!K330</f>
        <v>590334</v>
      </c>
      <c r="K13" s="1744">
        <f>'Expenditures 15-22'!K352</f>
        <v>0</v>
      </c>
      <c r="L13" s="347"/>
    </row>
    <row r="14" spans="1:13" ht="15.75" customHeight="1" x14ac:dyDescent="0.2">
      <c r="A14" s="1573" t="s">
        <v>449</v>
      </c>
      <c r="B14" s="1575">
        <v>3000</v>
      </c>
      <c r="C14" s="1740">
        <f>'Expenditures 15-22'!K75</f>
        <v>148483</v>
      </c>
      <c r="D14" s="1740">
        <f>'Expenditures 15-22'!K130</f>
        <v>0</v>
      </c>
      <c r="E14" s="517" t="s">
        <v>1169</v>
      </c>
      <c r="F14" s="1740">
        <f>'Expenditures 15-22'!K185</f>
        <v>0</v>
      </c>
      <c r="G14" s="1740">
        <f>'Expenditures 15-22'!K280</f>
        <v>6892</v>
      </c>
      <c r="H14" s="509"/>
      <c r="I14" s="468" t="s">
        <v>1169</v>
      </c>
      <c r="J14" s="468" t="s">
        <v>1169</v>
      </c>
      <c r="K14" s="509" t="s">
        <v>1169</v>
      </c>
      <c r="L14" s="347"/>
    </row>
    <row r="15" spans="1:13" ht="15.75" customHeight="1" x14ac:dyDescent="0.2">
      <c r="A15" s="1573" t="s">
        <v>107</v>
      </c>
      <c r="B15" s="1575">
        <v>4000</v>
      </c>
      <c r="C15" s="1740">
        <f>'Expenditures 15-22'!K102</f>
        <v>1546180</v>
      </c>
      <c r="D15" s="1740">
        <f>'Expenditures 15-22'!K139</f>
        <v>0</v>
      </c>
      <c r="E15" s="1740">
        <f>'Expenditures 15-22'!K160</f>
        <v>0</v>
      </c>
      <c r="F15" s="1740">
        <f>'Expenditures 15-22'!K196</f>
        <v>3744</v>
      </c>
      <c r="G15" s="1740">
        <f>'Expenditures 15-22'!K285</f>
        <v>0</v>
      </c>
      <c r="H15" s="1740">
        <f>'Expenditures 15-22'!K310</f>
        <v>0</v>
      </c>
      <c r="I15" s="468" t="s">
        <v>1169</v>
      </c>
      <c r="J15" s="1832">
        <f>'Expenditures 15-22'!K334</f>
        <v>19820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692585</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15881612</v>
      </c>
      <c r="D17" s="1685">
        <f t="shared" si="2"/>
        <v>2146801</v>
      </c>
      <c r="E17" s="1685">
        <f t="shared" si="2"/>
        <v>692585</v>
      </c>
      <c r="F17" s="1685">
        <f t="shared" si="2"/>
        <v>738561</v>
      </c>
      <c r="G17" s="1685">
        <f t="shared" si="2"/>
        <v>746863</v>
      </c>
      <c r="H17" s="1685">
        <f t="shared" si="2"/>
        <v>3387177</v>
      </c>
      <c r="I17" s="468"/>
      <c r="J17" s="1685">
        <f>SUM(J12:J16)</f>
        <v>610154</v>
      </c>
      <c r="K17" s="1685">
        <f>SUM(K12:K16)</f>
        <v>0</v>
      </c>
      <c r="L17" s="347"/>
    </row>
    <row r="18" spans="1:12" ht="15" customHeight="1" thickTop="1" x14ac:dyDescent="0.2">
      <c r="A18" s="1741" t="s">
        <v>1654</v>
      </c>
      <c r="B18" s="1742">
        <v>4180</v>
      </c>
      <c r="C18" s="1739">
        <f t="shared" ref="C18:H18" si="3">C9</f>
        <v>4956780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20838392</v>
      </c>
      <c r="D19" s="1685">
        <f t="shared" si="4"/>
        <v>2146801</v>
      </c>
      <c r="E19" s="1685">
        <f t="shared" si="4"/>
        <v>692585</v>
      </c>
      <c r="F19" s="1685">
        <f t="shared" si="4"/>
        <v>738561</v>
      </c>
      <c r="G19" s="1685">
        <f t="shared" si="4"/>
        <v>746863</v>
      </c>
      <c r="H19" s="1685">
        <f t="shared" si="4"/>
        <v>3387177</v>
      </c>
      <c r="I19" s="468"/>
      <c r="J19" s="1685">
        <f>SUM(J17:J18)</f>
        <v>610154</v>
      </c>
      <c r="K19" s="1685">
        <f>SUM(K17:K18)</f>
        <v>0</v>
      </c>
      <c r="L19" s="347"/>
    </row>
    <row r="20" spans="1:12" ht="16.5" thickTop="1" thickBot="1" x14ac:dyDescent="0.25">
      <c r="A20" s="2263" t="s">
        <v>1655</v>
      </c>
      <c r="B20" s="2264"/>
      <c r="C20" s="1743">
        <f>C8-C17</f>
        <v>660398</v>
      </c>
      <c r="D20" s="1743">
        <f t="shared" ref="D20:K20" si="5">D8-D17</f>
        <v>201149</v>
      </c>
      <c r="E20" s="1743">
        <f t="shared" si="5"/>
        <v>254336</v>
      </c>
      <c r="F20" s="1743">
        <f t="shared" si="5"/>
        <v>18151</v>
      </c>
      <c r="G20" s="1743">
        <f t="shared" si="5"/>
        <v>24084</v>
      </c>
      <c r="H20" s="1743">
        <f t="shared" si="5"/>
        <v>-2760770</v>
      </c>
      <c r="I20" s="1743">
        <f t="shared" si="5"/>
        <v>48803</v>
      </c>
      <c r="J20" s="1743">
        <f t="shared" si="5"/>
        <v>-26540</v>
      </c>
      <c r="K20" s="1743">
        <f t="shared" si="5"/>
        <v>39846</v>
      </c>
      <c r="L20" s="347"/>
    </row>
    <row r="21" spans="1:12" ht="16.7" customHeight="1" thickTop="1" x14ac:dyDescent="0.2">
      <c r="A21" s="2275" t="s">
        <v>595</v>
      </c>
      <c r="B21" s="2276"/>
      <c r="C21" s="1567"/>
      <c r="D21" s="1568"/>
      <c r="E21" s="1568"/>
      <c r="F21" s="1568"/>
      <c r="G21" s="1568"/>
      <c r="H21" s="1568"/>
      <c r="I21" s="1568"/>
      <c r="J21" s="1568"/>
      <c r="K21" s="1569"/>
      <c r="L21" s="521"/>
    </row>
    <row r="22" spans="1:12" ht="15.75" customHeight="1" collapsed="1" x14ac:dyDescent="0.2">
      <c r="A22" s="2271" t="s">
        <v>596</v>
      </c>
      <c r="B22" s="2272"/>
      <c r="C22" s="475"/>
      <c r="D22" s="475"/>
      <c r="E22" s="475"/>
      <c r="F22" s="475"/>
      <c r="G22" s="475"/>
      <c r="H22" s="475"/>
      <c r="I22" s="475"/>
      <c r="J22" s="475"/>
      <c r="K22" s="475"/>
      <c r="L22" s="347"/>
    </row>
    <row r="23" spans="1:12" s="483" customFormat="1" ht="15.75" customHeight="1" x14ac:dyDescent="0.2">
      <c r="A23" s="2267" t="s">
        <v>293</v>
      </c>
      <c r="B23" s="2268"/>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650000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1791</v>
      </c>
      <c r="B30" s="524">
        <v>7160</v>
      </c>
      <c r="C30" s="475"/>
      <c r="D30" s="467">
        <v>0</v>
      </c>
      <c r="E30" s="475"/>
      <c r="F30" s="475"/>
      <c r="G30" s="475"/>
      <c r="H30" s="475"/>
      <c r="I30" s="475"/>
      <c r="J30" s="475"/>
      <c r="K30" s="475"/>
      <c r="L30" s="521"/>
    </row>
    <row r="31" spans="1:12" s="483" customFormat="1" ht="26.25" x14ac:dyDescent="0.2">
      <c r="A31" s="1486" t="s">
        <v>1795</v>
      </c>
      <c r="B31" s="524">
        <v>7170</v>
      </c>
      <c r="C31" s="475"/>
      <c r="D31" s="475"/>
      <c r="E31" s="473">
        <v>0</v>
      </c>
      <c r="F31" s="475"/>
      <c r="G31" s="475"/>
      <c r="H31" s="475"/>
      <c r="I31" s="475"/>
      <c r="J31" s="475"/>
      <c r="K31" s="475"/>
      <c r="L31" s="521"/>
    </row>
    <row r="32" spans="1:12" s="483" customFormat="1" ht="15.75" customHeight="1" x14ac:dyDescent="0.2">
      <c r="A32" s="2269" t="s">
        <v>981</v>
      </c>
      <c r="B32" s="2270"/>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650000</v>
      </c>
      <c r="J33" s="467">
        <v>0</v>
      </c>
      <c r="K33" s="467">
        <v>0</v>
      </c>
      <c r="L33" s="521"/>
    </row>
    <row r="34" spans="1:12" s="483" customFormat="1" x14ac:dyDescent="0.2">
      <c r="A34" s="1486" t="s">
        <v>1001</v>
      </c>
      <c r="B34" s="522">
        <v>7220</v>
      </c>
      <c r="C34" s="465">
        <v>0</v>
      </c>
      <c r="D34" s="467">
        <v>0</v>
      </c>
      <c r="E34" s="467">
        <v>0</v>
      </c>
      <c r="F34" s="467">
        <v>0</v>
      </c>
      <c r="G34" s="475"/>
      <c r="H34" s="476">
        <v>0</v>
      </c>
      <c r="I34" s="476">
        <v>15549</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650000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77" t="s">
        <v>374</v>
      </c>
      <c r="B44" s="2278"/>
      <c r="C44" s="1700">
        <f>SUM(C24:C43)</f>
        <v>0</v>
      </c>
      <c r="D44" s="1700">
        <f t="shared" ref="D44:K44" si="6">SUM(D24:D43)</f>
        <v>650000</v>
      </c>
      <c r="E44" s="1700">
        <f t="shared" si="6"/>
        <v>0</v>
      </c>
      <c r="F44" s="1700">
        <f t="shared" si="6"/>
        <v>0</v>
      </c>
      <c r="G44" s="1700">
        <f t="shared" si="6"/>
        <v>0</v>
      </c>
      <c r="H44" s="1700">
        <f t="shared" si="6"/>
        <v>650000</v>
      </c>
      <c r="I44" s="1700">
        <f t="shared" si="6"/>
        <v>665549</v>
      </c>
      <c r="J44" s="1700">
        <f t="shared" si="6"/>
        <v>0</v>
      </c>
      <c r="K44" s="1700">
        <f t="shared" si="6"/>
        <v>0</v>
      </c>
      <c r="L44" s="521"/>
    </row>
    <row r="45" spans="1:12" ht="15.75" customHeight="1" thickTop="1" x14ac:dyDescent="0.2">
      <c r="A45" s="2271" t="s">
        <v>108</v>
      </c>
      <c r="B45" s="2272"/>
      <c r="C45" s="525"/>
      <c r="D45" s="525"/>
      <c r="E45" s="525"/>
      <c r="F45" s="525"/>
      <c r="G45" s="525"/>
      <c r="H45" s="525"/>
      <c r="I45" s="525"/>
      <c r="J45" s="525"/>
      <c r="K45" s="525"/>
      <c r="L45" s="347"/>
    </row>
    <row r="46" spans="1:12" s="483" customFormat="1" ht="15.75" customHeight="1" x14ac:dyDescent="0.2">
      <c r="A46" s="2279" t="s">
        <v>109</v>
      </c>
      <c r="B46" s="2280"/>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650000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1794</v>
      </c>
      <c r="B52" s="481">
        <v>8160</v>
      </c>
      <c r="C52" s="475"/>
      <c r="D52" s="475"/>
      <c r="E52" s="475"/>
      <c r="F52" s="475"/>
      <c r="G52" s="475"/>
      <c r="H52" s="475"/>
      <c r="I52" s="475"/>
      <c r="J52" s="475"/>
      <c r="K52" s="1740">
        <f>D30</f>
        <v>0</v>
      </c>
      <c r="L52" s="521"/>
    </row>
    <row r="53" spans="1:12" s="483" customFormat="1" ht="26.25" x14ac:dyDescent="0.2">
      <c r="A53" s="1487" t="s">
        <v>1793</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650000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15000</v>
      </c>
      <c r="J75" s="527">
        <v>0</v>
      </c>
      <c r="K75" s="529">
        <v>0</v>
      </c>
      <c r="L75" s="521"/>
    </row>
    <row r="76" spans="1:12" s="483" customFormat="1" ht="14.25" thickTop="1" thickBot="1" x14ac:dyDescent="0.25">
      <c r="A76" s="2253" t="s">
        <v>440</v>
      </c>
      <c r="B76" s="2254"/>
      <c r="C76" s="1700">
        <f t="shared" ref="C76:K76" si="7">SUM(C47:C75)</f>
        <v>0</v>
      </c>
      <c r="D76" s="1700">
        <f t="shared" si="7"/>
        <v>650000</v>
      </c>
      <c r="E76" s="1700">
        <f t="shared" si="7"/>
        <v>0</v>
      </c>
      <c r="F76" s="1700">
        <f t="shared" si="7"/>
        <v>0</v>
      </c>
      <c r="G76" s="1700">
        <f t="shared" si="7"/>
        <v>0</v>
      </c>
      <c r="H76" s="1700">
        <f t="shared" si="7"/>
        <v>0</v>
      </c>
      <c r="I76" s="1700">
        <f t="shared" si="7"/>
        <v>665000</v>
      </c>
      <c r="J76" s="1700">
        <f t="shared" si="7"/>
        <v>0</v>
      </c>
      <c r="K76" s="1700">
        <f t="shared" si="7"/>
        <v>0</v>
      </c>
      <c r="L76" s="521"/>
    </row>
    <row r="77" spans="1:12" ht="14.25" thickTop="1" thickBot="1" x14ac:dyDescent="0.25">
      <c r="A77" s="2255" t="s">
        <v>1177</v>
      </c>
      <c r="B77" s="2256"/>
      <c r="C77" s="1700">
        <f t="shared" ref="C77:K77" si="8">C44-C76</f>
        <v>0</v>
      </c>
      <c r="D77" s="1700">
        <f t="shared" si="8"/>
        <v>0</v>
      </c>
      <c r="E77" s="1700">
        <f t="shared" si="8"/>
        <v>0</v>
      </c>
      <c r="F77" s="1700">
        <f t="shared" si="8"/>
        <v>0</v>
      </c>
      <c r="G77" s="1700">
        <f t="shared" si="8"/>
        <v>0</v>
      </c>
      <c r="H77" s="1700">
        <f t="shared" si="8"/>
        <v>650000</v>
      </c>
      <c r="I77" s="1700">
        <f t="shared" si="8"/>
        <v>549</v>
      </c>
      <c r="J77" s="1700">
        <f t="shared" si="8"/>
        <v>0</v>
      </c>
      <c r="K77" s="1700">
        <f t="shared" si="8"/>
        <v>0</v>
      </c>
      <c r="L77" s="347"/>
    </row>
    <row r="78" spans="1:12" ht="21.75" customHeight="1" thickTop="1" thickBot="1" x14ac:dyDescent="0.25">
      <c r="A78" s="2259" t="s">
        <v>597</v>
      </c>
      <c r="B78" s="2260"/>
      <c r="C78" s="1699">
        <f t="shared" ref="C78:K78" si="9">C20+C77</f>
        <v>660398</v>
      </c>
      <c r="D78" s="1699">
        <f t="shared" si="9"/>
        <v>201149</v>
      </c>
      <c r="E78" s="1699">
        <f t="shared" si="9"/>
        <v>254336</v>
      </c>
      <c r="F78" s="1699">
        <f t="shared" si="9"/>
        <v>18151</v>
      </c>
      <c r="G78" s="1699">
        <f t="shared" si="9"/>
        <v>24084</v>
      </c>
      <c r="H78" s="1699">
        <f t="shared" si="9"/>
        <v>-2110770</v>
      </c>
      <c r="I78" s="1699">
        <f t="shared" si="9"/>
        <v>49352</v>
      </c>
      <c r="J78" s="1699">
        <f t="shared" si="9"/>
        <v>-26540</v>
      </c>
      <c r="K78" s="1699">
        <f t="shared" si="9"/>
        <v>39846</v>
      </c>
      <c r="L78" s="530"/>
    </row>
    <row r="79" spans="1:12" ht="13.5" thickTop="1" x14ac:dyDescent="0.2">
      <c r="A79" s="1491" t="s">
        <v>1946</v>
      </c>
      <c r="B79" s="531"/>
      <c r="C79" s="476">
        <v>8270681</v>
      </c>
      <c r="D79" s="476">
        <v>1676579</v>
      </c>
      <c r="E79" s="476">
        <v>1669237</v>
      </c>
      <c r="F79" s="476">
        <v>812945</v>
      </c>
      <c r="G79" s="476">
        <v>952507</v>
      </c>
      <c r="H79" s="476">
        <v>3322178</v>
      </c>
      <c r="I79" s="476">
        <v>486482</v>
      </c>
      <c r="J79" s="476">
        <v>256798</v>
      </c>
      <c r="K79" s="476">
        <v>63277</v>
      </c>
      <c r="L79" s="347"/>
    </row>
    <row r="80" spans="1:12" x14ac:dyDescent="0.2">
      <c r="A80" s="2265" t="s">
        <v>1792</v>
      </c>
      <c r="B80" s="2266"/>
      <c r="C80" s="467">
        <v>0</v>
      </c>
      <c r="D80" s="467">
        <v>0</v>
      </c>
      <c r="E80" s="467">
        <v>0</v>
      </c>
      <c r="F80" s="467">
        <v>0</v>
      </c>
      <c r="G80" s="467">
        <v>0</v>
      </c>
      <c r="H80" s="467">
        <v>0</v>
      </c>
      <c r="I80" s="467">
        <v>0</v>
      </c>
      <c r="J80" s="467">
        <v>0</v>
      </c>
      <c r="K80" s="467">
        <v>0</v>
      </c>
      <c r="L80" s="347"/>
    </row>
    <row r="81" spans="1:12" ht="13.5" thickBot="1" x14ac:dyDescent="0.25">
      <c r="A81" s="2257" t="s">
        <v>1947</v>
      </c>
      <c r="B81" s="2258"/>
      <c r="C81" s="1685">
        <f>(SUM(C78:C80))</f>
        <v>8931079</v>
      </c>
      <c r="D81" s="1685">
        <f>SUM(D78:D80)</f>
        <v>1877728</v>
      </c>
      <c r="E81" s="1685">
        <f t="shared" ref="E81:K81" si="10">SUM(E78:E80)</f>
        <v>1923573</v>
      </c>
      <c r="F81" s="1685">
        <f t="shared" si="10"/>
        <v>831096</v>
      </c>
      <c r="G81" s="1685">
        <f t="shared" si="10"/>
        <v>976591</v>
      </c>
      <c r="H81" s="1685">
        <f t="shared" si="10"/>
        <v>1211408</v>
      </c>
      <c r="I81" s="1685">
        <f t="shared" si="10"/>
        <v>535834</v>
      </c>
      <c r="J81" s="1685">
        <f t="shared" si="10"/>
        <v>230258</v>
      </c>
      <c r="K81" s="1685">
        <f t="shared" si="10"/>
        <v>103123</v>
      </c>
      <c r="L81" s="347"/>
    </row>
    <row r="82" spans="1:12" ht="0.75" customHeight="1" thickTop="1" thickBot="1" x14ac:dyDescent="0.25">
      <c r="A82" s="533" t="s">
        <v>343</v>
      </c>
      <c r="B82" s="534"/>
      <c r="C82" s="535">
        <f>(C81-C79)</f>
        <v>660398</v>
      </c>
      <c r="D82" s="535">
        <f t="shared" ref="D82:K82" si="11">(D81-D79)</f>
        <v>201149</v>
      </c>
      <c r="E82" s="535">
        <f t="shared" si="11"/>
        <v>254336</v>
      </c>
      <c r="F82" s="535">
        <f t="shared" si="11"/>
        <v>18151</v>
      </c>
      <c r="G82" s="535">
        <f t="shared" si="11"/>
        <v>24084</v>
      </c>
      <c r="H82" s="535">
        <f t="shared" si="11"/>
        <v>-2110770</v>
      </c>
      <c r="I82" s="535">
        <f t="shared" si="11"/>
        <v>49352</v>
      </c>
      <c r="J82" s="535">
        <f t="shared" si="11"/>
        <v>-26540</v>
      </c>
      <c r="K82" s="535">
        <f t="shared" si="11"/>
        <v>39846</v>
      </c>
    </row>
    <row r="83" spans="1:12" ht="14.25" hidden="1" thickTop="1" thickBot="1" x14ac:dyDescent="0.25">
      <c r="A83" s="536" t="s">
        <v>344</v>
      </c>
      <c r="B83" s="464"/>
      <c r="C83" s="537">
        <f>C82/C81</f>
        <v>7.3943809029121788E-2</v>
      </c>
      <c r="D83" s="537">
        <f t="shared" ref="D83:K83" si="12">D82/D81</f>
        <v>0.10712360895720786</v>
      </c>
      <c r="E83" s="537">
        <f t="shared" si="12"/>
        <v>0.13222061237083282</v>
      </c>
      <c r="F83" s="537">
        <f t="shared" si="12"/>
        <v>2.1839835590593625E-2</v>
      </c>
      <c r="G83" s="537">
        <f t="shared" si="12"/>
        <v>2.4661296284729226E-2</v>
      </c>
      <c r="H83" s="537">
        <f t="shared" si="12"/>
        <v>-1.7424104843289792</v>
      </c>
      <c r="I83" s="537">
        <f t="shared" si="12"/>
        <v>9.2103151349111859E-2</v>
      </c>
      <c r="J83" s="537">
        <f t="shared" si="12"/>
        <v>-0.11526201044046244</v>
      </c>
      <c r="K83" s="537">
        <f t="shared" si="12"/>
        <v>0.3863929482268747</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2" sqref="L32"/>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61" t="s">
        <v>1799</v>
      </c>
      <c r="B1" s="452"/>
      <c r="C1" s="453" t="s">
        <v>425</v>
      </c>
      <c r="D1" s="453" t="s">
        <v>426</v>
      </c>
      <c r="E1" s="453" t="s">
        <v>427</v>
      </c>
      <c r="F1" s="453" t="s">
        <v>428</v>
      </c>
      <c r="G1" s="453" t="s">
        <v>429</v>
      </c>
      <c r="H1" s="453" t="s">
        <v>430</v>
      </c>
      <c r="I1" s="453" t="s">
        <v>431</v>
      </c>
      <c r="J1" s="453" t="s">
        <v>432</v>
      </c>
      <c r="K1" s="453" t="s">
        <v>756</v>
      </c>
    </row>
    <row r="2" spans="1:12" ht="36" x14ac:dyDescent="0.2">
      <c r="A2" s="226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1404677</v>
      </c>
      <c r="D5" s="479">
        <v>381705</v>
      </c>
      <c r="E5" s="466">
        <v>177029</v>
      </c>
      <c r="F5" s="545">
        <v>152682</v>
      </c>
      <c r="G5" s="466">
        <v>300545</v>
      </c>
      <c r="H5" s="466">
        <v>0</v>
      </c>
      <c r="I5" s="466">
        <v>38171</v>
      </c>
      <c r="J5" s="467">
        <v>574467</v>
      </c>
      <c r="K5" s="466">
        <v>38171</v>
      </c>
    </row>
    <row r="6" spans="1:12" ht="15" x14ac:dyDescent="0.2">
      <c r="A6" s="463" t="s">
        <v>1662</v>
      </c>
      <c r="B6" s="470">
        <v>1130</v>
      </c>
      <c r="C6" s="466">
        <v>38171</v>
      </c>
      <c r="D6" s="466">
        <v>0</v>
      </c>
      <c r="E6" s="474"/>
      <c r="F6" s="474"/>
      <c r="G6" s="468"/>
      <c r="H6" s="468"/>
      <c r="I6" s="468"/>
      <c r="J6" s="468"/>
      <c r="K6" s="468"/>
    </row>
    <row r="7" spans="1:12" x14ac:dyDescent="0.2">
      <c r="A7" s="463" t="s">
        <v>110</v>
      </c>
      <c r="B7" s="546">
        <v>1140</v>
      </c>
      <c r="C7" s="466">
        <v>30536</v>
      </c>
      <c r="D7" s="466">
        <v>0</v>
      </c>
      <c r="E7" s="468"/>
      <c r="F7" s="467">
        <v>0</v>
      </c>
      <c r="G7" s="467">
        <v>0</v>
      </c>
      <c r="H7" s="467">
        <v>0</v>
      </c>
      <c r="I7" s="468"/>
      <c r="J7" s="468"/>
      <c r="K7" s="468"/>
    </row>
    <row r="8" spans="1:12" x14ac:dyDescent="0.2">
      <c r="A8" s="463" t="s">
        <v>413</v>
      </c>
      <c r="B8" s="470">
        <v>1150</v>
      </c>
      <c r="C8" s="474"/>
      <c r="D8" s="474"/>
      <c r="E8" s="475"/>
      <c r="F8" s="475"/>
      <c r="G8" s="479">
        <v>366998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1473384</v>
      </c>
      <c r="D12" s="1704">
        <f t="shared" si="0"/>
        <v>381705</v>
      </c>
      <c r="E12" s="1704">
        <f t="shared" si="0"/>
        <v>177029</v>
      </c>
      <c r="F12" s="1704">
        <f t="shared" si="0"/>
        <v>152682</v>
      </c>
      <c r="G12" s="1704">
        <f t="shared" si="0"/>
        <v>667543</v>
      </c>
      <c r="H12" s="1704">
        <f t="shared" si="0"/>
        <v>0</v>
      </c>
      <c r="I12" s="1704">
        <f t="shared" si="0"/>
        <v>38171</v>
      </c>
      <c r="J12" s="1704">
        <f t="shared" si="0"/>
        <v>574467</v>
      </c>
      <c r="K12" s="1685">
        <f t="shared" si="0"/>
        <v>38171</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156</v>
      </c>
      <c r="D14" s="466">
        <v>40</v>
      </c>
      <c r="E14" s="466">
        <v>19</v>
      </c>
      <c r="F14" s="466">
        <v>16</v>
      </c>
      <c r="G14" s="466">
        <v>70</v>
      </c>
      <c r="H14" s="466">
        <v>0</v>
      </c>
      <c r="I14" s="466">
        <v>4</v>
      </c>
      <c r="J14" s="467">
        <v>61</v>
      </c>
      <c r="K14" s="466">
        <v>4</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267342</v>
      </c>
      <c r="D16" s="466">
        <v>82968</v>
      </c>
      <c r="E16" s="466">
        <v>0</v>
      </c>
      <c r="F16" s="466">
        <v>0</v>
      </c>
      <c r="G16" s="466">
        <v>82624</v>
      </c>
      <c r="H16" s="466">
        <v>28000</v>
      </c>
      <c r="I16" s="466">
        <v>0</v>
      </c>
      <c r="J16" s="467">
        <v>0</v>
      </c>
      <c r="K16" s="466">
        <v>0</v>
      </c>
    </row>
    <row r="17" spans="1:11" ht="12.75" customHeight="1" x14ac:dyDescent="0.2">
      <c r="A17" s="463" t="s">
        <v>807</v>
      </c>
      <c r="B17" s="470">
        <v>1290</v>
      </c>
      <c r="C17" s="548">
        <v>4625</v>
      </c>
      <c r="D17" s="466">
        <v>1198</v>
      </c>
      <c r="E17" s="466">
        <v>561</v>
      </c>
      <c r="F17" s="466">
        <v>479</v>
      </c>
      <c r="G17" s="466">
        <v>2085</v>
      </c>
      <c r="H17" s="466">
        <v>0</v>
      </c>
      <c r="I17" s="466">
        <v>120</v>
      </c>
      <c r="J17" s="467">
        <v>1803</v>
      </c>
      <c r="K17" s="466">
        <v>120</v>
      </c>
    </row>
    <row r="18" spans="1:11" ht="12.75" customHeight="1" thickBot="1" x14ac:dyDescent="0.25">
      <c r="A18" s="1705" t="s">
        <v>537</v>
      </c>
      <c r="B18" s="1706"/>
      <c r="C18" s="1707">
        <f>SUM(C14:C17)</f>
        <v>272123</v>
      </c>
      <c r="D18" s="1707">
        <f t="shared" ref="D18:K18" si="1">SUM(D14:D17)</f>
        <v>84206</v>
      </c>
      <c r="E18" s="1707">
        <f t="shared" si="1"/>
        <v>580</v>
      </c>
      <c r="F18" s="1707">
        <f t="shared" si="1"/>
        <v>495</v>
      </c>
      <c r="G18" s="1707">
        <f t="shared" si="1"/>
        <v>84779</v>
      </c>
      <c r="H18" s="1707">
        <f t="shared" si="1"/>
        <v>28000</v>
      </c>
      <c r="I18" s="1707">
        <f t="shared" si="1"/>
        <v>124</v>
      </c>
      <c r="J18" s="1707">
        <f t="shared" si="1"/>
        <v>1864</v>
      </c>
      <c r="K18" s="1708">
        <f t="shared" si="1"/>
        <v>124</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2416</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2416</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6049</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2606</v>
      </c>
      <c r="G44" s="468"/>
      <c r="H44" s="468"/>
      <c r="I44" s="468"/>
      <c r="J44" s="468"/>
      <c r="K44" s="468"/>
    </row>
    <row r="45" spans="1:11" ht="12.75" customHeight="1" x14ac:dyDescent="0.2">
      <c r="A45" s="463" t="s">
        <v>240</v>
      </c>
      <c r="B45" s="470">
        <v>1415</v>
      </c>
      <c r="C45" s="468"/>
      <c r="D45" s="468"/>
      <c r="E45" s="468"/>
      <c r="F45" s="466">
        <v>6</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8661</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171116</v>
      </c>
      <c r="D65" s="466">
        <v>16543</v>
      </c>
      <c r="E65" s="466">
        <v>32412</v>
      </c>
      <c r="F65" s="467">
        <v>12583</v>
      </c>
      <c r="G65" s="466">
        <v>17788</v>
      </c>
      <c r="H65" s="466">
        <v>8246</v>
      </c>
      <c r="I65" s="466">
        <v>10508</v>
      </c>
      <c r="J65" s="467">
        <v>2884</v>
      </c>
      <c r="K65" s="466">
        <v>1551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171116</v>
      </c>
      <c r="D67" s="1685">
        <f t="shared" ref="D67:K67" si="2">SUM(D65:D66)</f>
        <v>16543</v>
      </c>
      <c r="E67" s="1685">
        <f t="shared" si="2"/>
        <v>32412</v>
      </c>
      <c r="F67" s="1685">
        <f t="shared" si="2"/>
        <v>12583</v>
      </c>
      <c r="G67" s="1685">
        <f t="shared" si="2"/>
        <v>17788</v>
      </c>
      <c r="H67" s="1685">
        <f t="shared" si="2"/>
        <v>8246</v>
      </c>
      <c r="I67" s="1685">
        <f t="shared" si="2"/>
        <v>10508</v>
      </c>
      <c r="J67" s="1685">
        <f t="shared" si="2"/>
        <v>2884</v>
      </c>
      <c r="K67" s="1685">
        <f t="shared" si="2"/>
        <v>1551</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80961</v>
      </c>
      <c r="D69" s="468"/>
      <c r="E69" s="468"/>
      <c r="F69" s="468"/>
      <c r="G69" s="468"/>
      <c r="H69" s="468"/>
      <c r="I69" s="468"/>
      <c r="J69" s="468"/>
      <c r="K69" s="468"/>
    </row>
    <row r="70" spans="1:11" ht="12.75" customHeight="1" x14ac:dyDescent="0.2">
      <c r="A70" s="463" t="s">
        <v>997</v>
      </c>
      <c r="B70" s="470">
        <v>1612</v>
      </c>
      <c r="C70" s="548">
        <v>21405</v>
      </c>
      <c r="D70" s="468"/>
      <c r="E70" s="468"/>
      <c r="F70" s="468"/>
      <c r="G70" s="468"/>
      <c r="H70" s="468"/>
      <c r="I70" s="468"/>
      <c r="J70" s="468"/>
      <c r="K70" s="468"/>
    </row>
    <row r="71" spans="1:11" ht="12.75" customHeight="1" x14ac:dyDescent="0.2">
      <c r="A71" s="463" t="s">
        <v>273</v>
      </c>
      <c r="B71" s="470">
        <v>1613</v>
      </c>
      <c r="C71" s="548">
        <v>26311</v>
      </c>
      <c r="D71" s="468"/>
      <c r="E71" s="468"/>
      <c r="F71" s="468"/>
      <c r="G71" s="468"/>
      <c r="H71" s="468"/>
      <c r="I71" s="468"/>
      <c r="J71" s="468"/>
      <c r="K71" s="468"/>
    </row>
    <row r="72" spans="1:11" ht="12.75" customHeight="1" x14ac:dyDescent="0.2">
      <c r="A72" s="463" t="s">
        <v>24</v>
      </c>
      <c r="B72" s="470">
        <v>1614</v>
      </c>
      <c r="C72" s="548">
        <v>14364</v>
      </c>
      <c r="D72" s="468"/>
      <c r="E72" s="468"/>
      <c r="F72" s="468"/>
      <c r="G72" s="468"/>
      <c r="H72" s="468"/>
      <c r="I72" s="468"/>
      <c r="J72" s="468"/>
      <c r="K72" s="468"/>
    </row>
    <row r="73" spans="1:11" ht="12.75" customHeight="1" x14ac:dyDescent="0.2">
      <c r="A73" s="463" t="s">
        <v>998</v>
      </c>
      <c r="B73" s="470">
        <v>1620</v>
      </c>
      <c r="C73" s="548">
        <v>3928</v>
      </c>
      <c r="D73" s="468"/>
      <c r="E73" s="468"/>
      <c r="F73" s="468"/>
      <c r="G73" s="468"/>
      <c r="H73" s="468"/>
      <c r="I73" s="468"/>
      <c r="J73" s="468"/>
      <c r="K73" s="468"/>
    </row>
    <row r="74" spans="1:11" ht="12.75" customHeight="1" x14ac:dyDescent="0.2">
      <c r="A74" s="463" t="s">
        <v>25</v>
      </c>
      <c r="B74" s="470">
        <v>1690</v>
      </c>
      <c r="C74" s="548">
        <v>51684</v>
      </c>
      <c r="D74" s="468"/>
      <c r="E74" s="468"/>
      <c r="F74" s="468"/>
      <c r="G74" s="468"/>
      <c r="H74" s="468"/>
      <c r="I74" s="468"/>
      <c r="J74" s="468"/>
      <c r="K74" s="468"/>
    </row>
    <row r="75" spans="1:11" ht="12.75" customHeight="1" thickBot="1" x14ac:dyDescent="0.25">
      <c r="A75" s="1705" t="s">
        <v>548</v>
      </c>
      <c r="B75" s="1706"/>
      <c r="C75" s="1685">
        <f>SUM(C69:C74)</f>
        <v>198653</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45853</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45853</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13999</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13999</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12334</v>
      </c>
      <c r="E95" s="518"/>
      <c r="F95" s="518"/>
      <c r="G95" s="518"/>
      <c r="H95" s="518"/>
      <c r="I95" s="518"/>
      <c r="J95" s="518"/>
      <c r="K95" s="518"/>
    </row>
    <row r="96" spans="1:11" ht="12.75" customHeight="1" x14ac:dyDescent="0.2">
      <c r="A96" s="463" t="s">
        <v>391</v>
      </c>
      <c r="B96" s="470">
        <v>1920</v>
      </c>
      <c r="C96" s="548">
        <v>99415</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1457</v>
      </c>
      <c r="E97" s="473">
        <v>0</v>
      </c>
      <c r="F97" s="467">
        <v>0</v>
      </c>
      <c r="G97" s="467">
        <v>0</v>
      </c>
      <c r="H97" s="467">
        <v>0</v>
      </c>
      <c r="I97" s="467">
        <v>0</v>
      </c>
      <c r="J97" s="467">
        <v>0</v>
      </c>
      <c r="K97" s="467">
        <v>0</v>
      </c>
    </row>
    <row r="98" spans="1:12" ht="12.75" customHeight="1" x14ac:dyDescent="0.2">
      <c r="A98" s="463" t="s">
        <v>189</v>
      </c>
      <c r="B98" s="470">
        <v>1940</v>
      </c>
      <c r="C98" s="486">
        <v>306977</v>
      </c>
      <c r="D98" s="466">
        <v>0</v>
      </c>
      <c r="E98" s="509"/>
      <c r="F98" s="466">
        <v>0</v>
      </c>
      <c r="G98" s="509"/>
      <c r="H98" s="509"/>
      <c r="I98" s="507"/>
      <c r="J98" s="509"/>
      <c r="K98" s="509"/>
    </row>
    <row r="99" spans="1:12" ht="12.75" customHeight="1" x14ac:dyDescent="0.2">
      <c r="A99" s="463" t="s">
        <v>821</v>
      </c>
      <c r="B99" s="470">
        <v>1950</v>
      </c>
      <c r="C99" s="486">
        <v>61557</v>
      </c>
      <c r="D99" s="466">
        <v>81007</v>
      </c>
      <c r="E99" s="466">
        <v>0</v>
      </c>
      <c r="F99" s="466">
        <v>5927</v>
      </c>
      <c r="G99" s="466">
        <v>837</v>
      </c>
      <c r="H99" s="466">
        <v>0</v>
      </c>
      <c r="I99" s="468"/>
      <c r="J99" s="467">
        <v>4399</v>
      </c>
      <c r="K99" s="466">
        <v>0</v>
      </c>
    </row>
    <row r="100" spans="1:12" ht="12.75" customHeight="1" x14ac:dyDescent="0.2">
      <c r="A100" s="463" t="s">
        <v>245</v>
      </c>
      <c r="B100" s="470">
        <v>1960</v>
      </c>
      <c r="C100" s="486">
        <v>12000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736900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2911</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482860</v>
      </c>
      <c r="D108" s="1704">
        <f t="shared" ref="D108:K108" si="3">SUM(D95:D107)</f>
        <v>94798</v>
      </c>
      <c r="E108" s="1704">
        <f t="shared" si="3"/>
        <v>736900</v>
      </c>
      <c r="F108" s="1704">
        <f t="shared" si="3"/>
        <v>5927</v>
      </c>
      <c r="G108" s="1704">
        <f t="shared" si="3"/>
        <v>837</v>
      </c>
      <c r="H108" s="1704">
        <f t="shared" si="3"/>
        <v>0</v>
      </c>
      <c r="I108" s="1704">
        <f t="shared" si="3"/>
        <v>0</v>
      </c>
      <c r="J108" s="1704">
        <f t="shared" si="3"/>
        <v>4399</v>
      </c>
      <c r="K108" s="1685">
        <f t="shared" si="3"/>
        <v>0</v>
      </c>
    </row>
    <row r="109" spans="1:12" ht="14.25" thickTop="1" thickBot="1" x14ac:dyDescent="0.25">
      <c r="A109" s="1710" t="s">
        <v>248</v>
      </c>
      <c r="B109" s="1711" t="s">
        <v>570</v>
      </c>
      <c r="C109" s="1712">
        <f t="shared" ref="C109:K109" si="4">SUM(C12,C18,C40,C63,C67,C75,C82,C93,C108,)</f>
        <v>2660404</v>
      </c>
      <c r="D109" s="1712">
        <f t="shared" si="4"/>
        <v>577252</v>
      </c>
      <c r="E109" s="1712">
        <f t="shared" si="4"/>
        <v>946921</v>
      </c>
      <c r="F109" s="1712">
        <f t="shared" si="4"/>
        <v>180348</v>
      </c>
      <c r="G109" s="1712">
        <f t="shared" si="4"/>
        <v>770947</v>
      </c>
      <c r="H109" s="1712">
        <f t="shared" si="4"/>
        <v>36246</v>
      </c>
      <c r="I109" s="1712">
        <f t="shared" si="4"/>
        <v>48803</v>
      </c>
      <c r="J109" s="1712">
        <f t="shared" si="4"/>
        <v>583614</v>
      </c>
      <c r="K109" s="1699">
        <f t="shared" si="4"/>
        <v>39846</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10144467</v>
      </c>
      <c r="D117" s="479">
        <v>1770698</v>
      </c>
      <c r="E117" s="466">
        <v>0</v>
      </c>
      <c r="F117" s="479">
        <v>0</v>
      </c>
      <c r="G117" s="479">
        <v>0</v>
      </c>
      <c r="H117" s="466">
        <v>590161</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27" t="s">
        <v>1933</v>
      </c>
      <c r="B120" s="559">
        <v>3030</v>
      </c>
      <c r="C120" s="548">
        <v>0</v>
      </c>
      <c r="D120" s="466">
        <v>0</v>
      </c>
      <c r="E120" s="466">
        <v>0</v>
      </c>
      <c r="F120" s="466">
        <v>0</v>
      </c>
      <c r="G120" s="466">
        <v>0</v>
      </c>
      <c r="H120" s="466">
        <v>0</v>
      </c>
      <c r="I120" s="468"/>
      <c r="J120" s="467">
        <v>0</v>
      </c>
      <c r="K120" s="466">
        <v>0</v>
      </c>
    </row>
    <row r="121" spans="1:11" x14ac:dyDescent="0.2">
      <c r="A121" s="1493"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10144467</v>
      </c>
      <c r="D122" s="1704">
        <f t="shared" si="5"/>
        <v>1770698</v>
      </c>
      <c r="E122" s="1704">
        <f t="shared" si="5"/>
        <v>0</v>
      </c>
      <c r="F122" s="1704">
        <f t="shared" si="5"/>
        <v>0</v>
      </c>
      <c r="G122" s="1704">
        <f t="shared" si="5"/>
        <v>0</v>
      </c>
      <c r="H122" s="1704">
        <f t="shared" si="5"/>
        <v>590161</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163931</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1072</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165003</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35793</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16807</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52600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16917</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24139</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469100</v>
      </c>
      <c r="G152" s="467">
        <v>0</v>
      </c>
      <c r="H152" s="468"/>
      <c r="I152" s="468"/>
      <c r="J152" s="468"/>
      <c r="K152" s="468"/>
    </row>
    <row r="153" spans="1:11" ht="12.75" customHeight="1" x14ac:dyDescent="0.2">
      <c r="A153" s="463" t="s">
        <v>1057</v>
      </c>
      <c r="B153" s="559">
        <v>3510</v>
      </c>
      <c r="C153" s="548">
        <v>0</v>
      </c>
      <c r="D153" s="466">
        <v>0</v>
      </c>
      <c r="E153" s="558"/>
      <c r="F153" s="466">
        <v>107264</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576364</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990812</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70082</v>
      </c>
      <c r="D168" s="577">
        <v>0</v>
      </c>
      <c r="E168" s="577">
        <v>0</v>
      </c>
      <c r="F168" s="577">
        <v>0</v>
      </c>
      <c r="G168" s="578">
        <v>0</v>
      </c>
      <c r="H168" s="579">
        <v>0</v>
      </c>
      <c r="I168" s="578">
        <v>0</v>
      </c>
      <c r="J168" s="578">
        <v>0</v>
      </c>
      <c r="K168" s="579">
        <v>0</v>
      </c>
    </row>
    <row r="169" spans="1:11" ht="12.75" customHeight="1" thickTop="1" thickBot="1" x14ac:dyDescent="0.25">
      <c r="A169" s="2281" t="s">
        <v>398</v>
      </c>
      <c r="B169" s="2282"/>
      <c r="C169" s="1719">
        <f t="shared" ref="C169:K169" si="6">SUM(C132,C141,C145,C146:C150,C155,C156:C167,C168)</f>
        <v>1319553</v>
      </c>
      <c r="D169" s="1719">
        <f t="shared" si="6"/>
        <v>0</v>
      </c>
      <c r="E169" s="1719">
        <f t="shared" si="6"/>
        <v>0</v>
      </c>
      <c r="F169" s="1719">
        <f t="shared" si="6"/>
        <v>576364</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11464020</v>
      </c>
      <c r="D170" s="1712">
        <f t="shared" si="7"/>
        <v>1770698</v>
      </c>
      <c r="E170" s="1712">
        <f t="shared" si="7"/>
        <v>0</v>
      </c>
      <c r="F170" s="1712">
        <f t="shared" si="7"/>
        <v>576364</v>
      </c>
      <c r="G170" s="1712">
        <f t="shared" si="7"/>
        <v>0</v>
      </c>
      <c r="H170" s="1712">
        <f t="shared" si="7"/>
        <v>590161</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83" t="s">
        <v>1492</v>
      </c>
      <c r="B172" s="228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87" t="s">
        <v>1665</v>
      </c>
      <c r="B175" s="228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91" t="s">
        <v>1664</v>
      </c>
      <c r="B176" s="229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89" t="s">
        <v>785</v>
      </c>
      <c r="B181" s="229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85" t="s">
        <v>1800</v>
      </c>
      <c r="B182" s="2286"/>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7146</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7146</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704179</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239011</v>
      </c>
      <c r="D193" s="468"/>
      <c r="E193" s="558"/>
      <c r="F193" s="468"/>
      <c r="G193" s="582">
        <v>0</v>
      </c>
      <c r="H193" s="468"/>
      <c r="I193" s="468"/>
      <c r="J193" s="468"/>
      <c r="K193" s="468"/>
    </row>
    <row r="194" spans="1:11" ht="12.75" customHeight="1" x14ac:dyDescent="0.2">
      <c r="A194" s="463" t="s">
        <v>1451</v>
      </c>
      <c r="B194" s="470">
        <v>4225</v>
      </c>
      <c r="C194" s="548">
        <v>46653</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989843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622728</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622728</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666956</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666956</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13800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86916</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1934</v>
      </c>
      <c r="B261" s="470">
        <v>4981</v>
      </c>
      <c r="C261" s="572">
        <v>0</v>
      </c>
      <c r="D261" s="573">
        <v>0</v>
      </c>
      <c r="E261" s="468"/>
      <c r="F261" s="573">
        <v>0</v>
      </c>
      <c r="G261" s="573">
        <v>0</v>
      </c>
      <c r="H261" s="468"/>
      <c r="I261" s="468"/>
      <c r="J261" s="468"/>
      <c r="K261" s="468"/>
    </row>
    <row r="262" spans="1:11" ht="12.75" customHeight="1" thickTop="1" thickBot="1" x14ac:dyDescent="0.25">
      <c r="A262" s="1928"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23120</v>
      </c>
      <c r="D263" s="573">
        <v>0</v>
      </c>
      <c r="E263" s="468"/>
      <c r="F263" s="573">
        <v>0</v>
      </c>
      <c r="G263" s="573">
        <v>0</v>
      </c>
      <c r="H263" s="468"/>
      <c r="I263" s="468"/>
      <c r="J263" s="468"/>
      <c r="K263" s="468"/>
    </row>
    <row r="264" spans="1:11" ht="12.75" customHeight="1" thickTop="1" thickBot="1" x14ac:dyDescent="0.25">
      <c r="A264" s="463" t="s">
        <v>377</v>
      </c>
      <c r="B264" s="470">
        <v>4992</v>
      </c>
      <c r="C264" s="572">
        <v>7077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2417586</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2417586</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16542010</v>
      </c>
      <c r="D268" s="1712">
        <f t="shared" si="12"/>
        <v>2347950</v>
      </c>
      <c r="E268" s="1712">
        <f t="shared" si="12"/>
        <v>946921</v>
      </c>
      <c r="F268" s="1712">
        <f t="shared" si="12"/>
        <v>756712</v>
      </c>
      <c r="G268" s="1712">
        <f t="shared" si="12"/>
        <v>770947</v>
      </c>
      <c r="H268" s="1712">
        <f t="shared" si="12"/>
        <v>626407</v>
      </c>
      <c r="I268" s="1712">
        <f t="shared" si="12"/>
        <v>48803</v>
      </c>
      <c r="J268" s="1712">
        <f t="shared" si="12"/>
        <v>583614</v>
      </c>
      <c r="K268" s="1699">
        <f t="shared" si="12"/>
        <v>39846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61"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93"/>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99" t="s">
        <v>297</v>
      </c>
      <c r="B3" s="2300"/>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5444913</v>
      </c>
      <c r="D5" s="466">
        <v>591875</v>
      </c>
      <c r="E5" s="466">
        <v>142807</v>
      </c>
      <c r="F5" s="466">
        <v>258351</v>
      </c>
      <c r="G5" s="466">
        <v>129206</v>
      </c>
      <c r="H5" s="466">
        <v>0</v>
      </c>
      <c r="I5" s="467">
        <v>0</v>
      </c>
      <c r="J5" s="467">
        <v>0</v>
      </c>
      <c r="K5" s="1668">
        <f>SUM(C5:J5)</f>
        <v>6567152</v>
      </c>
      <c r="L5" s="471">
        <v>7074005</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280783</v>
      </c>
      <c r="D7" s="467">
        <v>30945</v>
      </c>
      <c r="E7" s="467">
        <v>0</v>
      </c>
      <c r="F7" s="467">
        <v>32952</v>
      </c>
      <c r="G7" s="467">
        <v>1173</v>
      </c>
      <c r="H7" s="467">
        <v>0</v>
      </c>
      <c r="I7" s="467">
        <v>0</v>
      </c>
      <c r="J7" s="467">
        <v>0</v>
      </c>
      <c r="K7" s="1668">
        <f t="shared" ref="K7:K32" si="0">SUM(C7:J7)</f>
        <v>345853</v>
      </c>
      <c r="L7" s="471">
        <v>373282</v>
      </c>
    </row>
    <row r="8" spans="1:14" x14ac:dyDescent="0.2">
      <c r="A8" s="1501" t="s">
        <v>164</v>
      </c>
      <c r="B8" s="611">
        <v>1200</v>
      </c>
      <c r="C8" s="466">
        <v>86938</v>
      </c>
      <c r="D8" s="466">
        <v>7461</v>
      </c>
      <c r="E8" s="466">
        <v>637970</v>
      </c>
      <c r="F8" s="466">
        <v>0</v>
      </c>
      <c r="G8" s="466">
        <v>0</v>
      </c>
      <c r="H8" s="466">
        <v>15133</v>
      </c>
      <c r="I8" s="467">
        <v>0</v>
      </c>
      <c r="J8" s="467">
        <v>0</v>
      </c>
      <c r="K8" s="1668">
        <f t="shared" si="0"/>
        <v>747502</v>
      </c>
      <c r="L8" s="471">
        <v>933414</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457155</v>
      </c>
      <c r="D10" s="466">
        <v>95158</v>
      </c>
      <c r="E10" s="466">
        <v>0</v>
      </c>
      <c r="F10" s="466">
        <v>0</v>
      </c>
      <c r="G10" s="466">
        <v>0</v>
      </c>
      <c r="H10" s="466">
        <v>0</v>
      </c>
      <c r="I10" s="467">
        <v>0</v>
      </c>
      <c r="J10" s="467">
        <v>0</v>
      </c>
      <c r="K10" s="1668">
        <f t="shared" si="0"/>
        <v>552313</v>
      </c>
      <c r="L10" s="471">
        <v>517448</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365880</v>
      </c>
      <c r="D13" s="466">
        <v>43406</v>
      </c>
      <c r="E13" s="466">
        <v>4935</v>
      </c>
      <c r="F13" s="466">
        <v>26910</v>
      </c>
      <c r="G13" s="466">
        <v>3790</v>
      </c>
      <c r="H13" s="466">
        <v>60</v>
      </c>
      <c r="I13" s="467">
        <v>0</v>
      </c>
      <c r="J13" s="467">
        <v>0</v>
      </c>
      <c r="K13" s="1668">
        <f t="shared" si="0"/>
        <v>444981</v>
      </c>
      <c r="L13" s="471">
        <v>371715</v>
      </c>
    </row>
    <row r="14" spans="1:14" x14ac:dyDescent="0.2">
      <c r="A14" s="1501" t="s">
        <v>963</v>
      </c>
      <c r="B14" s="611">
        <v>1500</v>
      </c>
      <c r="C14" s="466">
        <v>372438</v>
      </c>
      <c r="D14" s="466">
        <v>10008</v>
      </c>
      <c r="E14" s="466">
        <v>152411</v>
      </c>
      <c r="F14" s="466">
        <v>116957</v>
      </c>
      <c r="G14" s="466">
        <v>52043</v>
      </c>
      <c r="H14" s="466">
        <v>0</v>
      </c>
      <c r="I14" s="467">
        <v>0</v>
      </c>
      <c r="J14" s="467">
        <v>0</v>
      </c>
      <c r="K14" s="1668">
        <f t="shared" si="0"/>
        <v>703857</v>
      </c>
      <c r="L14" s="471">
        <v>744956</v>
      </c>
    </row>
    <row r="15" spans="1:14" x14ac:dyDescent="0.2">
      <c r="A15" s="1501" t="s">
        <v>964</v>
      </c>
      <c r="B15" s="611">
        <v>1600</v>
      </c>
      <c r="C15" s="467">
        <v>9041</v>
      </c>
      <c r="D15" s="466">
        <v>136</v>
      </c>
      <c r="E15" s="466">
        <v>0</v>
      </c>
      <c r="F15" s="466">
        <v>0</v>
      </c>
      <c r="G15" s="466">
        <v>0</v>
      </c>
      <c r="H15" s="466">
        <v>0</v>
      </c>
      <c r="I15" s="467">
        <v>0</v>
      </c>
      <c r="J15" s="467">
        <v>0</v>
      </c>
      <c r="K15" s="1668">
        <f t="shared" si="0"/>
        <v>9177</v>
      </c>
      <c r="L15" s="471">
        <v>14360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101250</v>
      </c>
      <c r="D17" s="467">
        <v>8304</v>
      </c>
      <c r="E17" s="467">
        <v>1387</v>
      </c>
      <c r="F17" s="467">
        <v>2141</v>
      </c>
      <c r="G17" s="467">
        <v>22850</v>
      </c>
      <c r="H17" s="467">
        <v>0</v>
      </c>
      <c r="I17" s="467">
        <v>0</v>
      </c>
      <c r="J17" s="467">
        <v>0</v>
      </c>
      <c r="K17" s="1668">
        <f t="shared" si="0"/>
        <v>135932</v>
      </c>
      <c r="L17" s="471">
        <v>140220</v>
      </c>
    </row>
    <row r="18" spans="1:12" x14ac:dyDescent="0.2">
      <c r="A18" s="1501" t="s">
        <v>1087</v>
      </c>
      <c r="B18" s="611">
        <v>1800</v>
      </c>
      <c r="C18" s="467">
        <v>74331</v>
      </c>
      <c r="D18" s="467">
        <v>1461</v>
      </c>
      <c r="E18" s="467">
        <v>0</v>
      </c>
      <c r="F18" s="466">
        <v>0</v>
      </c>
      <c r="G18" s="466">
        <v>0</v>
      </c>
      <c r="H18" s="466">
        <v>0</v>
      </c>
      <c r="I18" s="467">
        <v>0</v>
      </c>
      <c r="J18" s="467">
        <v>0</v>
      </c>
      <c r="K18" s="1668">
        <f t="shared" si="0"/>
        <v>75792</v>
      </c>
      <c r="L18" s="471">
        <v>88526</v>
      </c>
    </row>
    <row r="19" spans="1:12" x14ac:dyDescent="0.2">
      <c r="A19" s="1501" t="s">
        <v>134</v>
      </c>
      <c r="B19" s="611">
        <v>1900</v>
      </c>
      <c r="C19" s="466">
        <v>150471</v>
      </c>
      <c r="D19" s="466">
        <v>10806</v>
      </c>
      <c r="E19" s="466">
        <v>915</v>
      </c>
      <c r="F19" s="466">
        <v>2688</v>
      </c>
      <c r="G19" s="466">
        <v>175</v>
      </c>
      <c r="H19" s="466">
        <v>0</v>
      </c>
      <c r="I19" s="467">
        <v>0</v>
      </c>
      <c r="J19" s="467">
        <v>0</v>
      </c>
      <c r="K19" s="1668">
        <f t="shared" si="0"/>
        <v>165055</v>
      </c>
      <c r="L19" s="471">
        <v>178380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382162</v>
      </c>
      <c r="I22" s="613"/>
      <c r="J22" s="475"/>
      <c r="K22" s="1668">
        <f t="shared" si="0"/>
        <v>382162</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7343200</v>
      </c>
      <c r="D33" s="1667">
        <f t="shared" ref="D33:L33" si="1">SUM(D5:D32)</f>
        <v>799560</v>
      </c>
      <c r="E33" s="1667">
        <f t="shared" si="1"/>
        <v>940425</v>
      </c>
      <c r="F33" s="1667">
        <f t="shared" si="1"/>
        <v>439999</v>
      </c>
      <c r="G33" s="1667">
        <f t="shared" si="1"/>
        <v>209237</v>
      </c>
      <c r="H33" s="1667">
        <f t="shared" si="1"/>
        <v>397355</v>
      </c>
      <c r="I33" s="1667">
        <f t="shared" si="1"/>
        <v>0</v>
      </c>
      <c r="J33" s="1667">
        <f t="shared" si="1"/>
        <v>0</v>
      </c>
      <c r="K33" s="1667">
        <f t="shared" si="1"/>
        <v>10129776</v>
      </c>
      <c r="L33" s="1667">
        <f t="shared" si="1"/>
        <v>10436306</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237621</v>
      </c>
      <c r="D37" s="466">
        <v>34340</v>
      </c>
      <c r="E37" s="466">
        <v>270</v>
      </c>
      <c r="F37" s="466">
        <v>0</v>
      </c>
      <c r="G37" s="466">
        <v>0</v>
      </c>
      <c r="H37" s="466">
        <v>0</v>
      </c>
      <c r="I37" s="467">
        <v>0</v>
      </c>
      <c r="J37" s="467">
        <v>0</v>
      </c>
      <c r="K37" s="1668">
        <f t="shared" si="2"/>
        <v>272231</v>
      </c>
      <c r="L37" s="466">
        <v>207123</v>
      </c>
    </row>
    <row r="38" spans="1:14" x14ac:dyDescent="0.2">
      <c r="A38" s="1501" t="s">
        <v>198</v>
      </c>
      <c r="B38" s="611">
        <v>2130</v>
      </c>
      <c r="C38" s="466">
        <v>121300</v>
      </c>
      <c r="D38" s="466">
        <v>13875</v>
      </c>
      <c r="E38" s="466">
        <v>4648</v>
      </c>
      <c r="F38" s="466">
        <v>4191</v>
      </c>
      <c r="G38" s="466">
        <v>2695</v>
      </c>
      <c r="H38" s="466">
        <v>0</v>
      </c>
      <c r="I38" s="467">
        <v>0</v>
      </c>
      <c r="J38" s="467">
        <v>0</v>
      </c>
      <c r="K38" s="1668">
        <f t="shared" si="2"/>
        <v>146709</v>
      </c>
      <c r="L38" s="466">
        <v>149959</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358921</v>
      </c>
      <c r="D42" s="1667">
        <f t="shared" ref="D42:L42" si="3">SUM(D36:D41)</f>
        <v>48215</v>
      </c>
      <c r="E42" s="1667">
        <f t="shared" si="3"/>
        <v>4918</v>
      </c>
      <c r="F42" s="1667">
        <f t="shared" si="3"/>
        <v>4191</v>
      </c>
      <c r="G42" s="1667">
        <f t="shared" si="3"/>
        <v>2695</v>
      </c>
      <c r="H42" s="1667">
        <f t="shared" si="3"/>
        <v>0</v>
      </c>
      <c r="I42" s="1667">
        <f t="shared" si="3"/>
        <v>0</v>
      </c>
      <c r="J42" s="1667">
        <f t="shared" si="3"/>
        <v>0</v>
      </c>
      <c r="K42" s="1667">
        <f t="shared" si="3"/>
        <v>418940</v>
      </c>
      <c r="L42" s="1667">
        <f t="shared" si="3"/>
        <v>357082</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58119</v>
      </c>
      <c r="D44" s="479">
        <v>15793</v>
      </c>
      <c r="E44" s="479">
        <v>86665</v>
      </c>
      <c r="F44" s="479">
        <v>415</v>
      </c>
      <c r="G44" s="479">
        <v>0</v>
      </c>
      <c r="H44" s="479">
        <v>0</v>
      </c>
      <c r="I44" s="467">
        <v>0</v>
      </c>
      <c r="J44" s="467">
        <v>0</v>
      </c>
      <c r="K44" s="1669">
        <f>SUM(C44:J44)</f>
        <v>160992</v>
      </c>
      <c r="L44" s="479">
        <v>108691</v>
      </c>
    </row>
    <row r="45" spans="1:14" x14ac:dyDescent="0.2">
      <c r="A45" s="1501" t="s">
        <v>815</v>
      </c>
      <c r="B45" s="611">
        <v>2220</v>
      </c>
      <c r="C45" s="466">
        <v>100590</v>
      </c>
      <c r="D45" s="466">
        <v>15943</v>
      </c>
      <c r="E45" s="466">
        <v>735</v>
      </c>
      <c r="F45" s="466">
        <v>29834</v>
      </c>
      <c r="G45" s="466">
        <v>6052</v>
      </c>
      <c r="H45" s="466">
        <v>0</v>
      </c>
      <c r="I45" s="467">
        <v>0</v>
      </c>
      <c r="J45" s="467">
        <v>0</v>
      </c>
      <c r="K45" s="1669">
        <f>SUM(C45:J45)</f>
        <v>153154</v>
      </c>
      <c r="L45" s="466">
        <v>220485</v>
      </c>
    </row>
    <row r="46" spans="1:14" x14ac:dyDescent="0.2">
      <c r="A46" s="1501" t="s">
        <v>816</v>
      </c>
      <c r="B46" s="611">
        <v>2230</v>
      </c>
      <c r="C46" s="466">
        <v>0</v>
      </c>
      <c r="D46" s="466">
        <v>0</v>
      </c>
      <c r="E46" s="466">
        <v>33230</v>
      </c>
      <c r="F46" s="466">
        <v>0</v>
      </c>
      <c r="G46" s="466">
        <v>0</v>
      </c>
      <c r="H46" s="466">
        <v>0</v>
      </c>
      <c r="I46" s="467">
        <v>0</v>
      </c>
      <c r="J46" s="467">
        <v>0</v>
      </c>
      <c r="K46" s="1669">
        <f>SUM(C46:J46)</f>
        <v>33230</v>
      </c>
      <c r="L46" s="466">
        <v>25670</v>
      </c>
    </row>
    <row r="47" spans="1:14" ht="12.75" customHeight="1" thickBot="1" x14ac:dyDescent="0.25">
      <c r="A47" s="1665" t="s">
        <v>561</v>
      </c>
      <c r="B47" s="1666" t="s">
        <v>32</v>
      </c>
      <c r="C47" s="1667">
        <f>SUM(C44:C46)</f>
        <v>158709</v>
      </c>
      <c r="D47" s="1667">
        <f t="shared" ref="D47:K47" si="4">SUM(D44:D46)</f>
        <v>31736</v>
      </c>
      <c r="E47" s="1667">
        <f t="shared" si="4"/>
        <v>120630</v>
      </c>
      <c r="F47" s="1667">
        <f t="shared" si="4"/>
        <v>30249</v>
      </c>
      <c r="G47" s="1667">
        <f t="shared" si="4"/>
        <v>6052</v>
      </c>
      <c r="H47" s="1667">
        <f t="shared" si="4"/>
        <v>0</v>
      </c>
      <c r="I47" s="1667">
        <f t="shared" si="4"/>
        <v>0</v>
      </c>
      <c r="J47" s="1667">
        <f t="shared" si="4"/>
        <v>0</v>
      </c>
      <c r="K47" s="1667">
        <f t="shared" si="4"/>
        <v>347376</v>
      </c>
      <c r="L47" s="1667">
        <f>SUM(L44:L46)</f>
        <v>354846</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4538</v>
      </c>
      <c r="D49" s="479">
        <v>2675</v>
      </c>
      <c r="E49" s="479">
        <v>106258</v>
      </c>
      <c r="F49" s="479">
        <v>6267</v>
      </c>
      <c r="G49" s="479">
        <v>0</v>
      </c>
      <c r="H49" s="479">
        <v>0</v>
      </c>
      <c r="I49" s="467">
        <v>0</v>
      </c>
      <c r="J49" s="467">
        <v>0</v>
      </c>
      <c r="K49" s="1669">
        <f>SUM(C49:J49)</f>
        <v>119738</v>
      </c>
      <c r="L49" s="479">
        <v>121703</v>
      </c>
    </row>
    <row r="50" spans="1:14" x14ac:dyDescent="0.2">
      <c r="A50" s="1501" t="s">
        <v>818</v>
      </c>
      <c r="B50" s="611">
        <v>2320</v>
      </c>
      <c r="C50" s="467">
        <v>184352</v>
      </c>
      <c r="D50" s="466">
        <v>27006</v>
      </c>
      <c r="E50" s="466">
        <v>3790</v>
      </c>
      <c r="F50" s="466">
        <v>878</v>
      </c>
      <c r="G50" s="466">
        <v>2567</v>
      </c>
      <c r="H50" s="466">
        <v>2036</v>
      </c>
      <c r="I50" s="467">
        <v>0</v>
      </c>
      <c r="J50" s="467">
        <v>0</v>
      </c>
      <c r="K50" s="1669">
        <f>SUM(C50:J50)</f>
        <v>220629</v>
      </c>
      <c r="L50" s="466">
        <v>218828</v>
      </c>
    </row>
    <row r="51" spans="1:14" x14ac:dyDescent="0.2">
      <c r="A51" s="1501" t="s">
        <v>42</v>
      </c>
      <c r="B51" s="611">
        <v>2330</v>
      </c>
      <c r="C51" s="466">
        <v>27005</v>
      </c>
      <c r="D51" s="466">
        <v>6788</v>
      </c>
      <c r="E51" s="466">
        <v>0</v>
      </c>
      <c r="F51" s="466">
        <v>1456</v>
      </c>
      <c r="G51" s="466">
        <v>0</v>
      </c>
      <c r="H51" s="466">
        <v>0</v>
      </c>
      <c r="I51" s="467">
        <v>0</v>
      </c>
      <c r="J51" s="467">
        <v>0</v>
      </c>
      <c r="K51" s="1669">
        <f>SUM(C51:J51)</f>
        <v>35249</v>
      </c>
      <c r="L51" s="466">
        <v>19058</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215895</v>
      </c>
      <c r="D53" s="1667">
        <f t="shared" ref="D53:L53" si="5">SUM(D49:D52)</f>
        <v>36469</v>
      </c>
      <c r="E53" s="1667">
        <f t="shared" si="5"/>
        <v>110048</v>
      </c>
      <c r="F53" s="1667">
        <f t="shared" si="5"/>
        <v>8601</v>
      </c>
      <c r="G53" s="1667">
        <f t="shared" si="5"/>
        <v>2567</v>
      </c>
      <c r="H53" s="1667">
        <f t="shared" si="5"/>
        <v>2036</v>
      </c>
      <c r="I53" s="1667">
        <f t="shared" si="5"/>
        <v>0</v>
      </c>
      <c r="J53" s="1667">
        <f t="shared" si="5"/>
        <v>0</v>
      </c>
      <c r="K53" s="1667">
        <f t="shared" si="5"/>
        <v>375616</v>
      </c>
      <c r="L53" s="1667">
        <f t="shared" si="5"/>
        <v>359589</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1031264</v>
      </c>
      <c r="D55" s="479">
        <v>109508</v>
      </c>
      <c r="E55" s="479">
        <v>131334</v>
      </c>
      <c r="F55" s="479">
        <v>18530</v>
      </c>
      <c r="G55" s="479">
        <v>2567</v>
      </c>
      <c r="H55" s="479">
        <v>2895</v>
      </c>
      <c r="I55" s="467">
        <v>0</v>
      </c>
      <c r="J55" s="467">
        <v>0</v>
      </c>
      <c r="K55" s="1669">
        <f>SUM(C55:J55)</f>
        <v>1296098</v>
      </c>
      <c r="L55" s="479">
        <v>1304219</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1031264</v>
      </c>
      <c r="D57" s="1671">
        <f t="shared" ref="D57:K57" si="6">SUM(D55:D56)</f>
        <v>109508</v>
      </c>
      <c r="E57" s="1671">
        <f t="shared" si="6"/>
        <v>131334</v>
      </c>
      <c r="F57" s="1671">
        <f t="shared" si="6"/>
        <v>18530</v>
      </c>
      <c r="G57" s="1671">
        <f t="shared" si="6"/>
        <v>2567</v>
      </c>
      <c r="H57" s="1671">
        <f t="shared" si="6"/>
        <v>2895</v>
      </c>
      <c r="I57" s="1671">
        <f t="shared" si="6"/>
        <v>0</v>
      </c>
      <c r="J57" s="1671">
        <f t="shared" si="6"/>
        <v>0</v>
      </c>
      <c r="K57" s="1671">
        <f t="shared" si="6"/>
        <v>1296098</v>
      </c>
      <c r="L57" s="1667">
        <f>SUM(L55:L56)</f>
        <v>1304219</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227741</v>
      </c>
      <c r="D60" s="466">
        <v>26239</v>
      </c>
      <c r="E60" s="466">
        <v>18030</v>
      </c>
      <c r="F60" s="466">
        <v>10647</v>
      </c>
      <c r="G60" s="466">
        <v>0</v>
      </c>
      <c r="H60" s="466">
        <v>0</v>
      </c>
      <c r="I60" s="467">
        <v>0</v>
      </c>
      <c r="J60" s="467">
        <v>0</v>
      </c>
      <c r="K60" s="1669">
        <f t="shared" si="7"/>
        <v>282657</v>
      </c>
      <c r="L60" s="466">
        <v>292051</v>
      </c>
      <c r="M60" s="606"/>
      <c r="N60" s="606"/>
    </row>
    <row r="61" spans="1:14" s="343" customFormat="1" x14ac:dyDescent="0.2">
      <c r="A61" s="1501" t="s">
        <v>197</v>
      </c>
      <c r="B61" s="611">
        <v>2540</v>
      </c>
      <c r="C61" s="466">
        <v>37757</v>
      </c>
      <c r="D61" s="466">
        <v>6763</v>
      </c>
      <c r="E61" s="466">
        <v>26730</v>
      </c>
      <c r="F61" s="466">
        <v>16306</v>
      </c>
      <c r="G61" s="466">
        <v>0</v>
      </c>
      <c r="H61" s="466">
        <v>0</v>
      </c>
      <c r="I61" s="467">
        <v>0</v>
      </c>
      <c r="J61" s="467">
        <v>0</v>
      </c>
      <c r="K61" s="1669">
        <f t="shared" si="7"/>
        <v>87556</v>
      </c>
      <c r="L61" s="466">
        <v>98579</v>
      </c>
      <c r="M61" s="606"/>
      <c r="N61" s="606"/>
    </row>
    <row r="62" spans="1:14" s="343" customFormat="1" x14ac:dyDescent="0.2">
      <c r="A62" s="1501" t="s">
        <v>953</v>
      </c>
      <c r="B62" s="611">
        <v>2550</v>
      </c>
      <c r="C62" s="466">
        <v>0</v>
      </c>
      <c r="D62" s="466">
        <v>0</v>
      </c>
      <c r="E62" s="466">
        <v>175900</v>
      </c>
      <c r="F62" s="466">
        <v>0</v>
      </c>
      <c r="G62" s="466">
        <v>0</v>
      </c>
      <c r="H62" s="466">
        <v>0</v>
      </c>
      <c r="I62" s="467">
        <v>0</v>
      </c>
      <c r="J62" s="467">
        <v>0</v>
      </c>
      <c r="K62" s="1669">
        <f t="shared" si="7"/>
        <v>175900</v>
      </c>
      <c r="L62" s="466">
        <v>50000</v>
      </c>
      <c r="M62" s="606"/>
      <c r="N62" s="606"/>
    </row>
    <row r="63" spans="1:14" s="606" customFormat="1" x14ac:dyDescent="0.2">
      <c r="A63" s="1501" t="s">
        <v>100</v>
      </c>
      <c r="B63" s="611">
        <v>2560</v>
      </c>
      <c r="C63" s="466">
        <v>379441</v>
      </c>
      <c r="D63" s="466">
        <v>97003</v>
      </c>
      <c r="E63" s="466">
        <v>20676</v>
      </c>
      <c r="F63" s="466">
        <v>505277</v>
      </c>
      <c r="G63" s="466">
        <v>20097</v>
      </c>
      <c r="H63" s="466">
        <v>0</v>
      </c>
      <c r="I63" s="467">
        <v>0</v>
      </c>
      <c r="J63" s="467">
        <v>0</v>
      </c>
      <c r="K63" s="1669">
        <f t="shared" si="7"/>
        <v>1022494</v>
      </c>
      <c r="L63" s="466">
        <v>1015067</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644939</v>
      </c>
      <c r="D65" s="1667">
        <f t="shared" ref="D65:L65" si="8">SUM(D59:D64)</f>
        <v>130005</v>
      </c>
      <c r="E65" s="1667">
        <f t="shared" si="8"/>
        <v>241336</v>
      </c>
      <c r="F65" s="1667">
        <f t="shared" si="8"/>
        <v>532230</v>
      </c>
      <c r="G65" s="1667">
        <f t="shared" si="8"/>
        <v>20097</v>
      </c>
      <c r="H65" s="1667">
        <f t="shared" si="8"/>
        <v>0</v>
      </c>
      <c r="I65" s="1667">
        <f t="shared" si="8"/>
        <v>0</v>
      </c>
      <c r="J65" s="1667">
        <f t="shared" si="8"/>
        <v>0</v>
      </c>
      <c r="K65" s="1667">
        <f t="shared" si="8"/>
        <v>1568607</v>
      </c>
      <c r="L65" s="1667">
        <f t="shared" si="8"/>
        <v>1455697</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34211</v>
      </c>
      <c r="D69" s="466">
        <v>6777</v>
      </c>
      <c r="E69" s="466">
        <v>183</v>
      </c>
      <c r="F69" s="466">
        <v>2666</v>
      </c>
      <c r="G69" s="466">
        <v>0</v>
      </c>
      <c r="H69" s="466">
        <v>0</v>
      </c>
      <c r="I69" s="467">
        <v>0</v>
      </c>
      <c r="J69" s="467">
        <v>0</v>
      </c>
      <c r="K69" s="1669">
        <f>SUM(C69:J69)</f>
        <v>43837</v>
      </c>
      <c r="L69" s="466">
        <v>40340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348</v>
      </c>
      <c r="M70" s="606"/>
      <c r="N70" s="606"/>
    </row>
    <row r="71" spans="1:14" s="343" customFormat="1" x14ac:dyDescent="0.2">
      <c r="A71" s="1501" t="s">
        <v>404</v>
      </c>
      <c r="B71" s="611">
        <v>2660</v>
      </c>
      <c r="C71" s="466">
        <v>0</v>
      </c>
      <c r="D71" s="466">
        <v>0</v>
      </c>
      <c r="E71" s="466">
        <v>6699</v>
      </c>
      <c r="F71" s="466">
        <v>0</v>
      </c>
      <c r="G71" s="466">
        <v>0</v>
      </c>
      <c r="H71" s="466">
        <v>0</v>
      </c>
      <c r="I71" s="467">
        <v>0</v>
      </c>
      <c r="J71" s="467">
        <v>0</v>
      </c>
      <c r="K71" s="1669">
        <f>SUM(C71:J71)</f>
        <v>6699</v>
      </c>
      <c r="L71" s="466">
        <v>10576</v>
      </c>
      <c r="M71" s="606"/>
      <c r="N71" s="606"/>
    </row>
    <row r="72" spans="1:14" s="343" customFormat="1" ht="12.75" customHeight="1" thickBot="1" x14ac:dyDescent="0.25">
      <c r="A72" s="1665" t="s">
        <v>37</v>
      </c>
      <c r="B72" s="1672" t="s">
        <v>36</v>
      </c>
      <c r="C72" s="1667">
        <f>SUM(C67:C71)</f>
        <v>34211</v>
      </c>
      <c r="D72" s="1667">
        <f t="shared" ref="D72:K72" si="9">SUM(D67:D71)</f>
        <v>6777</v>
      </c>
      <c r="E72" s="1667">
        <f t="shared" si="9"/>
        <v>6882</v>
      </c>
      <c r="F72" s="1667">
        <f t="shared" si="9"/>
        <v>2666</v>
      </c>
      <c r="G72" s="1667">
        <f t="shared" si="9"/>
        <v>0</v>
      </c>
      <c r="H72" s="1667">
        <f t="shared" si="9"/>
        <v>0</v>
      </c>
      <c r="I72" s="1667">
        <f t="shared" si="9"/>
        <v>0</v>
      </c>
      <c r="J72" s="1667">
        <f t="shared" si="9"/>
        <v>0</v>
      </c>
      <c r="K72" s="1667">
        <f t="shared" si="9"/>
        <v>50536</v>
      </c>
      <c r="L72" s="1667">
        <f>SUM(L67:L71)</f>
        <v>51264</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2443939</v>
      </c>
      <c r="D74" s="1674">
        <f t="shared" ref="D74:K74" si="10">SUM(D42,D47,D53,D57,D65,D72,D73)</f>
        <v>362710</v>
      </c>
      <c r="E74" s="1674">
        <f t="shared" si="10"/>
        <v>615148</v>
      </c>
      <c r="F74" s="1674">
        <f t="shared" si="10"/>
        <v>596467</v>
      </c>
      <c r="G74" s="1674">
        <f t="shared" si="10"/>
        <v>33978</v>
      </c>
      <c r="H74" s="1674">
        <f t="shared" si="10"/>
        <v>4931</v>
      </c>
      <c r="I74" s="1674">
        <f t="shared" si="10"/>
        <v>0</v>
      </c>
      <c r="J74" s="1674">
        <f t="shared" si="10"/>
        <v>0</v>
      </c>
      <c r="K74" s="1674">
        <f t="shared" si="10"/>
        <v>4057173</v>
      </c>
      <c r="L74" s="1674">
        <f>SUM(L42,L47,L53,L57,L65,L72,L73)</f>
        <v>3882697</v>
      </c>
    </row>
    <row r="75" spans="1:14" s="259" customFormat="1" ht="15.75" customHeight="1" thickTop="1" thickBot="1" x14ac:dyDescent="0.25">
      <c r="A75" s="1607" t="s">
        <v>47</v>
      </c>
      <c r="B75" s="1608" t="s">
        <v>575</v>
      </c>
      <c r="C75" s="467">
        <v>90993</v>
      </c>
      <c r="D75" s="467">
        <v>12694</v>
      </c>
      <c r="E75" s="467">
        <v>28480</v>
      </c>
      <c r="F75" s="467">
        <v>16316</v>
      </c>
      <c r="G75" s="467">
        <v>0</v>
      </c>
      <c r="H75" s="467">
        <v>0</v>
      </c>
      <c r="I75" s="467">
        <v>0</v>
      </c>
      <c r="J75" s="467">
        <v>0</v>
      </c>
      <c r="K75" s="1667">
        <f>SUM(C75:J75)</f>
        <v>148483</v>
      </c>
      <c r="L75" s="573">
        <v>90239</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21995</v>
      </c>
      <c r="F78" s="613"/>
      <c r="G78" s="613"/>
      <c r="H78" s="631">
        <v>0</v>
      </c>
      <c r="I78" s="475"/>
      <c r="J78" s="475"/>
      <c r="K78" s="1668">
        <f t="shared" ref="K78:K83" si="11">SUM(C78:J78)</f>
        <v>21995</v>
      </c>
      <c r="L78" s="479">
        <v>15715</v>
      </c>
    </row>
    <row r="79" spans="1:14" x14ac:dyDescent="0.2">
      <c r="A79" s="1501" t="s">
        <v>304</v>
      </c>
      <c r="B79" s="611">
        <v>4120</v>
      </c>
      <c r="C79" s="613"/>
      <c r="D79" s="613"/>
      <c r="E79" s="466">
        <v>0</v>
      </c>
      <c r="F79" s="613"/>
      <c r="G79" s="613"/>
      <c r="H79" s="466">
        <v>7871</v>
      </c>
      <c r="I79" s="475"/>
      <c r="J79" s="475"/>
      <c r="K79" s="1668">
        <f t="shared" si="11"/>
        <v>7871</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21995</v>
      </c>
      <c r="F84" s="613"/>
      <c r="G84" s="613"/>
      <c r="H84" s="1667">
        <f>SUM(H78:H83)</f>
        <v>7871</v>
      </c>
      <c r="I84" s="475"/>
      <c r="J84" s="475"/>
      <c r="K84" s="1667">
        <f>SUM(K78:K83)</f>
        <v>29866</v>
      </c>
      <c r="L84" s="1667">
        <f>SUM(L78:L83)</f>
        <v>15715</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1516314</v>
      </c>
      <c r="I86" s="475"/>
      <c r="J86" s="475"/>
      <c r="K86" s="1674">
        <f t="shared" ref="K86:K98" si="12">H86</f>
        <v>1516314</v>
      </c>
      <c r="L86" s="527">
        <v>1880586</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1516314</v>
      </c>
      <c r="I92" s="475"/>
      <c r="J92" s="475"/>
      <c r="K92" s="1674">
        <f t="shared" si="12"/>
        <v>1516314</v>
      </c>
      <c r="L92" s="1667">
        <f>SUM(L85:L91)</f>
        <v>1880586</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21995</v>
      </c>
      <c r="F102" s="613"/>
      <c r="G102" s="613"/>
      <c r="H102" s="1674">
        <f>SUM(H84,H92,H100,H101)</f>
        <v>1524185</v>
      </c>
      <c r="I102" s="475"/>
      <c r="J102" s="475"/>
      <c r="K102" s="1674">
        <f>SUM(K84,K92,K100,K101)</f>
        <v>1546180</v>
      </c>
      <c r="L102" s="1674">
        <f>SUM(L84,L92,L100,L101)</f>
        <v>1896301</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200000</v>
      </c>
      <c r="M113" s="610"/>
      <c r="N113" s="610"/>
    </row>
    <row r="114" spans="1:14" ht="12.75" customHeight="1" thickTop="1" thickBot="1" x14ac:dyDescent="0.25">
      <c r="A114" s="1665" t="s">
        <v>48</v>
      </c>
      <c r="B114" s="1679"/>
      <c r="C114" s="1667">
        <f>SUM(C33,C74,C75,C102,C112,C113)</f>
        <v>9878132</v>
      </c>
      <c r="D114" s="1667">
        <f t="shared" ref="D114:K114" si="13">SUM(D33,D74,D75,D102,D112,D113)</f>
        <v>1174964</v>
      </c>
      <c r="E114" s="1667">
        <f t="shared" si="13"/>
        <v>1606048</v>
      </c>
      <c r="F114" s="1667">
        <f t="shared" si="13"/>
        <v>1052782</v>
      </c>
      <c r="G114" s="1667">
        <f t="shared" si="13"/>
        <v>243215</v>
      </c>
      <c r="H114" s="1667">
        <f>SUM(H33,H74,H75,H102,H112,H113)</f>
        <v>1926471</v>
      </c>
      <c r="I114" s="1667">
        <f t="shared" si="13"/>
        <v>0</v>
      </c>
      <c r="J114" s="1667">
        <f t="shared" si="13"/>
        <v>0</v>
      </c>
      <c r="K114" s="1667">
        <f t="shared" si="13"/>
        <v>15881612</v>
      </c>
      <c r="L114" s="1667">
        <f>SUM(L33,L74,L75,L102,L112,L113)</f>
        <v>16505543</v>
      </c>
    </row>
    <row r="115" spans="1:14" ht="13.5" thickTop="1" x14ac:dyDescent="0.2">
      <c r="A115" s="2318" t="s">
        <v>996</v>
      </c>
      <c r="B115" s="2319"/>
      <c r="C115" s="615"/>
      <c r="D115" s="615"/>
      <c r="E115" s="615"/>
      <c r="F115" s="615"/>
      <c r="G115" s="615"/>
      <c r="H115" s="615"/>
      <c r="I115" s="615"/>
      <c r="J115" s="615"/>
      <c r="K115" s="1681">
        <f>'Revenues 9-14'!C268-'Expenditures 15-22'!K114</f>
        <v>660398</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96" t="s">
        <v>296</v>
      </c>
      <c r="B117" s="2297"/>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2057</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115633</v>
      </c>
      <c r="H123" s="466">
        <v>0</v>
      </c>
      <c r="I123" s="467">
        <v>0</v>
      </c>
      <c r="J123" s="467">
        <v>0</v>
      </c>
      <c r="K123" s="1667">
        <f>SUM(C123:J123)</f>
        <v>115633</v>
      </c>
      <c r="L123" s="466">
        <v>110318</v>
      </c>
    </row>
    <row r="124" spans="1:14" ht="14.25" thickTop="1" thickBot="1" x14ac:dyDescent="0.25">
      <c r="A124" s="1501" t="s">
        <v>197</v>
      </c>
      <c r="B124" s="611">
        <v>2540</v>
      </c>
      <c r="C124" s="466">
        <v>605412</v>
      </c>
      <c r="D124" s="466">
        <v>68845</v>
      </c>
      <c r="E124" s="466">
        <v>413722</v>
      </c>
      <c r="F124" s="466">
        <v>380097</v>
      </c>
      <c r="G124" s="466">
        <v>563092</v>
      </c>
      <c r="H124" s="466">
        <v>0</v>
      </c>
      <c r="I124" s="467">
        <v>0</v>
      </c>
      <c r="J124" s="467">
        <v>0</v>
      </c>
      <c r="K124" s="1667">
        <f>SUM(C124:J124)</f>
        <v>2031168</v>
      </c>
      <c r="L124" s="466">
        <v>2240226</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605412</v>
      </c>
      <c r="D127" s="1667">
        <f t="shared" ref="D127:L127" si="14">SUM(D122:D126)</f>
        <v>68845</v>
      </c>
      <c r="E127" s="1667">
        <f t="shared" si="14"/>
        <v>413722</v>
      </c>
      <c r="F127" s="1667">
        <f t="shared" si="14"/>
        <v>380097</v>
      </c>
      <c r="G127" s="1667">
        <f t="shared" si="14"/>
        <v>678725</v>
      </c>
      <c r="H127" s="1667">
        <f t="shared" si="14"/>
        <v>0</v>
      </c>
      <c r="I127" s="1667">
        <f t="shared" si="14"/>
        <v>0</v>
      </c>
      <c r="J127" s="1667">
        <f t="shared" si="14"/>
        <v>0</v>
      </c>
      <c r="K127" s="1667">
        <f t="shared" si="14"/>
        <v>2146801</v>
      </c>
      <c r="L127" s="1667">
        <f t="shared" si="14"/>
        <v>2350544</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605412</v>
      </c>
      <c r="D129" s="1674">
        <f t="shared" ref="D129:L129" si="15">SUM(D120,D127,D128)</f>
        <v>68845</v>
      </c>
      <c r="E129" s="1674">
        <f t="shared" si="15"/>
        <v>413722</v>
      </c>
      <c r="F129" s="1674">
        <f t="shared" si="15"/>
        <v>380097</v>
      </c>
      <c r="G129" s="1674">
        <f t="shared" si="15"/>
        <v>678725</v>
      </c>
      <c r="H129" s="1674">
        <f t="shared" si="15"/>
        <v>0</v>
      </c>
      <c r="I129" s="1674">
        <f t="shared" si="15"/>
        <v>0</v>
      </c>
      <c r="J129" s="1674">
        <f t="shared" si="15"/>
        <v>0</v>
      </c>
      <c r="K129" s="1674">
        <f t="shared" si="15"/>
        <v>2146801</v>
      </c>
      <c r="L129" s="1674">
        <f t="shared" si="15"/>
        <v>2350544</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1842</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100000</v>
      </c>
    </row>
    <row r="151" spans="1:14" ht="12.75" customHeight="1" thickTop="1" thickBot="1" x14ac:dyDescent="0.25">
      <c r="A151" s="2308" t="s">
        <v>620</v>
      </c>
      <c r="B151" s="2290"/>
      <c r="C151" s="1667">
        <f>SUM(C129,C130,C139,C149,C150)</f>
        <v>605412</v>
      </c>
      <c r="D151" s="1667">
        <f t="shared" ref="D151:K151" si="16">SUM(D129,D130,D139,D149,D150)</f>
        <v>68845</v>
      </c>
      <c r="E151" s="1667">
        <f t="shared" si="16"/>
        <v>413722</v>
      </c>
      <c r="F151" s="1667">
        <f t="shared" si="16"/>
        <v>380097</v>
      </c>
      <c r="G151" s="1667">
        <f t="shared" si="16"/>
        <v>678725</v>
      </c>
      <c r="H151" s="1667">
        <f t="shared" si="16"/>
        <v>0</v>
      </c>
      <c r="I151" s="1667">
        <f t="shared" si="16"/>
        <v>0</v>
      </c>
      <c r="J151" s="1667">
        <f t="shared" si="16"/>
        <v>0</v>
      </c>
      <c r="K151" s="1667">
        <f t="shared" si="16"/>
        <v>2146801</v>
      </c>
      <c r="L151" s="1667">
        <f>SUM(L129,L130,L139,L149,L150)</f>
        <v>2450544</v>
      </c>
    </row>
    <row r="152" spans="1:14" ht="12.75" customHeight="1" thickTop="1" x14ac:dyDescent="0.2">
      <c r="A152" s="2311" t="s">
        <v>1178</v>
      </c>
      <c r="B152" s="2312"/>
      <c r="C152" s="615"/>
      <c r="D152" s="615"/>
      <c r="E152" s="615"/>
      <c r="F152" s="615"/>
      <c r="G152" s="615"/>
      <c r="H152" s="615"/>
      <c r="I152" s="615"/>
      <c r="J152" s="613"/>
      <c r="K152" s="1681">
        <f>'Revenues 9-14'!D268-'Expenditures 15-22'!K151</f>
        <v>201149</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96" t="s">
        <v>621</v>
      </c>
      <c r="B154" s="2298"/>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1843</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1842</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1844</v>
      </c>
      <c r="C158" s="613"/>
      <c r="D158" s="613"/>
      <c r="E158" s="613"/>
      <c r="F158" s="613"/>
      <c r="G158" s="613"/>
      <c r="H158" s="467">
        <v>0</v>
      </c>
      <c r="I158" s="613"/>
      <c r="J158" s="613"/>
      <c r="K158" s="1668">
        <f>H158</f>
        <v>0</v>
      </c>
      <c r="L158" s="467">
        <v>0</v>
      </c>
      <c r="M158" s="616"/>
      <c r="N158" s="616"/>
    </row>
    <row r="159" spans="1:14" s="617" customFormat="1" ht="12" x14ac:dyDescent="0.2">
      <c r="A159" s="1823" t="s">
        <v>1845</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1846</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199585</v>
      </c>
      <c r="I169" s="613"/>
      <c r="J169" s="613"/>
      <c r="K169" s="1668">
        <f>SUM(C169:H169)</f>
        <v>199585</v>
      </c>
      <c r="L169" s="653">
        <v>199587</v>
      </c>
    </row>
    <row r="170" spans="1:14" ht="33.75" customHeight="1" x14ac:dyDescent="0.2">
      <c r="A170" s="666" t="s">
        <v>1670</v>
      </c>
      <c r="B170" s="668" t="s">
        <v>31</v>
      </c>
      <c r="C170" s="613"/>
      <c r="D170" s="613"/>
      <c r="E170" s="613"/>
      <c r="F170" s="613"/>
      <c r="G170" s="613"/>
      <c r="H170" s="566">
        <v>493000</v>
      </c>
      <c r="I170" s="613"/>
      <c r="J170" s="613"/>
      <c r="K170" s="1668">
        <f>SUM(C170:J170)</f>
        <v>493000</v>
      </c>
      <c r="L170" s="566">
        <v>493000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692585</v>
      </c>
      <c r="I172" s="635"/>
      <c r="J172" s="613"/>
      <c r="K172" s="1674">
        <f>SUM(K168,K169,K170,K171)</f>
        <v>692585</v>
      </c>
      <c r="L172" s="1674">
        <f>SUM(L168,L169,L170,L171)</f>
        <v>692587</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692585</v>
      </c>
      <c r="I174" s="635"/>
      <c r="J174" s="613"/>
      <c r="K174" s="1674">
        <f>SUM(K160,K172,K173)</f>
        <v>692585</v>
      </c>
      <c r="L174" s="1674">
        <f>SUM(L160,L172,L173)</f>
        <v>692587</v>
      </c>
    </row>
    <row r="175" spans="1:14" ht="13.5" thickTop="1" x14ac:dyDescent="0.2">
      <c r="A175" s="2318" t="s">
        <v>996</v>
      </c>
      <c r="B175" s="2319"/>
      <c r="C175" s="613"/>
      <c r="D175" s="613"/>
      <c r="E175" s="613"/>
      <c r="F175" s="613"/>
      <c r="G175" s="613"/>
      <c r="H175" s="615"/>
      <c r="I175" s="613"/>
      <c r="J175" s="613"/>
      <c r="K175" s="1681">
        <f>'Revenues 9-14'!E268-'Expenditures 15-22'!K174</f>
        <v>254336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2057</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525726</v>
      </c>
      <c r="D182" s="466">
        <v>10671</v>
      </c>
      <c r="E182" s="466">
        <v>26733</v>
      </c>
      <c r="F182" s="466">
        <v>126032</v>
      </c>
      <c r="G182" s="466">
        <v>45655</v>
      </c>
      <c r="H182" s="466">
        <v>0</v>
      </c>
      <c r="I182" s="467">
        <v>0</v>
      </c>
      <c r="J182" s="467">
        <v>0</v>
      </c>
      <c r="K182" s="1668">
        <f>SUM(C182:J182)</f>
        <v>734817</v>
      </c>
      <c r="L182" s="466">
        <v>1028675</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525726</v>
      </c>
      <c r="D184" s="1674">
        <f t="shared" ref="D184:J184" si="17">SUM(D180,D182,D183)</f>
        <v>10671</v>
      </c>
      <c r="E184" s="1674">
        <f t="shared" si="17"/>
        <v>26733</v>
      </c>
      <c r="F184" s="1674">
        <f t="shared" si="17"/>
        <v>126032</v>
      </c>
      <c r="G184" s="1674">
        <f t="shared" si="17"/>
        <v>45655</v>
      </c>
      <c r="H184" s="1674">
        <f t="shared" si="17"/>
        <v>0</v>
      </c>
      <c r="I184" s="1674">
        <f t="shared" si="17"/>
        <v>0</v>
      </c>
      <c r="J184" s="1674">
        <f t="shared" si="17"/>
        <v>0</v>
      </c>
      <c r="K184" s="1674">
        <f>SUM(K180,K182,K183)</f>
        <v>734817</v>
      </c>
      <c r="L184" s="1674">
        <f>SUM(L180, L182:L183)</f>
        <v>1028675</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3744</v>
      </c>
      <c r="F189" s="613"/>
      <c r="G189" s="613"/>
      <c r="H189" s="466">
        <v>0</v>
      </c>
      <c r="I189" s="475"/>
      <c r="J189" s="613"/>
      <c r="K189" s="1668">
        <f t="shared" si="18"/>
        <v>3744</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3744</v>
      </c>
      <c r="F194" s="613"/>
      <c r="G194" s="613"/>
      <c r="H194" s="1667">
        <f>SUM(H188:H193)</f>
        <v>0</v>
      </c>
      <c r="I194" s="475"/>
      <c r="J194" s="613"/>
      <c r="K194" s="1667">
        <f>SUM(K188:K193)</f>
        <v>3744</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3744</v>
      </c>
      <c r="F196" s="613"/>
      <c r="G196" s="613"/>
      <c r="H196" s="1674">
        <f>SUM(H194,H195)</f>
        <v>0</v>
      </c>
      <c r="I196" s="475"/>
      <c r="J196" s="613"/>
      <c r="K196" s="1674">
        <f>SUM(K194,K195)</f>
        <v>3744</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40000</v>
      </c>
    </row>
    <row r="210" spans="1:14" ht="12.75" customHeight="1" thickTop="1" thickBot="1" x14ac:dyDescent="0.25">
      <c r="A210" s="1689" t="s">
        <v>277</v>
      </c>
      <c r="B210" s="1690"/>
      <c r="C210" s="1667">
        <f>SUM(C184,C185)</f>
        <v>525726</v>
      </c>
      <c r="D210" s="1667">
        <f>SUM(D184,D185)</f>
        <v>10671</v>
      </c>
      <c r="E210" s="1667">
        <f>SUM(E184,E185,E196)</f>
        <v>30477</v>
      </c>
      <c r="F210" s="1667">
        <f>SUM(F184,F185)</f>
        <v>126032</v>
      </c>
      <c r="G210" s="1667">
        <f>SUM(G184,G185)</f>
        <v>45655</v>
      </c>
      <c r="H210" s="1667">
        <f>SUM(H184,H185,H196,H208,H209)</f>
        <v>0</v>
      </c>
      <c r="I210" s="1667">
        <f>SUM(I184,I185)</f>
        <v>0</v>
      </c>
      <c r="J210" s="1667">
        <f>SUM(J184,J185)</f>
        <v>0</v>
      </c>
      <c r="K210" s="1668">
        <f>SUM(K184,K185,K196,K208,K209)</f>
        <v>738561</v>
      </c>
      <c r="L210" s="1667">
        <f>SUM(L184,L185,L196,L208,L209)</f>
        <v>1068675</v>
      </c>
    </row>
    <row r="211" spans="1:14" ht="13.5" thickTop="1" x14ac:dyDescent="0.2">
      <c r="A211" s="2318" t="s">
        <v>996</v>
      </c>
      <c r="B211" s="2319"/>
      <c r="C211" s="615"/>
      <c r="D211" s="615"/>
      <c r="E211" s="615"/>
      <c r="F211" s="615"/>
      <c r="G211" s="615"/>
      <c r="H211" s="615"/>
      <c r="I211" s="613"/>
      <c r="J211" s="613"/>
      <c r="K211" s="1681">
        <f>'Revenues 9-14'!F268-'Expenditures 15-22'!K210</f>
        <v>18151</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13" t="s">
        <v>965</v>
      </c>
      <c r="B213" s="2314"/>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123954</v>
      </c>
      <c r="E215" s="613"/>
      <c r="F215" s="613"/>
      <c r="G215" s="613"/>
      <c r="H215" s="613"/>
      <c r="I215" s="613"/>
      <c r="J215" s="613"/>
      <c r="K215" s="1668">
        <f>D215</f>
        <v>123954</v>
      </c>
      <c r="L215" s="466">
        <v>82868</v>
      </c>
    </row>
    <row r="216" spans="1:14" x14ac:dyDescent="0.2">
      <c r="A216" s="1501" t="s">
        <v>163</v>
      </c>
      <c r="B216" s="611" t="s">
        <v>967</v>
      </c>
      <c r="C216" s="613"/>
      <c r="D216" s="467">
        <v>17367</v>
      </c>
      <c r="E216" s="613"/>
      <c r="F216" s="613"/>
      <c r="G216" s="613"/>
      <c r="H216" s="613"/>
      <c r="I216" s="613"/>
      <c r="J216" s="613"/>
      <c r="K216" s="1668">
        <f t="shared" ref="K216:K228" si="19">D216</f>
        <v>17367</v>
      </c>
      <c r="L216" s="466">
        <v>43359</v>
      </c>
    </row>
    <row r="217" spans="1:14" x14ac:dyDescent="0.2">
      <c r="A217" s="1501" t="s">
        <v>164</v>
      </c>
      <c r="B217" s="611">
        <v>1200</v>
      </c>
      <c r="C217" s="613"/>
      <c r="D217" s="466">
        <v>55542</v>
      </c>
      <c r="E217" s="613"/>
      <c r="F217" s="613"/>
      <c r="G217" s="613"/>
      <c r="H217" s="613"/>
      <c r="I217" s="613"/>
      <c r="J217" s="613"/>
      <c r="K217" s="1668">
        <f t="shared" si="19"/>
        <v>55542</v>
      </c>
      <c r="L217" s="466">
        <v>66336</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49808</v>
      </c>
      <c r="E219" s="613"/>
      <c r="F219" s="613"/>
      <c r="G219" s="613"/>
      <c r="H219" s="613"/>
      <c r="I219" s="613"/>
      <c r="J219" s="613"/>
      <c r="K219" s="1668">
        <f t="shared" si="19"/>
        <v>49808</v>
      </c>
      <c r="L219" s="466">
        <v>48477</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4956</v>
      </c>
      <c r="E222" s="613"/>
      <c r="F222" s="613"/>
      <c r="G222" s="613"/>
      <c r="H222" s="613"/>
      <c r="I222" s="613"/>
      <c r="J222" s="613"/>
      <c r="K222" s="1668">
        <f t="shared" si="19"/>
        <v>4956</v>
      </c>
      <c r="L222" s="466">
        <v>4258</v>
      </c>
    </row>
    <row r="223" spans="1:14" x14ac:dyDescent="0.2">
      <c r="A223" s="1501" t="s">
        <v>963</v>
      </c>
      <c r="B223" s="611">
        <v>1500</v>
      </c>
      <c r="C223" s="613"/>
      <c r="D223" s="466">
        <v>15996</v>
      </c>
      <c r="E223" s="613"/>
      <c r="F223" s="613"/>
      <c r="G223" s="613"/>
      <c r="H223" s="613"/>
      <c r="I223" s="613"/>
      <c r="J223" s="613"/>
      <c r="K223" s="1668">
        <f t="shared" si="19"/>
        <v>15996</v>
      </c>
      <c r="L223" s="466">
        <v>15092</v>
      </c>
    </row>
    <row r="224" spans="1:14" x14ac:dyDescent="0.2">
      <c r="A224" s="1501" t="s">
        <v>964</v>
      </c>
      <c r="B224" s="611">
        <v>1600</v>
      </c>
      <c r="C224" s="613"/>
      <c r="D224" s="466">
        <v>131</v>
      </c>
      <c r="E224" s="613"/>
      <c r="F224" s="613"/>
      <c r="G224" s="613"/>
      <c r="H224" s="613"/>
      <c r="I224" s="613"/>
      <c r="J224" s="613"/>
      <c r="K224" s="1668">
        <f t="shared" si="19"/>
        <v>131</v>
      </c>
      <c r="L224" s="466">
        <v>205</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1418</v>
      </c>
      <c r="E226" s="613"/>
      <c r="F226" s="613"/>
      <c r="G226" s="613"/>
      <c r="H226" s="613"/>
      <c r="I226" s="613"/>
      <c r="J226" s="613"/>
      <c r="K226" s="1668">
        <f t="shared" si="19"/>
        <v>1418</v>
      </c>
      <c r="L226" s="466">
        <v>1424</v>
      </c>
    </row>
    <row r="227" spans="1:12" x14ac:dyDescent="0.2">
      <c r="A227" s="1501" t="s">
        <v>1087</v>
      </c>
      <c r="B227" s="611">
        <v>1800</v>
      </c>
      <c r="C227" s="613"/>
      <c r="D227" s="466">
        <v>909</v>
      </c>
      <c r="E227" s="613"/>
      <c r="F227" s="613"/>
      <c r="G227" s="613"/>
      <c r="H227" s="613"/>
      <c r="I227" s="613"/>
      <c r="J227" s="613"/>
      <c r="K227" s="1668">
        <f t="shared" si="19"/>
        <v>909</v>
      </c>
      <c r="L227" s="466">
        <v>1330</v>
      </c>
    </row>
    <row r="228" spans="1:12" x14ac:dyDescent="0.2">
      <c r="A228" s="1501" t="s">
        <v>1088</v>
      </c>
      <c r="B228" s="611">
        <v>1900</v>
      </c>
      <c r="C228" s="613"/>
      <c r="D228" s="466">
        <v>4187</v>
      </c>
      <c r="E228" s="613"/>
      <c r="F228" s="613"/>
      <c r="G228" s="613"/>
      <c r="H228" s="613"/>
      <c r="I228" s="613"/>
      <c r="J228" s="613"/>
      <c r="K228" s="1668">
        <f t="shared" si="19"/>
        <v>4187</v>
      </c>
      <c r="L228" s="466">
        <v>4106</v>
      </c>
    </row>
    <row r="229" spans="1:12" ht="12.75" customHeight="1" thickBot="1" x14ac:dyDescent="0.25">
      <c r="A229" s="1665" t="s">
        <v>715</v>
      </c>
      <c r="B229" s="1672" t="s">
        <v>570</v>
      </c>
      <c r="C229" s="613"/>
      <c r="D229" s="1667">
        <f>SUM(D215:D228)</f>
        <v>274268</v>
      </c>
      <c r="E229" s="613"/>
      <c r="F229" s="613"/>
      <c r="G229" s="613"/>
      <c r="H229" s="613"/>
      <c r="I229" s="613"/>
      <c r="J229" s="613"/>
      <c r="K229" s="1667">
        <f>SUM(K215:K228)</f>
        <v>274268</v>
      </c>
      <c r="L229" s="1667">
        <f>SUM(L215:L228)</f>
        <v>267455</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3355</v>
      </c>
      <c r="E233" s="613"/>
      <c r="F233" s="613"/>
      <c r="G233" s="613"/>
      <c r="H233" s="613"/>
      <c r="I233" s="613"/>
      <c r="J233" s="613"/>
      <c r="K233" s="1668">
        <f t="shared" si="20"/>
        <v>3355</v>
      </c>
      <c r="L233" s="466">
        <v>2697</v>
      </c>
    </row>
    <row r="234" spans="1:12" x14ac:dyDescent="0.2">
      <c r="A234" s="1501" t="s">
        <v>198</v>
      </c>
      <c r="B234" s="611">
        <v>2130</v>
      </c>
      <c r="C234" s="613"/>
      <c r="D234" s="466">
        <v>23126</v>
      </c>
      <c r="E234" s="613"/>
      <c r="F234" s="613"/>
      <c r="G234" s="613"/>
      <c r="H234" s="613"/>
      <c r="I234" s="613"/>
      <c r="J234" s="613"/>
      <c r="K234" s="1668">
        <f t="shared" si="20"/>
        <v>23126</v>
      </c>
      <c r="L234" s="466">
        <v>23781</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26481</v>
      </c>
      <c r="E238" s="613"/>
      <c r="F238" s="613"/>
      <c r="G238" s="613"/>
      <c r="H238" s="613"/>
      <c r="I238" s="613"/>
      <c r="J238" s="613"/>
      <c r="K238" s="1667">
        <f>SUM(K232:K237)</f>
        <v>26481</v>
      </c>
      <c r="L238" s="1667">
        <f>SUM(L232:L237)</f>
        <v>26478</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837</v>
      </c>
      <c r="E240" s="613"/>
      <c r="F240" s="613"/>
      <c r="G240" s="613"/>
      <c r="H240" s="613"/>
      <c r="I240" s="613"/>
      <c r="J240" s="613"/>
      <c r="K240" s="1669">
        <f>D240</f>
        <v>837</v>
      </c>
      <c r="L240" s="479">
        <v>830</v>
      </c>
    </row>
    <row r="241" spans="1:12" x14ac:dyDescent="0.2">
      <c r="A241" s="1501" t="s">
        <v>815</v>
      </c>
      <c r="B241" s="611">
        <v>2220</v>
      </c>
      <c r="C241" s="613"/>
      <c r="D241" s="466">
        <v>10142</v>
      </c>
      <c r="E241" s="613"/>
      <c r="F241" s="613"/>
      <c r="G241" s="613"/>
      <c r="H241" s="613"/>
      <c r="I241" s="613"/>
      <c r="J241" s="613"/>
      <c r="K241" s="1669">
        <f>D241</f>
        <v>10142</v>
      </c>
      <c r="L241" s="466">
        <v>9815</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10979</v>
      </c>
      <c r="E243" s="613"/>
      <c r="F243" s="613"/>
      <c r="G243" s="613"/>
      <c r="H243" s="613"/>
      <c r="I243" s="613"/>
      <c r="J243" s="613"/>
      <c r="K243" s="1667">
        <f>SUM(K240:K242)</f>
        <v>10979</v>
      </c>
      <c r="L243" s="1667">
        <f>SUM(L240:L242)</f>
        <v>10645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665</v>
      </c>
      <c r="E245" s="613"/>
      <c r="F245" s="613"/>
      <c r="G245" s="613"/>
      <c r="H245" s="613"/>
      <c r="I245" s="613"/>
      <c r="J245" s="613"/>
      <c r="K245" s="1669">
        <f>D245</f>
        <v>665</v>
      </c>
      <c r="L245" s="479">
        <v>253</v>
      </c>
    </row>
    <row r="246" spans="1:12" x14ac:dyDescent="0.2">
      <c r="A246" s="1501" t="s">
        <v>818</v>
      </c>
      <c r="B246" s="611">
        <v>2320</v>
      </c>
      <c r="C246" s="613"/>
      <c r="D246" s="466">
        <v>3079</v>
      </c>
      <c r="E246" s="613"/>
      <c r="F246" s="613"/>
      <c r="G246" s="613"/>
      <c r="H246" s="613"/>
      <c r="I246" s="613"/>
      <c r="J246" s="613"/>
      <c r="K246" s="1669">
        <f t="shared" ref="K246:K256" si="21">D246</f>
        <v>3079</v>
      </c>
      <c r="L246" s="466">
        <v>3256</v>
      </c>
    </row>
    <row r="247" spans="1:12" x14ac:dyDescent="0.2">
      <c r="A247" s="1501" t="s">
        <v>819</v>
      </c>
      <c r="B247" s="611">
        <v>2330</v>
      </c>
      <c r="C247" s="613"/>
      <c r="D247" s="466">
        <v>3899</v>
      </c>
      <c r="E247" s="613"/>
      <c r="F247" s="613"/>
      <c r="G247" s="613"/>
      <c r="H247" s="613"/>
      <c r="I247" s="613"/>
      <c r="J247" s="613"/>
      <c r="K247" s="1669">
        <f t="shared" si="21"/>
        <v>3899</v>
      </c>
      <c r="L247" s="466">
        <v>2440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1802</v>
      </c>
      <c r="B249" s="680" t="s">
        <v>282</v>
      </c>
      <c r="C249" s="613"/>
      <c r="D249" s="473">
        <v>0</v>
      </c>
      <c r="E249" s="613"/>
      <c r="F249" s="613"/>
      <c r="G249" s="613"/>
      <c r="H249" s="613"/>
      <c r="I249" s="613"/>
      <c r="J249" s="613"/>
      <c r="K249" s="1669">
        <f t="shared" si="21"/>
        <v>0</v>
      </c>
      <c r="L249" s="466">
        <v>0</v>
      </c>
    </row>
    <row r="250" spans="1:12" x14ac:dyDescent="0.2">
      <c r="A250" s="1502" t="s">
        <v>1803</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31900</v>
      </c>
      <c r="E252" s="613"/>
      <c r="F252" s="613"/>
      <c r="G252" s="613"/>
      <c r="H252" s="613"/>
      <c r="I252" s="613"/>
      <c r="J252" s="613"/>
      <c r="K252" s="1669">
        <f t="shared" si="21"/>
        <v>31900</v>
      </c>
      <c r="L252" s="466">
        <v>20906</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39543</v>
      </c>
      <c r="E257" s="613"/>
      <c r="F257" s="613"/>
      <c r="G257" s="613"/>
      <c r="H257" s="613"/>
      <c r="I257" s="613"/>
      <c r="J257" s="613"/>
      <c r="K257" s="1667">
        <f>SUM(K245:K256)</f>
        <v>39543</v>
      </c>
      <c r="L257" s="1667">
        <f>SUM(L245:L256)</f>
        <v>26855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61773</v>
      </c>
      <c r="E259" s="613"/>
      <c r="F259" s="613"/>
      <c r="G259" s="613"/>
      <c r="H259" s="613"/>
      <c r="I259" s="613"/>
      <c r="J259" s="613"/>
      <c r="K259" s="1669">
        <f>D259</f>
        <v>61773</v>
      </c>
      <c r="L259" s="479">
        <v>60941</v>
      </c>
    </row>
    <row r="260" spans="1:14" s="594" customFormat="1" x14ac:dyDescent="0.2">
      <c r="A260" s="1519" t="s">
        <v>1801</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61773</v>
      </c>
      <c r="E261" s="613"/>
      <c r="F261" s="613"/>
      <c r="G261" s="613"/>
      <c r="H261" s="613"/>
      <c r="I261" s="613"/>
      <c r="J261" s="613"/>
      <c r="K261" s="1667">
        <f>SUM(K259:K260)</f>
        <v>61773</v>
      </c>
      <c r="L261" s="1667">
        <f>SUM(L259:L260)</f>
        <v>60941</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42819</v>
      </c>
      <c r="E264" s="613"/>
      <c r="F264" s="613"/>
      <c r="G264" s="613"/>
      <c r="H264" s="613"/>
      <c r="I264" s="613"/>
      <c r="J264" s="613"/>
      <c r="K264" s="1669">
        <f t="shared" ref="K264:K269" si="22">D264</f>
        <v>42819</v>
      </c>
      <c r="L264" s="466">
        <v>42801</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111850</v>
      </c>
      <c r="E266" s="613"/>
      <c r="F266" s="613"/>
      <c r="G266" s="613"/>
      <c r="H266" s="613"/>
      <c r="I266" s="613"/>
      <c r="J266" s="613"/>
      <c r="K266" s="1669">
        <f t="shared" si="22"/>
        <v>111850</v>
      </c>
      <c r="L266" s="466">
        <v>109077</v>
      </c>
    </row>
    <row r="267" spans="1:14" x14ac:dyDescent="0.2">
      <c r="A267" s="1501" t="s">
        <v>953</v>
      </c>
      <c r="B267" s="611">
        <v>2550</v>
      </c>
      <c r="C267" s="613"/>
      <c r="D267" s="466">
        <v>97045</v>
      </c>
      <c r="E267" s="613"/>
      <c r="F267" s="613"/>
      <c r="G267" s="613"/>
      <c r="H267" s="613"/>
      <c r="I267" s="613"/>
      <c r="J267" s="613"/>
      <c r="K267" s="1669">
        <f t="shared" si="22"/>
        <v>97045</v>
      </c>
      <c r="L267" s="466">
        <v>99505</v>
      </c>
    </row>
    <row r="268" spans="1:14" x14ac:dyDescent="0.2">
      <c r="A268" s="1501" t="s">
        <v>100</v>
      </c>
      <c r="B268" s="611">
        <v>2560</v>
      </c>
      <c r="C268" s="613"/>
      <c r="D268" s="466">
        <v>68769</v>
      </c>
      <c r="E268" s="613"/>
      <c r="F268" s="613"/>
      <c r="G268" s="613"/>
      <c r="H268" s="613"/>
      <c r="I268" s="613"/>
      <c r="J268" s="613"/>
      <c r="K268" s="1669">
        <f t="shared" si="22"/>
        <v>68769</v>
      </c>
      <c r="L268" s="466">
        <v>65201</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320483</v>
      </c>
      <c r="E270" s="613"/>
      <c r="F270" s="613"/>
      <c r="G270" s="613"/>
      <c r="H270" s="613"/>
      <c r="I270" s="613"/>
      <c r="J270" s="613"/>
      <c r="K270" s="1667">
        <f>SUM(K263:K269)</f>
        <v>320483</v>
      </c>
      <c r="L270" s="1667">
        <f>SUM(L263:L269)</f>
        <v>316584</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6444</v>
      </c>
      <c r="E274" s="613"/>
      <c r="F274" s="613"/>
      <c r="G274" s="613"/>
      <c r="H274" s="613"/>
      <c r="I274" s="613"/>
      <c r="J274" s="613"/>
      <c r="K274" s="1669">
        <f>D274</f>
        <v>6444</v>
      </c>
      <c r="L274" s="466">
        <v>6101</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6444</v>
      </c>
      <c r="E277" s="613"/>
      <c r="F277" s="613"/>
      <c r="G277" s="613"/>
      <c r="H277" s="613"/>
      <c r="I277" s="613"/>
      <c r="J277" s="613"/>
      <c r="K277" s="1667">
        <f>SUM(K272:K276)</f>
        <v>6444</v>
      </c>
      <c r="L277" s="1667">
        <f>SUM(L272:L276)</f>
        <v>6101</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465703</v>
      </c>
      <c r="E279" s="613"/>
      <c r="F279" s="613"/>
      <c r="G279" s="613"/>
      <c r="H279" s="613"/>
      <c r="I279" s="613"/>
      <c r="J279" s="613"/>
      <c r="K279" s="1674">
        <f>SUM(K238,K243,K257,K261,K270,K277,K278)</f>
        <v>465703</v>
      </c>
      <c r="L279" s="1674">
        <f>SUM(L238,L243,L257,L261,L270,L277,L278)</f>
        <v>447604</v>
      </c>
    </row>
    <row r="280" spans="1:12" ht="15.75" customHeight="1" thickTop="1" thickBot="1" x14ac:dyDescent="0.25">
      <c r="A280" s="1621" t="s">
        <v>875</v>
      </c>
      <c r="B280" s="1610">
        <v>3000</v>
      </c>
      <c r="C280" s="613"/>
      <c r="D280" s="573">
        <v>6892</v>
      </c>
      <c r="E280" s="613"/>
      <c r="F280" s="613"/>
      <c r="G280" s="613"/>
      <c r="H280" s="613"/>
      <c r="I280" s="613"/>
      <c r="J280" s="613"/>
      <c r="K280" s="1676">
        <f>D280</f>
        <v>6892</v>
      </c>
      <c r="L280" s="573">
        <v>6936</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1842</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309" t="s">
        <v>505</v>
      </c>
      <c r="B295" s="2310"/>
      <c r="C295" s="613"/>
      <c r="D295" s="1667">
        <f>SUM(D229,D279,D280,D285)</f>
        <v>746863</v>
      </c>
      <c r="E295" s="613"/>
      <c r="F295" s="613"/>
      <c r="G295" s="613"/>
      <c r="H295" s="1667">
        <f>H293</f>
        <v>0</v>
      </c>
      <c r="I295" s="613"/>
      <c r="J295" s="613"/>
      <c r="K295" s="1667">
        <f>SUM(K229,K279,K280,K285,K293,K294)</f>
        <v>746863</v>
      </c>
      <c r="L295" s="1667">
        <f>SUM(L229,L279,L280,L285,L293,L294)</f>
        <v>721995</v>
      </c>
    </row>
    <row r="296" spans="1:14" ht="13.5" thickTop="1" x14ac:dyDescent="0.2">
      <c r="A296" s="2318" t="s">
        <v>996</v>
      </c>
      <c r="B296" s="2319"/>
      <c r="C296" s="613"/>
      <c r="D296" s="615"/>
      <c r="E296" s="613"/>
      <c r="F296" s="613"/>
      <c r="G296" s="613"/>
      <c r="H296" s="684"/>
      <c r="I296" s="613"/>
      <c r="J296" s="613"/>
      <c r="K296" s="1681">
        <f>'Revenues 9-14'!G268-'Expenditures 15-22'!K295</f>
        <v>24084</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01" t="s">
        <v>143</v>
      </c>
      <c r="B298" s="2295"/>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247866</v>
      </c>
      <c r="F301" s="466">
        <v>315</v>
      </c>
      <c r="G301" s="466">
        <v>3138996</v>
      </c>
      <c r="H301" s="466">
        <v>0</v>
      </c>
      <c r="I301" s="467">
        <v>0</v>
      </c>
      <c r="J301" s="467">
        <v>0</v>
      </c>
      <c r="K301" s="1668">
        <f>SUM(C301:J301)</f>
        <v>3387177</v>
      </c>
      <c r="L301" s="467">
        <v>3533713</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66287</v>
      </c>
    </row>
    <row r="303" spans="1:14" ht="12.75" customHeight="1" thickBot="1" x14ac:dyDescent="0.25">
      <c r="A303" s="1665" t="s">
        <v>811</v>
      </c>
      <c r="B303" s="1666" t="s">
        <v>569</v>
      </c>
      <c r="C303" s="1674">
        <f>SUM(C301:C302)</f>
        <v>0</v>
      </c>
      <c r="D303" s="1674">
        <f t="shared" ref="D303:L303" si="23">SUM(D301:D302)</f>
        <v>0</v>
      </c>
      <c r="E303" s="1674">
        <f t="shared" si="23"/>
        <v>247866</v>
      </c>
      <c r="F303" s="1674">
        <f t="shared" si="23"/>
        <v>315</v>
      </c>
      <c r="G303" s="1674">
        <f t="shared" si="23"/>
        <v>3138996</v>
      </c>
      <c r="H303" s="1674">
        <f t="shared" si="23"/>
        <v>0</v>
      </c>
      <c r="I303" s="1674">
        <f t="shared" si="23"/>
        <v>0</v>
      </c>
      <c r="J303" s="1674">
        <f t="shared" si="23"/>
        <v>0</v>
      </c>
      <c r="K303" s="1674">
        <f t="shared" si="23"/>
        <v>3387177</v>
      </c>
      <c r="L303" s="1674">
        <f t="shared" si="23"/>
        <v>3600000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1847</v>
      </c>
      <c r="B306" s="687" t="s">
        <v>1842</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306" t="s">
        <v>277</v>
      </c>
      <c r="B312" s="2307"/>
      <c r="C312" s="1667">
        <f>SUM(C303)</f>
        <v>0</v>
      </c>
      <c r="D312" s="1667">
        <f>SUM(D303)</f>
        <v>0</v>
      </c>
      <c r="E312" s="1667">
        <f>SUM(E303,E310)</f>
        <v>247866</v>
      </c>
      <c r="F312" s="1667">
        <f>SUM(F303)</f>
        <v>315</v>
      </c>
      <c r="G312" s="1667">
        <f>SUM(G303)</f>
        <v>3138996</v>
      </c>
      <c r="H312" s="1667">
        <f>SUM(H303,H310)</f>
        <v>0</v>
      </c>
      <c r="I312" s="1667">
        <f>SUM(I303)</f>
        <v>0</v>
      </c>
      <c r="J312" s="1667">
        <f>SUM(J303)</f>
        <v>0</v>
      </c>
      <c r="K312" s="1667">
        <f>SUM(K303,K310,K311)</f>
        <v>3387177</v>
      </c>
      <c r="L312" s="1667">
        <f>SUM(L303,L310,L311)</f>
        <v>3600000</v>
      </c>
      <c r="M312" s="662"/>
      <c r="N312" s="662"/>
    </row>
    <row r="313" spans="1:14" ht="13.5" thickTop="1" x14ac:dyDescent="0.2">
      <c r="A313" s="2302" t="s">
        <v>996</v>
      </c>
      <c r="B313" s="2303"/>
      <c r="C313" s="623"/>
      <c r="D313" s="623"/>
      <c r="E313" s="623"/>
      <c r="F313" s="623"/>
      <c r="G313" s="623"/>
      <c r="H313" s="623"/>
      <c r="I313" s="623"/>
      <c r="J313" s="623"/>
      <c r="K313" s="1682">
        <f>'Revenues 9-14'!H268-'Expenditures 15-22'!K312</f>
        <v>-2760770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15" t="s">
        <v>149</v>
      </c>
      <c r="B315" s="2316"/>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17" t="s">
        <v>898</v>
      </c>
      <c r="B317" s="2316"/>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1802</v>
      </c>
      <c r="B320" s="695" t="s">
        <v>282</v>
      </c>
      <c r="C320" s="467">
        <v>0</v>
      </c>
      <c r="D320" s="467">
        <v>0</v>
      </c>
      <c r="E320" s="467">
        <v>89897</v>
      </c>
      <c r="F320" s="467">
        <v>0</v>
      </c>
      <c r="G320" s="467">
        <v>0</v>
      </c>
      <c r="H320" s="467">
        <v>0</v>
      </c>
      <c r="I320" s="467">
        <v>0</v>
      </c>
      <c r="J320" s="467">
        <v>0</v>
      </c>
      <c r="K320" s="1668">
        <f t="shared" ref="K320:K327" si="24">SUM(C320:J320)</f>
        <v>89897</v>
      </c>
      <c r="L320" s="467">
        <v>130596</v>
      </c>
      <c r="M320" s="662"/>
      <c r="N320" s="662"/>
    </row>
    <row r="321" spans="1:14" s="671" customFormat="1" x14ac:dyDescent="0.2">
      <c r="A321" s="1516" t="s">
        <v>300</v>
      </c>
      <c r="B321" s="694" t="s">
        <v>283</v>
      </c>
      <c r="C321" s="467">
        <v>0</v>
      </c>
      <c r="D321" s="467">
        <v>0</v>
      </c>
      <c r="E321" s="467">
        <v>16990</v>
      </c>
      <c r="F321" s="467">
        <v>0</v>
      </c>
      <c r="G321" s="467">
        <v>0</v>
      </c>
      <c r="H321" s="467">
        <v>0</v>
      </c>
      <c r="I321" s="467">
        <v>0</v>
      </c>
      <c r="J321" s="467">
        <v>0</v>
      </c>
      <c r="K321" s="1668">
        <f t="shared" si="24"/>
        <v>16990</v>
      </c>
      <c r="L321" s="467">
        <v>3772</v>
      </c>
      <c r="M321" s="662"/>
      <c r="N321" s="662"/>
    </row>
    <row r="322" spans="1:14" s="671" customFormat="1" x14ac:dyDescent="0.2">
      <c r="A322" s="1516" t="s">
        <v>238</v>
      </c>
      <c r="B322" s="694" t="s">
        <v>284</v>
      </c>
      <c r="C322" s="467">
        <v>0</v>
      </c>
      <c r="D322" s="467">
        <v>0</v>
      </c>
      <c r="E322" s="467">
        <v>17342</v>
      </c>
      <c r="F322" s="467">
        <v>0</v>
      </c>
      <c r="G322" s="467">
        <v>0</v>
      </c>
      <c r="H322" s="467">
        <v>0</v>
      </c>
      <c r="I322" s="467">
        <v>0</v>
      </c>
      <c r="J322" s="467">
        <v>0</v>
      </c>
      <c r="K322" s="1668">
        <f t="shared" si="24"/>
        <v>17342</v>
      </c>
      <c r="L322" s="467">
        <v>19327</v>
      </c>
      <c r="M322" s="662"/>
      <c r="N322" s="662"/>
    </row>
    <row r="323" spans="1:14" s="671" customFormat="1" x14ac:dyDescent="0.2">
      <c r="A323" s="1516" t="s">
        <v>702</v>
      </c>
      <c r="B323" s="694" t="s">
        <v>285</v>
      </c>
      <c r="C323" s="467">
        <v>212901</v>
      </c>
      <c r="D323" s="467">
        <v>26337</v>
      </c>
      <c r="E323" s="467">
        <v>3000</v>
      </c>
      <c r="F323" s="467">
        <v>0</v>
      </c>
      <c r="G323" s="467">
        <v>0</v>
      </c>
      <c r="H323" s="467">
        <v>0</v>
      </c>
      <c r="I323" s="467">
        <v>0</v>
      </c>
      <c r="J323" s="467">
        <v>0</v>
      </c>
      <c r="K323" s="1668">
        <f t="shared" si="24"/>
        <v>242238</v>
      </c>
      <c r="L323" s="467">
        <v>160018</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8579</v>
      </c>
      <c r="F327" s="467">
        <v>0</v>
      </c>
      <c r="G327" s="467">
        <v>0</v>
      </c>
      <c r="H327" s="467">
        <v>0</v>
      </c>
      <c r="I327" s="467">
        <v>0</v>
      </c>
      <c r="J327" s="467">
        <v>0</v>
      </c>
      <c r="K327" s="1668">
        <f t="shared" si="24"/>
        <v>8579</v>
      </c>
      <c r="L327" s="467">
        <v>51764</v>
      </c>
      <c r="M327" s="662"/>
      <c r="N327" s="662"/>
    </row>
    <row r="328" spans="1:14" s="671" customFormat="1" x14ac:dyDescent="0.2">
      <c r="A328" s="1517" t="s">
        <v>472</v>
      </c>
      <c r="B328" s="687" t="s">
        <v>1132</v>
      </c>
      <c r="C328" s="473">
        <v>0</v>
      </c>
      <c r="D328" s="473">
        <v>0</v>
      </c>
      <c r="E328" s="473">
        <v>188436</v>
      </c>
      <c r="F328" s="473">
        <v>0</v>
      </c>
      <c r="G328" s="473">
        <v>0</v>
      </c>
      <c r="H328" s="473">
        <v>0</v>
      </c>
      <c r="I328" s="473">
        <v>0</v>
      </c>
      <c r="J328" s="473">
        <v>0</v>
      </c>
      <c r="K328" s="1696">
        <f>SUM(C328:J328)</f>
        <v>188436</v>
      </c>
      <c r="L328" s="473">
        <v>167354</v>
      </c>
      <c r="M328" s="662"/>
      <c r="N328" s="662"/>
    </row>
    <row r="329" spans="1:14" s="671" customFormat="1" x14ac:dyDescent="0.2">
      <c r="A329" s="1517" t="s">
        <v>1133</v>
      </c>
      <c r="B329" s="687" t="s">
        <v>1134</v>
      </c>
      <c r="C329" s="473">
        <v>0</v>
      </c>
      <c r="D329" s="473">
        <v>0</v>
      </c>
      <c r="E329" s="473">
        <v>26852</v>
      </c>
      <c r="F329" s="473">
        <v>0</v>
      </c>
      <c r="G329" s="473">
        <v>0</v>
      </c>
      <c r="H329" s="473">
        <v>0</v>
      </c>
      <c r="I329" s="473">
        <v>0</v>
      </c>
      <c r="J329" s="473">
        <v>0</v>
      </c>
      <c r="K329" s="1696">
        <f>SUM(C329:J329)</f>
        <v>26852</v>
      </c>
      <c r="L329" s="473">
        <v>22363</v>
      </c>
      <c r="M329" s="662"/>
      <c r="N329" s="662"/>
    </row>
    <row r="330" spans="1:14" s="671" customFormat="1" ht="12.75" customHeight="1" thickBot="1" x14ac:dyDescent="0.25">
      <c r="A330" s="1697" t="s">
        <v>717</v>
      </c>
      <c r="B330" s="1666" t="s">
        <v>569</v>
      </c>
      <c r="C330" s="1667">
        <f>SUM(C319:C329)</f>
        <v>212901</v>
      </c>
      <c r="D330" s="1667">
        <f t="shared" ref="D330:J330" si="25">SUM(D319:D329)</f>
        <v>26337</v>
      </c>
      <c r="E330" s="1667">
        <f t="shared" si="25"/>
        <v>351096</v>
      </c>
      <c r="F330" s="1667">
        <f t="shared" si="25"/>
        <v>0</v>
      </c>
      <c r="G330" s="1667">
        <f t="shared" si="25"/>
        <v>0</v>
      </c>
      <c r="H330" s="1667">
        <f t="shared" si="25"/>
        <v>0</v>
      </c>
      <c r="I330" s="1667">
        <f t="shared" si="25"/>
        <v>0</v>
      </c>
      <c r="J330" s="1667">
        <f t="shared" si="25"/>
        <v>0</v>
      </c>
      <c r="K330" s="1667">
        <f>SUM(K319:K329)</f>
        <v>590334</v>
      </c>
      <c r="L330" s="1667">
        <f>SUM(L319:L329)</f>
        <v>555194</v>
      </c>
      <c r="M330" s="662"/>
      <c r="N330" s="662"/>
    </row>
    <row r="331" spans="1:14" s="671" customFormat="1" ht="12.75" customHeight="1" thickTop="1" x14ac:dyDescent="0.2">
      <c r="A331" s="1828" t="s">
        <v>1848</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1842</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1844</v>
      </c>
      <c r="C333" s="1830"/>
      <c r="D333" s="1830"/>
      <c r="E333" s="1830"/>
      <c r="F333" s="1830"/>
      <c r="G333" s="1830"/>
      <c r="H333" s="467">
        <v>19820</v>
      </c>
      <c r="I333" s="1830"/>
      <c r="J333" s="1830"/>
      <c r="K333" s="1668">
        <f>H333</f>
        <v>19820</v>
      </c>
      <c r="L333" s="467">
        <v>0</v>
      </c>
      <c r="M333" s="662"/>
      <c r="N333" s="662"/>
    </row>
    <row r="334" spans="1:14" s="671" customFormat="1" ht="12.75" customHeight="1" thickBot="1" x14ac:dyDescent="0.25">
      <c r="A334" s="1829" t="s">
        <v>1849</v>
      </c>
      <c r="B334" s="1824" t="s">
        <v>860</v>
      </c>
      <c r="C334" s="1830"/>
      <c r="D334" s="1830"/>
      <c r="E334" s="1830"/>
      <c r="F334" s="1830"/>
      <c r="G334" s="1830"/>
      <c r="H334" s="1667">
        <f>SUM(H332:H333)</f>
        <v>19820</v>
      </c>
      <c r="I334" s="1830"/>
      <c r="J334" s="1830"/>
      <c r="K334" s="1667">
        <f>SUM(K332:K333)</f>
        <v>19820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212901</v>
      </c>
      <c r="D342" s="1667">
        <f>SUM(D330)</f>
        <v>26337</v>
      </c>
      <c r="E342" s="1667">
        <f>SUM(E330)</f>
        <v>351096</v>
      </c>
      <c r="F342" s="1667">
        <f>SUM(F330)</f>
        <v>0</v>
      </c>
      <c r="G342" s="1667">
        <f>SUM(G330)</f>
        <v>0</v>
      </c>
      <c r="H342" s="1667">
        <f>SUM(H330,H334,H340)</f>
        <v>19820</v>
      </c>
      <c r="I342" s="1667">
        <f>SUM(I330)</f>
        <v>0</v>
      </c>
      <c r="J342" s="1667">
        <f>SUM(J330)</f>
        <v>0</v>
      </c>
      <c r="K342" s="1667">
        <f>SUM(K330,K334,K340)</f>
        <v>610154</v>
      </c>
      <c r="L342" s="1674">
        <f>SUM(L330,L340,L341)</f>
        <v>555194</v>
      </c>
    </row>
    <row r="343" spans="1:14" ht="12.75" customHeight="1" thickTop="1" x14ac:dyDescent="0.2">
      <c r="A343" s="2304" t="s">
        <v>996</v>
      </c>
      <c r="B343" s="2305"/>
      <c r="C343" s="613"/>
      <c r="D343" s="613"/>
      <c r="E343" s="613"/>
      <c r="F343" s="613"/>
      <c r="G343" s="613"/>
      <c r="H343" s="613"/>
      <c r="I343" s="613"/>
      <c r="J343" s="613"/>
      <c r="K343" s="1681">
        <f>'Revenues 9-14'!J268-'Expenditures 15-22'!K342</f>
        <v>-26540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94" t="s">
        <v>966</v>
      </c>
      <c r="B345" s="2295"/>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30000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30000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30000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1850</v>
      </c>
      <c r="B354" s="680" t="s">
        <v>1842</v>
      </c>
      <c r="C354" s="613"/>
      <c r="D354" s="613"/>
      <c r="E354" s="613"/>
      <c r="F354" s="613"/>
      <c r="G354" s="613"/>
      <c r="H354" s="473">
        <v>0</v>
      </c>
      <c r="I354" s="698"/>
      <c r="J354" s="613"/>
      <c r="K354" s="1696">
        <f>H354</f>
        <v>0</v>
      </c>
      <c r="L354" s="471">
        <v>0</v>
      </c>
    </row>
    <row r="355" spans="1:14" ht="12.75" customHeight="1" x14ac:dyDescent="0.2">
      <c r="A355" s="1510" t="s">
        <v>1851</v>
      </c>
      <c r="B355" s="687" t="s">
        <v>1844</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30000</v>
      </c>
    </row>
    <row r="368" spans="1:14" ht="13.5" thickTop="1" x14ac:dyDescent="0.2">
      <c r="A368" s="2318" t="s">
        <v>996</v>
      </c>
      <c r="B368" s="2319"/>
      <c r="C368" s="651"/>
      <c r="D368" s="651"/>
      <c r="E368" s="623"/>
      <c r="F368" s="623"/>
      <c r="G368" s="623"/>
      <c r="H368" s="623"/>
      <c r="I368" s="623"/>
      <c r="J368" s="620"/>
      <c r="K368" s="1668">
        <f>'Revenues 9-14'!K268-'Expenditures 15-22'!K367</f>
        <v>39846</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purl.org/dc/elements/1.1/"/>
    <ds:schemaRef ds:uri="4d435f69-8686-490b-bd6d-b153bf22ab50"/>
    <ds:schemaRef ds:uri="http://purl.org/dc/terms/"/>
    <ds:schemaRef ds:uri="d21dc803-237d-4c68-8692-8d731fd29118"/>
    <ds:schemaRef ds:uri="http://schemas.microsoft.com/office/infopath/2007/PartnerControls"/>
    <ds:schemaRef ds:uri="http://schemas.openxmlformats.org/package/2006/metadata/core-properties"/>
    <ds:schemaRef ds:uri="http://schemas.microsoft.com/sharepoint/v3"/>
    <ds:schemaRef ds:uri="http://schemas.microsoft.com/office/2006/documentManagement/types"/>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AC32</vt:lpstr>
      <vt:lpstr>Itemization 33</vt:lpstr>
      <vt:lpstr>REF 34</vt:lpstr>
      <vt:lpstr>Shared Outsourced Services 31</vt:lpstr>
      <vt:lpstr>Opinion-Notes 35</vt:lpstr>
      <vt:lpstr>DeficitAFRSum Calc 36</vt:lpstr>
      <vt:lpstr>AUDITCHECK</vt:lpstr>
      <vt:lpstr>AFR19</vt:lpstr>
      <vt:lpstr>Single Audit Cover</vt:lpstr>
      <vt:lpstr>Single Audit Checklist</vt:lpstr>
      <vt:lpstr>SEFA Reconcile</vt:lpstr>
      <vt:lpstr>SEFA</vt:lpstr>
      <vt:lpstr>SEFA 19</vt:lpstr>
      <vt:lpstr>SEFA NOTES</vt:lpstr>
      <vt:lpstr>SF&amp;QC Sec-1</vt:lpstr>
      <vt:lpstr>SF&amp;QC Sec-2</vt:lpstr>
      <vt:lpstr>SF&amp;QC Sec-3 1 finding 2019-001</vt:lpstr>
      <vt:lpstr>SF&amp;QC Sec-3 2 Finding 2019-002</vt:lpstr>
      <vt:lpstr>SSPAF</vt:lpstr>
      <vt:lpstr>CAP 2019-001</vt:lpstr>
      <vt:lpstr>CAP 2019-002</vt:lpstr>
      <vt:lpstr>SEFA!Print_Area</vt:lpstr>
      <vt:lpstr>'SEFA 19'!Print_Area</vt:lpstr>
      <vt:lpstr>'SEFA NOTES'!Print_Area</vt:lpstr>
      <vt:lpstr>'SEFA Reconcile'!Print_Area</vt:lpstr>
      <vt:lpstr>'SF&amp;QC Sec-1'!Print_Area</vt:lpstr>
      <vt:lpstr>'SF&amp;QC Sec-3 1 finding 2019-001'!Print_Area</vt:lpstr>
      <vt:lpstr>'SF&amp;QC Sec-3 2 Finding 2019-002'!Print_Area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2019-10-16T17:27:02Z</cp:lastPrinted>
  <dcterms:created xsi:type="dcterms:W3CDTF">2003-10-29T19:06:34Z</dcterms:created>
  <dcterms:modified xsi:type="dcterms:W3CDTF">2019-12-17T18:02:42Z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