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4" r:id="rId29"/>
    <sheet name="SEFA NOTES" sheetId="183" r:id="rId30"/>
    <sheet name="SF&amp;QC Sec-1 2018" sheetId="185" r:id="rId31"/>
    <sheet name="SF&amp;QC Sec-2" sheetId="175" r:id="rId32"/>
    <sheet name="SF&amp;QC Sec-3" sheetId="176" r:id="rId33"/>
    <sheet name="CAP 2019-001" sheetId="186" r:id="rId34"/>
    <sheet name="SSPAF" sheetId="177" r:id="rId35"/>
    <sheet name="zzzSF&amp;QC Sec-1" sheetId="174" r:id="rId36"/>
  </sheets>
  <definedNames>
    <definedName name="goof" localSheetId="28">#REF!</definedName>
    <definedName name="goof" localSheetId="30">#REF!</definedName>
    <definedName name="goof">#REF!</definedName>
    <definedName name="oops" localSheetId="28">#REF!</definedName>
    <definedName name="oops" localSheetId="30">#REF!</definedName>
    <definedName name="oops">#REF!</definedName>
    <definedName name="pass" localSheetId="33">#REF!</definedName>
    <definedName name="pass">#REF!</definedName>
    <definedName name="pass1" localSheetId="33">#REF!</definedName>
    <definedName name="pass1">#REF!</definedName>
    <definedName name="pass2" localSheetId="33">#REF!</definedName>
    <definedName name="pass2">#REF!</definedName>
    <definedName name="pass3" localSheetId="33">#REF!</definedName>
    <definedName name="pass3">#REF!</definedName>
    <definedName name="pass4" localSheetId="33">#REF!</definedName>
    <definedName name="pass4">#REF!</definedName>
    <definedName name="_xlnm.Print_Area" localSheetId="27">' SEFA'!$B$1:$M$46</definedName>
    <definedName name="_xlnm.Print_Area" localSheetId="28">'SEFA 19'!$A$1:$S$119</definedName>
    <definedName name="_xlnm.Print_Area" localSheetId="29">'SEFA NOTES'!$A$1:$F$61</definedName>
    <definedName name="_xlnm.Print_Area" localSheetId="26">'SEFA Reconcile'!$A$1:$E$49</definedName>
    <definedName name="_xlnm.Print_Area" localSheetId="30">'SF&amp;QC Sec-1 2018'!$A$1:$J$63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Area" localSheetId="35">'zzzSF&amp;QC Sec-1'!$A$1:$J$63</definedName>
    <definedName name="Print_Area_MI" localSheetId="28">'SEFA 19'!$B$14:$S$77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19'!$A:$B,'SEFA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4">#REF!</definedName>
    <definedName name="SCHADDRS" localSheetId="35">#REF!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4">#REF!</definedName>
    <definedName name="SCHCTY" localSheetId="35">#REF!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4">#REF!</definedName>
    <definedName name="SCHNMBR" localSheetId="35">#REF!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4">#REF!</definedName>
    <definedName name="SCHNME" localSheetId="35">#REF!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1" i="8" l="1"/>
  <c r="J34" i="8"/>
  <c r="J32" i="8"/>
  <c r="J35" i="8"/>
  <c r="M59" i="184" l="1"/>
  <c r="K59" i="184"/>
  <c r="I59" i="184"/>
  <c r="G59" i="184"/>
  <c r="G43" i="185" l="1"/>
  <c r="D47" i="185" s="1"/>
  <c r="O100" i="184" l="1"/>
  <c r="O102" i="184" s="1"/>
  <c r="O110" i="184" s="1"/>
  <c r="M100" i="184"/>
  <c r="K100" i="184"/>
  <c r="I100" i="184"/>
  <c r="G100" i="184"/>
  <c r="Q99" i="184"/>
  <c r="Q98" i="184"/>
  <c r="M93" i="184"/>
  <c r="M102" i="184" s="1"/>
  <c r="K93" i="184"/>
  <c r="K102" i="184" s="1"/>
  <c r="I93" i="184"/>
  <c r="G93" i="184"/>
  <c r="Q92" i="184"/>
  <c r="Q91" i="184"/>
  <c r="Q84" i="184"/>
  <c r="M77" i="184"/>
  <c r="K77" i="184"/>
  <c r="I77" i="184"/>
  <c r="G77" i="184"/>
  <c r="Q76" i="184"/>
  <c r="Q75" i="184"/>
  <c r="Q71" i="184"/>
  <c r="Q70" i="184"/>
  <c r="O66" i="184"/>
  <c r="M66" i="184"/>
  <c r="M110" i="184" s="1"/>
  <c r="K66" i="184"/>
  <c r="I66" i="184"/>
  <c r="G66" i="184"/>
  <c r="Q65" i="184"/>
  <c r="Q64" i="184"/>
  <c r="Q58" i="184"/>
  <c r="Q57" i="184"/>
  <c r="Q54" i="184"/>
  <c r="Q53" i="184"/>
  <c r="O52" i="184"/>
  <c r="M52" i="184"/>
  <c r="K52" i="184"/>
  <c r="I52" i="184"/>
  <c r="G52" i="184"/>
  <c r="Q51" i="184"/>
  <c r="Q50" i="184"/>
  <c r="O48" i="184"/>
  <c r="O60" i="184" s="1"/>
  <c r="O86" i="184" s="1"/>
  <c r="M48" i="184"/>
  <c r="K48" i="184"/>
  <c r="I48" i="184"/>
  <c r="G48" i="184"/>
  <c r="Q47" i="184"/>
  <c r="Q45" i="184"/>
  <c r="Q44" i="184"/>
  <c r="O36" i="184"/>
  <c r="O38" i="184" s="1"/>
  <c r="M36" i="184"/>
  <c r="K36" i="184"/>
  <c r="I36" i="184"/>
  <c r="G36" i="184"/>
  <c r="Q35" i="184"/>
  <c r="Q33" i="184"/>
  <c r="Q27" i="184"/>
  <c r="Q26" i="184"/>
  <c r="Q24" i="184"/>
  <c r="Q23" i="184"/>
  <c r="Q21" i="184"/>
  <c r="Q20" i="184"/>
  <c r="M18" i="184"/>
  <c r="K18" i="184"/>
  <c r="I18" i="184"/>
  <c r="G18" i="184"/>
  <c r="G38" i="184" s="1"/>
  <c r="Q16" i="184"/>
  <c r="M9" i="184"/>
  <c r="K9" i="184"/>
  <c r="M8" i="184"/>
  <c r="K8" i="184"/>
  <c r="Q48" i="184" l="1"/>
  <c r="G60" i="184"/>
  <c r="G86" i="184" s="1"/>
  <c r="G104" i="184" s="1"/>
  <c r="I60" i="184"/>
  <c r="K60" i="184"/>
  <c r="K86" i="184" s="1"/>
  <c r="I102" i="184"/>
  <c r="Q66" i="184"/>
  <c r="Q59" i="184"/>
  <c r="I86" i="184"/>
  <c r="Q100" i="184"/>
  <c r="O108" i="184"/>
  <c r="O112" i="184" s="1"/>
  <c r="Q52" i="184"/>
  <c r="Q60" i="184" s="1"/>
  <c r="Q86" i="184" s="1"/>
  <c r="K110" i="184"/>
  <c r="K38" i="184"/>
  <c r="K108" i="184" s="1"/>
  <c r="K112" i="184" s="1"/>
  <c r="Q18" i="184"/>
  <c r="I110" i="184"/>
  <c r="G102" i="184"/>
  <c r="G110" i="184" s="1"/>
  <c r="I38" i="184"/>
  <c r="M60" i="184"/>
  <c r="M86" i="184" s="1"/>
  <c r="M38" i="184"/>
  <c r="Q36" i="184"/>
  <c r="Q77" i="184"/>
  <c r="Q93" i="184"/>
  <c r="Q102" i="184" s="1"/>
  <c r="G108" i="184"/>
  <c r="O104" i="184"/>
  <c r="E34" i="183"/>
  <c r="I104" i="184" l="1"/>
  <c r="M104" i="184"/>
  <c r="K104" i="184"/>
  <c r="I108" i="184"/>
  <c r="I112" i="184" s="1"/>
  <c r="Q110" i="184"/>
  <c r="M108" i="184"/>
  <c r="M112" i="184" s="1"/>
  <c r="G112" i="184"/>
  <c r="Q38" i="184"/>
  <c r="Q108" i="184" s="1"/>
  <c r="Q112" i="184" s="1"/>
  <c r="Q104"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J36" i="8" s="1"/>
  <c r="J49" i="8" s="1"/>
  <c r="B4172" i="106" s="1"/>
  <c r="D4172" i="106"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F50" i="34" l="1"/>
  <c r="F46" i="34"/>
  <c r="G33" i="108"/>
  <c r="F64" i="34"/>
  <c r="F42" i="34"/>
  <c r="F69" i="34"/>
  <c r="H28" i="118"/>
  <c r="D24" i="37"/>
  <c r="B4270" i="106" s="1"/>
  <c r="D4270" i="106" s="1"/>
  <c r="L5" i="11"/>
  <c r="B2056" i="106" s="1"/>
  <c r="D2056" i="106" s="1"/>
  <c r="L15" i="11"/>
  <c r="B3459" i="106" s="1"/>
  <c r="D3459" i="106" s="1"/>
  <c r="B6289" i="106"/>
  <c r="D6289" i="106" s="1"/>
  <c r="E30" i="108"/>
  <c r="B6995" i="106"/>
  <c r="D6995" i="106" s="1"/>
  <c r="G30" i="108"/>
  <c r="B7074" i="106"/>
  <c r="D7074" i="106" s="1"/>
  <c r="H76" i="4"/>
  <c r="B3298" i="106" s="1"/>
  <c r="D3298" i="106" s="1"/>
  <c r="J210" i="29"/>
  <c r="B7072" i="106" s="1"/>
  <c r="D7072" i="106" s="1"/>
  <c r="B2724" i="106"/>
  <c r="D2724" i="106" s="1"/>
  <c r="I210" i="29"/>
  <c r="B7071" i="106" s="1"/>
  <c r="D7071" i="106" s="1"/>
  <c r="F36" i="34"/>
  <c r="F36" i="108"/>
  <c r="H112" i="29"/>
  <c r="B7018" i="106" s="1"/>
  <c r="D7018" i="106" s="1"/>
  <c r="F49" i="34"/>
  <c r="F71"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2" i="106" l="1"/>
  <c r="D7255" i="106"/>
  <c r="D7251" i="106"/>
  <c r="D7254" i="106"/>
  <c r="B1328" i="106"/>
  <c r="D1328" i="106" s="1"/>
  <c r="D7256" i="106"/>
  <c r="H77" i="4"/>
  <c r="B3299" i="106" s="1"/>
  <c r="D3299" i="106" s="1"/>
  <c r="J16" i="4"/>
  <c r="B6226" i="106" s="1"/>
  <c r="D6226" i="106" s="1"/>
  <c r="F66" i="34"/>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16" i="4"/>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5" i="171" l="1"/>
  <c r="D47" i="171" s="1"/>
  <c r="D49" i="171" s="1"/>
  <c r="D8" i="146"/>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F8" i="146"/>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E78" i="4"/>
  <c r="B2636" i="106"/>
  <c r="D2636" i="106" s="1"/>
  <c r="J82" i="4"/>
  <c r="B6266" i="106"/>
  <c r="D6266" i="106" s="1"/>
  <c r="F10" i="146" l="1"/>
  <c r="B3239" i="106"/>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80" i="106" l="1"/>
  <c r="D280" i="106" s="1"/>
  <c r="M41" i="3"/>
  <c r="B281" i="106" l="1"/>
  <c r="D281" i="106" s="1"/>
  <c r="D54" i="36"/>
  <c r="B2912" i="106" l="1"/>
  <c r="D2912" i="106" s="1"/>
  <c r="D63" i="36"/>
  <c r="I41" i="3"/>
  <c r="B6215" i="106"/>
  <c r="D6215" i="106" s="1"/>
  <c r="J41" i="3"/>
  <c r="D64" i="36"/>
  <c r="B140" i="106"/>
  <c r="D140" i="106" s="1"/>
  <c r="E41" i="3"/>
  <c r="D59" i="36"/>
  <c r="B141" i="106" l="1"/>
  <c r="D141" i="106" s="1"/>
  <c r="D46" i="36"/>
  <c r="B6216" i="106"/>
  <c r="D6216" i="106" s="1"/>
  <c r="D51" i="36"/>
  <c r="D50" i="36"/>
  <c r="B2913" i="106"/>
  <c r="D2913" i="106" s="1"/>
  <c r="B282" i="106" l="1"/>
  <c r="D282" i="106" s="1"/>
  <c r="N23" i="3"/>
  <c r="B123" i="106"/>
  <c r="D123" i="106" s="1"/>
  <c r="D41" i="3"/>
  <c r="D58" i="36"/>
  <c r="B3567" i="106"/>
  <c r="D3567" i="106" s="1"/>
  <c r="K41" i="3"/>
  <c r="D65" i="36"/>
  <c r="B3568" i="106" l="1"/>
  <c r="D3568" i="106" s="1"/>
  <c r="D52" i="36"/>
  <c r="B124" i="106"/>
  <c r="D124" i="106" s="1"/>
  <c r="D45" i="36"/>
  <c r="B284" i="106"/>
  <c r="D284" i="106" s="1"/>
  <c r="D55" i="36"/>
  <c r="B170" i="106"/>
  <c r="D170" i="106" s="1"/>
  <c r="F41" i="3"/>
  <c r="D60" i="36"/>
  <c r="D47" i="36" l="1"/>
  <c r="B171" i="106"/>
  <c r="D171" i="106" s="1"/>
  <c r="B189" i="106" l="1"/>
  <c r="D189" i="106" s="1"/>
  <c r="G41" i="3"/>
  <c r="D61" i="36"/>
  <c r="B212" i="106" l="1"/>
  <c r="D212" i="106" s="1"/>
  <c r="D62" i="36"/>
  <c r="H41" i="3"/>
  <c r="D48" i="36"/>
  <c r="B190" i="106"/>
  <c r="D190" i="106" s="1"/>
  <c r="D57" i="36" l="1"/>
  <c r="C41" i="3"/>
  <c r="B92" i="106"/>
  <c r="D92" i="106" s="1"/>
  <c r="D76" i="36"/>
  <c r="D49" i="36"/>
  <c r="B213" i="106"/>
  <c r="D213" i="106" s="1"/>
  <c r="B93" i="106" l="1"/>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<sst xmlns="http://schemas.openxmlformats.org/spreadsheetml/2006/main" count="5469" uniqueCount="2291">
  <si>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</si>
  <si>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</si>
  <si>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</si>
  <si>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</si>
  <si>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</si>
  <si>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</si>
  <si>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</si>
  <si>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</si>
  <si>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</si>
  <si>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</si>
  <si>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</si>
  <si>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</si>
  <si>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</si>
  <si>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</si>
  <si>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</si>
  <si>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</si>
  <si>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</si>
  <si>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</si>
  <si>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</si>
  <si>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</si>
  <si>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</si>
  <si>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</si>
  <si>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</si>
  <si>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</si>
  <si>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</si>
  <si>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</si>
  <si>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</si>
  <si>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</si>
  <si>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</si>
  <si>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</si>
  <si>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</si>
  <si>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</si>
  <si>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</si>
  <si>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</si>
  <si>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</si>
  <si>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</si>
  <si>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</si>
  <si>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</si>
  <si>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</si>
  <si>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</si>
  <si>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</si>
  <si>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</si>
  <si>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</si>
  <si>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</si>
  <si>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</si>
  <si>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</si>
  <si>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</si>
  <si>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</si>
  <si>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</si>
  <si>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</si>
  <si>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</si>
  <si>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</si>
  <si>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</si>
  <si>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</si>
  <si>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</si>
  <si>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</si>
  <si>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</si>
  <si>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</si>
  <si>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</si>
  <si>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</si>
  <si>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</si>
  <si>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</si>
  <si>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</si>
  <si>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</si>
  <si>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</si>
  <si>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</si>
  <si>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</si>
  <si>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</si>
  <si>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</si>
  <si>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</si>
  <si>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</si>
  <si>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</si>
  <si>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</si>
  <si>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</si>
  <si>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</si>
  <si>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</si>
  <si>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</si>
  <si>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</si>
  <si>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</si>
  <si>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</si>
  <si>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</si>
  <si>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</si>
  <si>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</si>
  <si>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</si>
  <si>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</si>
  <si>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</si>
  <si>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</si>
  <si>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</si>
  <si>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</si>
  <si>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</si>
  <si>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</si>
  <si>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</si>
  <si>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</si>
  <si>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</si>
  <si>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</si>
  <si>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</si>
  <si>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</si>
  <si>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</si>
  <si>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</si>
  <si>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</si>
  <si>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</si>
  <si>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</si>
  <si>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</si>
  <si>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</si>
  <si>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</si>
  <si>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</si>
  <si>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</si>
  <si>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</si>
  <si>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</si>
  <si>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</si>
  <si>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</si>
  <si>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</si>
  <si>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</si>
  <si>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</si>
  <si>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</si>
  <si>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</si>
  <si>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</si>
  <si>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</si>
  <si>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</si>
  <si>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</si>
  <si>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</si>
  <si>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</si>
  <si>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</si>
  <si>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</si>
  <si>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</si>
  <si>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</si>
  <si>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</si>
  <si>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</si>
  <si>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</si>
  <si>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</si>
  <si>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</si>
  <si>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</si>
  <si>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</si>
  <si>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</si>
  <si>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</si>
  <si>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</si>
  <si>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</si>
  <si>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</si>
  <si>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</si>
  <si>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</si>
  <si>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</si>
  <si>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</si>
  <si>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</si>
  <si>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</si>
  <si>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</si>
  <si>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</si>
  <si>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</si>
  <si>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</si>
  <si>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</si>
  <si>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</si>
  <si>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</si>
  <si>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</si>
  <si>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</si>
  <si>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</si>
  <si>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</si>
  <si>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</si>
  <si>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</si>
  <si>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</si>
  <si>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</si>
  <si>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</si>
  <si>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</si>
  <si>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</si>
  <si>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</si>
  <si>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</si>
  <si>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</si>
  <si>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</si>
  <si>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</si>
  <si>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</si>
  <si>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</si>
  <si>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</si>
  <si>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</si>
  <si>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</si>
  <si>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</si>
  <si>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</si>
  <si>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</si>
  <si>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</si>
  <si>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</si>
  <si>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</si>
  <si>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</si>
  <si>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</si>
  <si>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</si>
  <si>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</si>
  <si>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</si>
  <si>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</si>
  <si>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</si>
  <si>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</si>
  <si>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</si>
  <si>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</si>
  <si>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</si>
  <si>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</si>
  <si>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</si>
  <si>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</si>
  <si>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</si>
  <si>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</si>
  <si>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</si>
  <si>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</si>
  <si>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</si>
  <si>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</si>
  <si>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</si>
  <si>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</si>
  <si>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</si>
  <si>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</si>
  <si>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</si>
  <si>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</si>
  <si>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</si>
  <si>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</si>
  <si>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</si>
  <si>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</si>
  <si>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</si>
  <si>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</si>
  <si>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</si>
  <si>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</si>
  <si>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</si>
  <si>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</si>
  <si>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</si>
  <si>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</si>
  <si>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</si>
  <si>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</si>
  <si>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</si>
  <si>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</si>
  <si>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</si>
  <si>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</si>
  <si>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</si>
  <si>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</si>
  <si>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</si>
  <si>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</si>
  <si>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</si>
  <si>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</si>
  <si>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</si>
  <si>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</si>
  <si>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</si>
  <si>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</si>
  <si>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</si>
  <si>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</si>
  <si>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</si>
  <si>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</si>
  <si>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</si>
  <si>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</si>
  <si>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</si>
  <si>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</si>
  <si>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</si>
  <si>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</si>
  <si>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</si>
  <si>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</si>
  <si>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</si>
  <si>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</si>
  <si>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</si>
  <si>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</si>
  <si>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</si>
  <si>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</si>
  <si>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</si>
  <si>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</si>
  <si>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</si>
  <si>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</si>
  <si>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</si>
  <si>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</si>
  <si>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</si>
  <si>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</si>
  <si>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</si>
  <si>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</si>
  <si>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</si>
  <si>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</si>
  <si>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</si>
  <si>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</si>
  <si>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</si>
  <si>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</si>
  <si>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</si>
  <si>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</si>
  <si>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</si>
  <si>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</si>
  <si>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</si>
  <si>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</si>
  <si>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</si>
  <si>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</si>
  <si>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</si>
  <si>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</si>
  <si>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</si>
  <si>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</si>
  <si>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</si>
  <si>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</si>
  <si>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</si>
  <si>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</si>
  <si>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</si>
  <si>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</si>
  <si>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</si>
  <si>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</si>
  <si>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</si>
  <si>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</si>
  <si>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</si>
  <si>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</si>
  <si>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</si>
  <si>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</si>
  <si>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</si>
  <si>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</si>
  <si>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</si>
  <si>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</si>
  <si>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</si>
  <si>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</si>
  <si>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</si>
  <si>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</si>
  <si>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</si>
  <si>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</si>
  <si>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</si>
  <si>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</si>
  <si>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</si>
  <si>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</si>
  <si>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</si>
  <si>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</si>
  <si>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</si>
  <si>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</si>
  <si>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</si>
  <si>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</si>
  <si>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</si>
  <si>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</si>
  <si>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</si>
  <si>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</si>
  <si>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</si>
  <si>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</si>
  <si>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</si>
  <si>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</si>
  <si>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</si>
  <si>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</si>
  <si>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</si>
  <si>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</si>
  <si>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</si>
  <si>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</si>
  <si>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</si>
  <si>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</si>
  <si>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</si>
  <si>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</si>
  <si>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</si>
  <si>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</si>
  <si>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</si>
  <si>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</si>
  <si>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</si>
  <si>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</si>
  <si>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</si>
  <si>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</si>
  <si>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</si>
  <si>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</si>
  <si>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</si>
  <si>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</si>
  <si>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</si>
  <si>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</si>
  <si>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</si>
  <si>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</si>
  <si>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</si>
  <si>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</si>
  <si>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</si>
  <si>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</si>
  <si>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</si>
  <si>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</si>
  <si>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</si>
  <si>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</si>
  <si>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</si>
  <si>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</si>
  <si>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</si>
  <si>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</si>
  <si>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</si>
  <si>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</si>
  <si>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</si>
  <si>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</si>
  <si>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</si>
  <si>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</si>
  <si>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</si>
  <si>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</si>
  <si>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</si>
  <si>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</si>
  <si>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</si>
  <si>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</si>
  <si>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</si>
  <si>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</si>
  <si>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</si>
  <si>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</si>
  <si>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</si>
  <si>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</si>
  <si>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</si>
  <si>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</si>
  <si>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</si>
  <si>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</si>
  <si>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</si>
  <si>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</si>
  <si>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</si>
  <si>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</si>
  <si>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</si>
  <si>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</si>
  <si>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</si>
  <si>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</si>
  <si>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</si>
  <si>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</si>
  <si>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</si>
  <si>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</si>
  <si>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</si>
  <si>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</si>
  <si>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</si>
  <si>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</si>
  <si>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</si>
  <si>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</si>
  <si>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</si>
  <si>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</si>
  <si>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</si>
  <si>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</si>
  <si>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</si>
  <si>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</si>
  <si>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</si>
  <si>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</si>
  <si>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</si>
  <si>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</si>
  <si>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</si>
  <si>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</si>
  <si>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</si>
  <si>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</si>
  <si>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</si>
  <si>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</si>
  <si>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</si>
  <si>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</si>
  <si>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</si>
  <si>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</si>
  <si>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</si>
  <si>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</si>
  <si>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</si>
  <si>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</si>
  <si>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</si>
  <si>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</si>
  <si>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</si>
  <si>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</si>
  <si>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</si>
  <si>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</si>
  <si>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</si>
  <si>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</si>
  <si>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</si>
  <si>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</si>
  <si>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</si>
  <si>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</si>
  <si>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</si>
  <si>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</si>
  <si>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</si>
  <si>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</si>
  <si>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</si>
  <si>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</si>
  <si>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</si>
  <si>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</si>
  <si>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</si>
  <si>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</si>
  <si>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</si>
  <si>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</si>
  <si>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</si>
  <si>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</si>
  <si>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</si>
  <si>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</si>
  <si>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</si>
  <si>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</si>
  <si>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</si>
  <si>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</si>
  <si>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</si>
  <si>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</si>
  <si>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</si>
  <si>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</si>
  <si>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</si>
  <si>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</si>
  <si>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</si>
  <si>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</si>
  <si>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</si>
  <si>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</si>
  <si>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</si>
  <si>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</si>
  <si>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</si>
  <si>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</si>
  <si>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</si>
  <si>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</si>
  <si>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</si>
  <si>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</si>
  <si>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</si>
  <si>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</si>
  <si>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</si>
  <si>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</si>
  <si>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</si>
  <si>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</si>
  <si>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</si>
  <si>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</si>
  <si>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</si>
  <si>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</si>
  <si>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</si>
  <si>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</si>
  <si>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</si>
  <si>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</si>
  <si>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</si>
  <si>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</si>
  <si>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</si>
  <si>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</si>
  <si>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</si>
  <si>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</si>
  <si>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</si>
  <si>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</si>
  <si>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</si>
  <si>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</si>
  <si>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</si>
  <si>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</si>
  <si>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</si>
  <si>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</si>
  <si>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</si>
  <si>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</si>
  <si>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</si>
  <si>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</si>
  <si>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</si>
  <si>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</si>
  <si>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</si>
  <si>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</si>
  <si>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</si>
  <si>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</si>
  <si>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</si>
  <si>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</si>
  <si>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</si>
  <si>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</si>
  <si>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</si>
  <si>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</si>
  <si>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</si>
  <si>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</si>
  <si>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</si>
  <si>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</si>
  <si>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</si>
  <si>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</si>
  <si>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</si>
  <si>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</si>
  <si>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</si>
  <si>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</si>
  <si>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</si>
  <si>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</si>
  <si>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</si>
  <si>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</si>
  <si>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</si>
  <si>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</si>
  <si>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</si>
  <si>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</si>
  <si>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</si>
  <si>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</si>
  <si>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</si>
  <si>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</si>
  <si>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</si>
  <si>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</si>
  <si>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</si>
  <si>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</si>
  <si>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</si>
  <si>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</si>
  <si>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</si>
  <si>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</si>
  <si>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</si>
  <si>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</si>
  <si>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</si>
  <si>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</si>
  <si>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</si>
  <si>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</si>
  <si>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</si>
  <si>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</si>
  <si>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</si>
  <si>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</si>
  <si>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</si>
  <si>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</si>
  <si>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</si>
  <si>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</si>
  <si>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</si>
  <si>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</si>
  <si>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</si>
  <si>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</si>
  <si>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</si>
  <si>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</si>
  <si>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</si>
  <si>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</si>
  <si>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</si>
  <si>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</si>
  <si>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</si>
  <si>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</si>
  <si>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</si>
  <si>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</si>
  <si>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</si>
  <si>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</si>
  <si>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</si>
  <si>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</si>
  <si>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</si>
  <si>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</si>
  <si>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</si>
  <si>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</si>
  <si>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</si>
  <si>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</si>
  <si>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</si>
  <si>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</si>
  <si>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</si>
  <si>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</si>
  <si>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</si>
  <si>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</si>
  <si>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</si>
  <si>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</si>
  <si>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</si>
  <si>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</si>
  <si>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</si>
  <si>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</si>
  <si>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</si>
  <si>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</si>
  <si>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</si>
  <si>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</si>
  <si>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</si>
  <si>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</si>
  <si>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</si>
  <si>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</si>
  <si>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</si>
  <si>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</si>
  <si>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</si>
  <si>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</si>
  <si>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</si>
  <si>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</si>
  <si>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</si>
  <si>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</si>
  <si>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</si>
  <si>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</si>
  <si>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</si>
  <si>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</si>
  <si>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</si>
  <si>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</si>
  <si>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</si>
  <si>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</si>
  <si>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</si>
  <si>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</si>
  <si>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</si>
  <si>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</si>
  <si>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</si>
  <si>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</si>
  <si>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</si>
  <si>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</si>
  <si>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</si>
  <si>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</si>
  <si>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</si>
  <si>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</si>
  <si>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</si>
  <si>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</si>
  <si>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</si>
  <si>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</si>
  <si>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</si>
  <si>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</si>
  <si>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</si>
  <si>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</si>
  <si>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</si>
  <si>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</si>
  <si>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</si>
  <si>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</si>
  <si>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</si>
  <si>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</si>
  <si>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</si>
  <si>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</si>
  <si>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</si>
  <si>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</si>
  <si>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</si>
  <si>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</si>
  <si>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</si>
  <si>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</si>
  <si>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</si>
  <si>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</si>
  <si>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</si>
  <si>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</si>
  <si>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</si>
  <si>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</si>
  <si>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</si>
  <si>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</si>
  <si>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</si>
  <si>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</si>
  <si>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</si>
  <si>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</si>
  <si>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</si>
  <si>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</si>
  <si>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</si>
  <si>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</si>
  <si>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</si>
  <si>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</si>
  <si>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</si>
  <si>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</si>
  <si>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</si>
  <si>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</si>
  <si>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</si>
  <si>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</si>
  <si>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</si>
  <si>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</si>
  <si>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</si>
  <si>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</si>
  <si>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</si>
  <si>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</si>
  <si>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</si>
  <si>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</si>
  <si>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</si>
  <si>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</si>
  <si>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</si>
  <si>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</si>
  <si>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</si>
  <si>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</si>
  <si>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</si>
  <si>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</si>
  <si>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</si>
  <si>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</si>
  <si>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</si>
  <si>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</si>
  <si>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</si>
  <si>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</si>
  <si>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</si>
  <si>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</si>
  <si>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</si>
  <si>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</si>
  <si>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</si>
  <si>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</si>
  <si>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</si>
  <si>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</si>
  <si>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</si>
  <si>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</si>
  <si>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</si>
  <si>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</si>
  <si>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</si>
  <si>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</si>
  <si>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</si>
  <si>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</si>
  <si>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</si>
  <si>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</si>
  <si>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</si>
  <si>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</si>
  <si>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</si>
  <si>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</si>
  <si>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</si>
  <si>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</si>
  <si>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</si>
  <si>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</si>
  <si>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</si>
  <si>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</si>
  <si>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</si>
  <si>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</si>
  <si>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</si>
  <si>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</si>
  <si>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</si>
  <si>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</si>
  <si>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</si>
  <si>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</si>
  <si>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</si>
  <si>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</si>
  <si>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</si>
  <si>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</si>
  <si>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</si>
  <si>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</si>
  <si>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</si>
  <si>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</si>
  <si>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</si>
  <si>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</si>
  <si>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</si>
  <si>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</si>
  <si>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</si>
  <si>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</si>
  <si>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</si>
  <si>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</si>
  <si>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</si>
  <si>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</si>
  <si>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</si>
  <si>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</si>
  <si>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</si>
  <si>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</si>
  <si>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</si>
  <si>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</si>
  <si>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</si>
  <si>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</si>
  <si>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</si>
  <si>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</si>
  <si>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</si>
  <si>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</si>
  <si>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</si>
  <si>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</si>
  <si>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</si>
  <si>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</si>
  <si>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</si>
  <si>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</si>
  <si>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</si>
  <si>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</si>
  <si>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</si>
  <si>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</si>
  <si>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</si>
  <si>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</si>
  <si>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</si>
  <si>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</si>
  <si>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</si>
  <si>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</si>
  <si>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</si>
  <si>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</si>
  <si>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</si>
  <si>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</si>
  <si>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</si>
  <si>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</si>
  <si>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</si>
  <si>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</si>
  <si>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</si>
  <si>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</si>
  <si>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</si>
  <si>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</si>
  <si>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</si>
  <si>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</si>
  <si>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</si>
  <si>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</si>
  <si>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</si>
  <si>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</si>
  <si>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</si>
  <si>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</si>
  <si>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</si>
  <si>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</si>
  <si>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</si>
  <si>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</si>
  <si>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</si>
  <si>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</si>
  <si>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</si>
  <si>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</si>
  <si>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</si>
  <si>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</si>
  <si>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</si>
  <si>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</si>
  <si>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</si>
  <si>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</si>
  <si>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</si>
  <si>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</si>
  <si>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</si>
  <si>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</si>
  <si>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</si>
  <si>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</si>
  <si>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</si>
  <si>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</si>
  <si>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</si>
  <si>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</si>
  <si>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</si>
  <si>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</si>
  <si>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</si>
  <si>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</si>
  <si>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</si>
  <si>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</si>
  <si>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</si>
  <si>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</si>
  <si>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</si>
  <si>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</si>
  <si>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</si>
  <si>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</si>
  <si>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</si>
  <si>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</si>
  <si>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</si>
  <si>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</si>
  <si>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</si>
  <si>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</si>
  <si>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</si>
  <si>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</si>
  <si>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</si>
  <si>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</si>
  <si>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</si>
  <si>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</si>
  <si>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</si>
  <si>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</si>
  <si>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</si>
  <si>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</si>
  <si>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</si>
  <si>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</si>
  <si>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</si>
  <si>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</si>
  <si>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</si>
  <si>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</si>
  <si>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</si>
  <si>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</si>
  <si>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</si>
  <si>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</si>
  <si>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</si>
  <si>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</si>
  <si>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</si>
  <si>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</si>
  <si>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</si>
  <si>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</si>
  <si>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</si>
  <si>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</si>
  <si>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</si>
  <si>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</si>
  <si>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</si>
  <si>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</si>
  <si>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</si>
  <si>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</si>
  <si>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</si>
  <si>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</si>
  <si>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</si>
  <si>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</si>
  <si>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</si>
  <si>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</si>
  <si>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</si>
  <si>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</si>
  <si>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</si>
  <si>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</si>
  <si>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</si>
  <si>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</si>
  <si>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</si>
  <si>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</si>
  <si>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</si>
  <si>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</si>
  <si>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</si>
  <si>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</si>
  <si>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</si>
  <si>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</si>
  <si>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</si>
  <si>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</si>
  <si>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</si>
  <si>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</si>
  <si>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</si>
  <si>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</si>
  <si>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</si>
  <si>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</si>
  <si>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</si>
  <si>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</si>
  <si>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</si>
  <si>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</si>
  <si>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</si>
  <si>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</si>
  <si>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</si>
  <si>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</si>
  <si>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</si>
  <si>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</si>
  <si>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</si>
  <si>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</si>
  <si>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</si>
  <si>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</si>
  <si>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</si>
  <si>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</si>
  <si>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</si>
  <si>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</si>
  <si>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</si>
  <si>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</si>
  <si>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</si>
  <si>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</si>
  <si>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</si>
  <si>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</si>
  <si>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</si>
  <si>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</si>
  <si>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</si>
  <si>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</si>
  <si>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</si>
  <si>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</si>
  <si>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</si>
  <si>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</si>
  <si>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</si>
  <si>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</si>
  <si>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</si>
  <si>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</si>
  <si>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</si>
  <si>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</si>
  <si>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</si>
  <si>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</si>
  <si>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</si>
  <si>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</si>
  <si>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</si>
  <si>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</si>
  <si>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</si>
  <si>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</si>
  <si>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</si>
  <si>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</si>
  <si>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</si>
  <si>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</si>
  <si>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</si>
  <si>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</si>
  <si>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</si>
  <si>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</si>
  <si>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</si>
  <si>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</si>
  <si>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</si>
  <si>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</si>
  <si>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</si>
  <si>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</si>
  <si>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</si>
  <si>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</si>
  <si>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</si>
  <si>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</si>
  <si>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</si>
  <si>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</si>
  <si>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</si>
  <si>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</si>
  <si>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</si>
  <si>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</si>
  <si>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</si>
  <si>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</si>
  <si>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</si>
  <si>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</si>
  <si>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</si>
  <si>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</si>
  <si>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</si>
  <si>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</si>
  <si>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</si>
  <si>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</si>
  <si>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</si>
  <si>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</si>
  <si>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</si>
  <si>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</si>
  <si>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</si>
  <si>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</si>
  <si>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</si>
  <si>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</si>
  <si>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</si>
  <si>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</si>
  <si>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</si>
  <si>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</si>
  <si>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</si>
  <si>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</si>
  <si>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</si>
  <si>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</si>
  <si>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</si>
  <si>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</si>
  <si>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</si>
  <si>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</si>
  <si>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</si>
  <si>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</si>
  <si>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</si>
  <si>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</si>
  <si>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</si>
  <si>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</si>
  <si>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</si>
  <si>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</si>
  <si>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</si>
  <si>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</si>
  <si>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</si>
  <si>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</si>
  <si>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</si>
  <si>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</si>
  <si>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</si>
  <si>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</si>
  <si>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</si>
  <si>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</si>
  <si>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</si>
  <si>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</si>
  <si>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</si>
  <si>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</si>
  <si>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</si>
  <si>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</si>
  <si>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</si>
  <si>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</si>
  <si>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</si>
  <si>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</si>
  <si>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</si>
  <si>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</si>
  <si>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</si>
  <si>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</si>
  <si>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</si>
  <si>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</si>
  <si>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</si>
  <si>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</si>
  <si>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</si>
  <si>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</si>
  <si>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</si>
  <si>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</si>
  <si>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</si>
  <si>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</si>
  <si>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</si>
  <si>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</si>
  <si>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</si>
  <si>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</si>
  <si>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</si>
  <si>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</si>
  <si>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</si>
  <si>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</si>
  <si>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</si>
  <si>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</si>
  <si>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</si>
  <si>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</si>
  <si>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</si>
  <si>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</si>
  <si>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</si>
  <si>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</si>
  <si>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</si>
  <si>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</si>
  <si>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</si>
  <si>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</si>
  <si>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</si>
  <si>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</si>
  <si>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</si>
  <si>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</si>
  <si>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</si>
  <si>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</si>
  <si>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</si>
  <si>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</si>
  <si>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</si>
  <si>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</si>
  <si>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</si>
  <si>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</si>
  <si>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</si>
  <si>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</si>
  <si>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</si>
  <si>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</si>
  <si>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</si>
  <si>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</si>
  <si>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</si>
  <si>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</si>
  <si>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</si>
  <si>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</si>
  <si>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</si>
  <si>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</si>
  <si>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</si>
  <si>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</si>
  <si>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</si>
  <si>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</si>
  <si>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</si>
  <si>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</si>
  <si>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</si>
  <si>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</si>
  <si>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</si>
  <si>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</si>
  <si>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</si>
  <si>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</si>
  <si>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</si>
  <si>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</si>
  <si>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</si>
  <si>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</si>
  <si>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</si>
  <si>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</si>
  <si>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</si>
  <si>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</si>
  <si>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</si>
  <si>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</si>
  <si>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</si>
  <si>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</si>
  <si>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</si>
  <si>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</si>
  <si>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</si>
  <si>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</si>
  <si>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</si>
  <si>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</si>
  <si>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</si>
  <si>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</si>
  <si>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</si>
  <si>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</si>
  <si>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</si>
  <si>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</si>
  <si>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</si>
  <si>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</si>
  <si>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</si>
  <si>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</si>
  <si>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</si>
  <si>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</si>
  <si>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</si>
  <si>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</si>
  <si>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</si>
  <si>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</si>
  <si>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</si>
  <si>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</si>
  <si>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</si>
  <si>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</si>
  <si>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</si>
  <si>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</si>
  <si>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</si>
  <si>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</si>
  <si>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</si>
  <si>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</si>
  <si>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</si>
  <si>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</si>
  <si>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</si>
  <si>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</si>
  <si>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</si>
  <si>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</si>
  <si>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</si>
  <si>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</si>
  <si>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</si>
  <si>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</si>
  <si>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</si>
  <si>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</si>
  <si>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</si>
  <si>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</si>
  <si>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</si>
  <si>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</si>
  <si>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</si>
  <si>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</si>
  <si>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</si>
  <si>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</si>
  <si>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</si>
  <si>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</si>
  <si>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</si>
  <si>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</si>
  <si>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</si>
  <si>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</si>
  <si>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</si>
  <si>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</si>
  <si>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</si>
  <si>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</si>
  <si>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</si>
  <si>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</si>
  <si>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</si>
  <si>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</si>
  <si>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</si>
  <si>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</si>
  <si>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</si>
  <si>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</si>
  <si>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</si>
  <si>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</si>
  <si>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</si>
  <si>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</si>
  <si>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</si>
  <si>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</si>
  <si>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</si>
  <si>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</si>
  <si>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</si>
  <si>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</si>
  <si>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</si>
  <si>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</si>
  <si>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</si>
  <si>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</si>
  <si>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</si>
  <si>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</si>
  <si>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</si>
  <si>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</si>
  <si>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</si>
  <si>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</si>
  <si>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</si>
  <si>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</si>
  <si>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</si>
  <si>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</si>
  <si>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</si>
  <si>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</si>
  <si>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</si>
  <si>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</si>
  <si>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</si>
  <si>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</si>
  <si>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</si>
  <si>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</si>
  <si>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</si>
  <si>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</si>
  <si>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</si>
  <si>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</si>
  <si>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</si>
  <si>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</si>
  <si>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</si>
  <si>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</si>
  <si>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</si>
  <si>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</si>
  <si>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</si>
  <si>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</si>
  <si>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</si>
  <si>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</si>
  <si>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</si>
  <si>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</si>
  <si>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</si>
  <si>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</si>
  <si>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</si>
  <si>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</si>
  <si>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</si>
  <si>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</si>
  <si>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</si>
  <si>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</si>
  <si>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</si>
  <si>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</si>
  <si>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</si>
  <si>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</si>
  <si>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</si>
  <si>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</si>
  <si>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</si>
  <si>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</si>
  <si>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</si>
  <si>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</si>
  <si>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</si>
  <si>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</si>
  <si>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</si>
  <si>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</si>
  <si>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</si>
  <si>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</si>
  <si>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</si>
  <si>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</si>
  <si>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</si>
  <si>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</si>
  <si>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</si>
  <si>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</si>
  <si>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</si>
  <si>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</si>
  <si>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</si>
  <si>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</si>
  <si>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</si>
  <si>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</si>
  <si>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</si>
  <si>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</si>
  <si>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</si>
  <si>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</si>
  <si>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</si>
  <si>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</si>
  <si>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</si>
  <si>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</si>
  <si>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</si>
  <si>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</si>
  <si>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</si>
  <si>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</si>
  <si>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</si>
  <si>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</si>
  <si>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</si>
  <si>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</si>
  <si>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</si>
  <si>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</si>
  <si>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</si>
  <si>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</si>
  <si>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</si>
  <si>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</si>
  <si>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</si>
  <si>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</si>
  <si>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</si>
  <si>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</si>
  <si>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</si>
  <si>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</si>
  <si>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</si>
  <si>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</si>
  <si>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</si>
  <si>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</si>
  <si>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</si>
  <si>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</si>
  <si>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</si>
  <si>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</si>
  <si>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</si>
  <si>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</si>
  <si>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</si>
  <si>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</si>
  <si>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</si>
  <si>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</si>
  <si>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</si>
  <si>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</si>
  <si>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</si>
  <si>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</si>
  <si>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</si>
  <si>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</si>
  <si>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</si>
  <si>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</si>
  <si>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</si>
  <si>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</si>
  <si>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</si>
  <si>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</si>
  <si>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</si>
  <si>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</si>
  <si>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</si>
  <si>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</si>
  <si>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</si>
  <si>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</si>
  <si>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</si>
  <si>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</si>
  <si>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</si>
  <si>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</si>
  <si>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</si>
  <si>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</si>
  <si>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</si>
  <si>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</si>
  <si>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</si>
  <si>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</si>
  <si>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</si>
  <si>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</si>
  <si>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</si>
  <si>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</si>
  <si>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</si>
  <si>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</si>
  <si>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</si>
  <si>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</si>
  <si>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</si>
  <si>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</si>
  <si>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</si>
  <si>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</si>
  <si>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</si>
  <si>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</si>
  <si>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</si>
  <si>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</si>
  <si>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</si>
  <si>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</si>
  <si>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</si>
  <si>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</si>
  <si>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</si>
  <si>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</si>
  <si>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</si>
  <si>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</si>
  <si>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</si>
  <si>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</si>
  <si>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</si>
  <si>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</si>
  <si>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</si>
  <si>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</si>
  <si>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</si>
  <si>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</si>
  <si>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</si>
  <si>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</si>
  <si>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</si>
  <si>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</si>
  <si>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</si>
  <si>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</si>
  <si>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</si>
  <si>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</si>
  <si>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</si>
  <si>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</si>
  <si>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</si>
  <si>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</si>
  <si>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</si>
  <si>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</si>
  <si>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</si>
  <si>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</si>
  <si>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</si>
  <si>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</si>
  <si>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</si>
  <si>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</si>
  <si>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</si>
  <si>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</si>
  <si>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</si>
  <si>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</si>
  <si>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</si>
  <si>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</si>
  <si>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</si>
  <si>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</si>
  <si>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</si>
  <si>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</si>
  <si>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</si>
  <si>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</si>
  <si>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</si>
  <si>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</si>
  <si>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</si>
  <si>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</si>
  <si>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</si>
  <si>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</si>
  <si>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</si>
  <si>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</si>
  <si>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</si>
  <si>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</si>
  <si>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</si>
  <si>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</si>
  <si>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</si>
  <si>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</si>
  <si>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</si>
  <si>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</si>
  <si>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</si>
  <si>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</si>
  <si>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</si>
  <si>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</si>
  <si>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</si>
  <si>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</si>
  <si>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</si>
  <si>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</si>
  <si>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</si>
  <si>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</si>
  <si>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</si>
  <si>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</si>
  <si>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</si>
  <si>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</si>
  <si>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</si>
  <si>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</si>
  <si>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</si>
  <si>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</si>
  <si>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</si>
  <si>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</si>
  <si>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</si>
  <si>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</si>
  <si>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</si>
  <si>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</si>
  <si>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</si>
  <si>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</si>
  <si>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</si>
  <si>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</si>
  <si>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</si>
  <si>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</si>
  <si>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</si>
  <si>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</si>
  <si>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</si>
  <si>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</si>
  <si>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</si>
  <si>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</si>
  <si>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</si>
  <si>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</si>
  <si>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</si>
  <si>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</si>
  <si>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</si>
  <si>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</si>
  <si>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</si>
  <si>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</si>
  <si>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</si>
  <si>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</si>
  <si>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</si>
  <si>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</si>
  <si>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</si>
  <si>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</si>
  <si>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</si>
  <si>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</si>
  <si>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</si>
  <si>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</si>
  <si>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</si>
  <si>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</si>
  <si>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</si>
  <si>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</si>
  <si>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</si>
  <si>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</si>
  <si>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</si>
  <si>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</si>
  <si>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</si>
  <si>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</si>
  <si>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</si>
  <si>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</si>
  <si>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</si>
  <si>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</si>
  <si>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</si>
  <si>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</si>
  <si>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</si>
  <si>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</si>
  <si>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</si>
  <si>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</si>
  <si>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</si>
  <si>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</si>
  <si>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</si>
  <si>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</si>
  <si>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</si>
  <si>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</si>
  <si>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</si>
  <si>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</si>
  <si>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</si>
  <si>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</si>
  <si>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</si>
  <si>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</si>
  <si>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</si>
  <si>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</si>
  <si>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</si>
  <si>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</si>
  <si>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</si>
  <si>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</si>
  <si>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</si>
  <si>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</si>
  <si>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</si>
  <si>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</si>
  <si>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</si>
  <si>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</si>
  <si>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</si>
  <si>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</si>
  <si>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</si>
  <si>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</si>
  <si>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</si>
  <si>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</si>
  <si>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</si>
  <si>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</si>
  <si>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</si>
  <si>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</si>
  <si>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</si>
  <si>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</si>
  <si>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</si>
  <si>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</si>
  <si>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</si>
  <si>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</si>
  <si>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</si>
  <si>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</si>
  <si>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</si>
  <si>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</si>
  <si>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</si>
  <si>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</si>
  <si>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</si>
  <si>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</si>
  <si>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</si>
  <si>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</si>
  <si>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</si>
  <si>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</si>
  <si>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</si>
  <si>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</si>
  <si>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</si>
  <si>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</si>
  <si>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</si>
  <si>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</si>
  <si>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</si>
  <si>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</si>
  <si>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</si>
  <si>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</si>
  <si>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</si>
  <si>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</si>
  <si>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</si>
  <si>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</si>
  <si>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</si>
  <si>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</si>
  <si>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</si>
  <si>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</si>
  <si>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</si>
  <si>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</si>
  <si>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</si>
  <si>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</si>
  <si>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</si>
  <si>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</si>
  <si>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</si>
  <si>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</si>
  <si>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</si>
  <si>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</si>
  <si>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</si>
  <si>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</si>
  <si>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</si>
  <si>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</si>
  <si>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</si>
  <si>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</si>
  <si>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</si>
  <si>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</si>
  <si>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</si>
  <si>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</si>
  <si>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</si>
  <si>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</si>
  <si>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</si>
  <si>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</si>
  <si>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</si>
  <si>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</si>
  <si>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</si>
  <si>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</si>
  <si>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</si>
  <si>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</si>
  <si>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</si>
  <si>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</si>
  <si>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</si>
  <si>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</si>
  <si>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</si>
  <si>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</si>
  <si>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</si>
  <si>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</si>
  <si>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</si>
  <si>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</si>
  <si>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</si>
  <si>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</si>
  <si>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</si>
  <si>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</si>
  <si>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</si>
  <si>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</si>
  <si>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</si>
  <si>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</si>
  <si>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</si>
  <si>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</si>
  <si>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</si>
  <si>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</si>
  <si>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</si>
  <si>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</si>
  <si>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</si>
  <si>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</si>
  <si>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</si>
  <si>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</si>
  <si>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</si>
  <si>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</si>
  <si>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</si>
  <si>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</si>
  <si>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</si>
  <si>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</si>
  <si>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</si>
  <si>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</si>
  <si>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</si>
  <si>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</si>
  <si>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</si>
  <si>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</si>
  <si>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</si>
  <si>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</si>
  <si>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</si>
  <si>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</si>
  <si>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</si>
  <si>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</si>
  <si>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</si>
  <si>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</si>
  <si>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</si>
  <si>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</si>
  <si>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</si>
  <si>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</si>
  <si>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</si>
  <si>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</si>
  <si>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</si>
  <si>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</si>
  <si>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</si>
  <si>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</si>
  <si>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</si>
  <si>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</si>
  <si>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</si>
  <si>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</si>
  <si>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</si>
  <si>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</si>
  <si>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</si>
  <si>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</si>
  <si>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</si>
  <si>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</si>
  <si>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</si>
  <si>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</si>
  <si>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</si>
  <si>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</si>
  <si>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</si>
  <si>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</si>
  <si>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</si>
  <si>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</si>
  <si>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</si>
  <si>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</si>
  <si>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</si>
  <si>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</si>
  <si>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</si>
  <si>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</si>
  <si>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</si>
  <si>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</si>
  <si>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</si>
  <si>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</si>
  <si>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</si>
  <si>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</si>
  <si>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</si>
  <si>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</si>
  <si>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</si>
  <si>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</si>
  <si>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</si>
  <si>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</si>
  <si>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</si>
  <si>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</si>
  <si>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</si>
  <si>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</si>
  <si>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</si>
  <si>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</si>
  <si>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</si>
  <si>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</si>
  <si>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</si>
  <si>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</si>
  <si>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</si>
  <si>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</si>
  <si>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</si>
  <si>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</si>
  <si>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</si>
  <si>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</si>
  <si>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</si>
  <si>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</si>
  <si>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</si>
  <si>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</si>
  <si>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</si>
  <si>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</si>
  <si>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</si>
  <si>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</si>
  <si>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</si>
  <si>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</si>
  <si>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</si>
  <si>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</si>
  <si>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</si>
  <si>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</si>
  <si>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</si>
  <si>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</si>
  <si>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</si>
  <si>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</si>
  <si>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</si>
  <si>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</si>
  <si>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</si>
  <si>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</si>
  <si>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</si>
  <si>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</si>
  <si>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</si>
  <si>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</si>
  <si>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</si>
  <si>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</si>
  <si>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</si>
  <si>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</si>
  <si>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</si>
  <si>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</si>
  <si>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</si>
  <si>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</si>
  <si>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</si>
  <si>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</si>
  <si>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</si>
  <si>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</si>
  <si>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</si>
  <si>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</si>
  <si>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</si>
  <si>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</si>
  <si>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</si>
  <si>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</si>
  <si>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</si>
  <si>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</si>
  <si>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</si>
  <si>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</si>
  <si>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</si>
  <si>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</si>
  <si>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</si>
  <si>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</si>
  <si>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</si>
  <si>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</si>
  <si>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</si>
  <si>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</si>
  <si>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</si>
  <si>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</si>
  <si>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</si>
  <si>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</si>
  <si>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</si>
  <si>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</si>
  <si>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</si>
  <si>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</si>
  <si>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</si>
  <si>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</si>
  <si>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</si>
  <si>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</si>
  <si>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</si>
  <si>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</si>
  <si>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</si>
  <si>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</si>
  <si>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</si>
  <si>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</si>
  <si>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</si>
  <si>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</si>
  <si>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</si>
  <si>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</si>
  <si>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</si>
  <si>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</si>
  <si>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</si>
  <si>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</si>
  <si>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</si>
  <si>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</si>
  <si>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</si>
  <si>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</si>
  <si>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</si>
  <si>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</si>
  <si>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</si>
  <si>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</si>
  <si>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</si>
  <si>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</si>
  <si>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</si>
  <si>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</si>
  <si>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</si>
  <si>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</si>
  <si>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</si>
  <si>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</si>
  <si>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</si>
  <si>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</si>
  <si>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</si>
  <si>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</si>
  <si>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</si>
  <si>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</si>
  <si>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</si>
  <si>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</si>
  <si>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</si>
  <si>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</si>
  <si>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</si>
  <si>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</si>
  <si>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</si>
  <si>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</si>
  <si>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</si>
  <si>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</si>
  <si>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</si>
  <si>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</si>
  <si>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</si>
  <si>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</si>
  <si>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</si>
  <si>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</si>
  <si>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</si>
  <si>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</si>
  <si>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</si>
  <si>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</si>
  <si>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</si>
  <si>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</si>
  <si>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</si>
  <si>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</si>
  <si>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</si>
  <si>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</si>
  <si>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</si>
  <si>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</si>
  <si>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</si>
  <si>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</si>
  <si>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</si>
  <si>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</si>
  <si>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</si>
  <si>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</si>
  <si>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</si>
  <si>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</si>
  <si>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</si>
  <si>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</si>
  <si>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</si>
  <si>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</si>
  <si>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</si>
  <si>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</si>
  <si>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</si>
  <si>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</si>
  <si>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</si>
  <si>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</si>
  <si>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</si>
  <si>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</si>
  <si>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</si>
  <si>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</si>
  <si>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</si>
  <si>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</si>
  <si>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</si>
  <si>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</si>
  <si>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</si>
  <si>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</si>
  <si>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</si>
  <si>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</si>
  <si>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</si>
  <si>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</si>
  <si>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</si>
  <si>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</si>
  <si>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</si>
  <si>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</si>
  <si>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</si>
  <si>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</si>
  <si>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</si>
  <si>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</si>
  <si>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</si>
  <si>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</si>
  <si>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</si>
  <si>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</si>
  <si>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</si>
  <si>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</si>
  <si>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</si>
  <si>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</si>
  <si>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</si>
  <si>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</si>
  <si>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</si>
  <si>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</si>
  <si>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</si>
  <si>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</si>
  <si>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</si>
  <si>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</si>
  <si>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</si>
  <si>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</si>
  <si>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</si>
  <si>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</si>
  <si>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</si>
  <si>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</si>
  <si>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</si>
  <si>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</si>
  <si>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</si>
  <si>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</si>
  <si>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</si>
  <si>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</si>
  <si>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</si>
  <si>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</si>
  <si>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</si>
  <si>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</si>
  <si>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</si>
  <si>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</si>
  <si>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</si>
  <si>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</si>
  <si>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</si>
  <si>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</si>
  <si>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</si>
  <si>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</si>
  <si>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</si>
  <si>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</si>
  <si>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</si>
  <si>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</si>
  <si>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</si>
  <si>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</si>
  <si>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</si>
  <si>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</si>
  <si>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</si>
  <si>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</si>
  <si>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</si>
  <si>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</si>
  <si>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</si>
  <si>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</si>
  <si>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</si>
  <si>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</si>
  <si>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</si>
  <si>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</si>
  <si>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</si>
  <si>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</si>
  <si>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</si>
  <si>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</si>
  <si>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</si>
  <si>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</si>
  <si>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</si>
  <si>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</si>
  <si>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</si>
  <si>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</si>
  <si>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</si>
  <si>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</si>
  <si>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</si>
  <si>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</si>
  <si>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</si>
  <si>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</si>
  <si>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</si>
  <si>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</si>
  <si>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</si>
  <si>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</si>
  <si>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</si>
  <si>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</si>
  <si>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</si>
  <si>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</si>
  <si>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</si>
  <si>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</si>
  <si>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</si>
  <si>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</si>
  <si>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</si>
  <si>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</si>
  <si>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</si>
  <si>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</si>
  <si>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</si>
  <si>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</si>
  <si>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</si>
  <si>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</si>
  <si>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</si>
  <si>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</si>
  <si>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</si>
  <si>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</si>
  <si>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</si>
  <si>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</si>
  <si>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</si>
  <si>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</si>
  <si>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</si>
  <si>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</si>
  <si>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</si>
  <si>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</si>
  <si>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</si>
  <si>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</si>
  <si>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</si>
  <si>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</si>
  <si>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</si>
  <si>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</si>
  <si>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</si>
  <si>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</si>
  <si>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</si>
  <si>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</si>
  <si>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</si>
  <si>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</si>
  <si>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</si>
  <si>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</si>
  <si>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</si>
  <si>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</si>
  <si>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</si>
  <si>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</si>
  <si>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</si>
  <si>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</si>
  <si>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</si>
  <si>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</si>
  <si>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</si>
  <si>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</si>
  <si>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</si>
  <si>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</si>
  <si>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</si>
  <si>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</si>
  <si>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</si>
  <si>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</si>
  <si>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</si>
  <si>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</si>
  <si>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</si>
  <si>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</si>
  <si>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</si>
  <si>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</si>
  <si>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</si>
  <si>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</si>
  <si>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</si>
  <si>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</si>
  <si>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</si>
  <si>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</si>
  <si>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</si>
  <si>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</si>
  <si>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</si>
  <si>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</si>
  <si>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</si>
  <si>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</si>
  <si>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</si>
  <si>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</si>
  <si>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</si>
  <si>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</si>
  <si>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</si>
  <si>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</si>
  <si>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</si>
  <si>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</si>
  <si>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</si>
  <si>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</si>
  <si>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</si>
  <si>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</si>
  <si>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</si>
  <si>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</si>
  <si>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</si>
  <si>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</si>
  <si>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</si>
  <si>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</si>
  <si>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</si>
  <si>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</si>
  <si>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</si>
  <si>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</si>
  <si>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</si>
  <si>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</si>
  <si>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</si>
  <si>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</si>
  <si>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</si>
  <si>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</si>
  <si>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</si>
  <si>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</si>
  <si>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</si>
  <si>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</si>
  <si>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</si>
  <si>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</si>
  <si>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</si>
  <si>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</si>
  <si>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</si>
  <si>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</si>
  <si>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</si>
  <si>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28-037-2280-26</t>
  </si>
  <si>
    <t>Henry</t>
  </si>
  <si>
    <t>Geneseo Community Unit School District No.228</t>
  </si>
  <si>
    <t>648 North Chicago St.</t>
  </si>
  <si>
    <t>Geneseo, IL</t>
  </si>
  <si>
    <t>tgronski@geneseoschools.org</t>
  </si>
  <si>
    <t>Tim C. Custis, CPA</t>
  </si>
  <si>
    <t>tcustis@gorenzcpa.com</t>
  </si>
  <si>
    <t>Dr. Adam Brumbaugh</t>
  </si>
  <si>
    <t>abrumbaugh@geneseoschools.org</t>
  </si>
  <si>
    <t>309-945-0450</t>
  </si>
  <si>
    <t>309-945-0445</t>
  </si>
  <si>
    <t>GO 2015A Alternate Revenue Bonds</t>
  </si>
  <si>
    <t>GO 2015B Working Cash Bonds</t>
  </si>
  <si>
    <t>GO 2016A Working Cash Bonds</t>
  </si>
  <si>
    <t>GO 2016B Working Cash Bonds</t>
  </si>
  <si>
    <t>2018 WC Bonds</t>
  </si>
  <si>
    <t>Technology Loan</t>
  </si>
  <si>
    <t>1&amp;4</t>
  </si>
  <si>
    <t>Alternate Revenue</t>
  </si>
  <si>
    <t>Quad Cities Area Vocational Co-op</t>
  </si>
  <si>
    <t>Bureau, Henry, Stark ROE (Paper)</t>
  </si>
  <si>
    <t>Henry-Stark Special Education Co-op</t>
  </si>
  <si>
    <t>Bureau, Henry, Stark ROE</t>
  </si>
  <si>
    <t>IASA  Job Bank</t>
  </si>
  <si>
    <t>Illinois Liquid Asset Fund</t>
  </si>
  <si>
    <t>ISDA, Prairie State Insurance Co-op</t>
  </si>
  <si>
    <t>Illinois Energy Consortium</t>
  </si>
  <si>
    <t>Northern Illinois Library</t>
  </si>
  <si>
    <t>ED-FOOD SERVICES - SUPPLIES</t>
  </si>
  <si>
    <t>10-2560-400</t>
  </si>
  <si>
    <t>COCA-COLA</t>
  </si>
  <si>
    <t>ED-SUPPORT SERVICES - PURCHASED SERVICES</t>
  </si>
  <si>
    <t>ECRA GROUP INC</t>
  </si>
  <si>
    <t>ED-INSTRUCTION-PURCHASED SERVICES</t>
  </si>
  <si>
    <t>HAMMOND HENRY HOSPITAL</t>
  </si>
  <si>
    <t>OFFICE MACHINE CONSULTANTS</t>
  </si>
  <si>
    <t>10-2520-300</t>
  </si>
  <si>
    <t>ED-DATA PROCESSING-PURCHASED SERVICES</t>
  </si>
  <si>
    <t>10-2660-300</t>
  </si>
  <si>
    <t>40-2550-300</t>
  </si>
  <si>
    <t>PINKS BUS SERVICE</t>
  </si>
  <si>
    <t>TRANS-PUPIL TRANSPORTATION-PURCHASED SERVICES</t>
  </si>
  <si>
    <t>ED-SUPPORT SERVICES-SUPPLIES</t>
  </si>
  <si>
    <t>10-2560-300</t>
  </si>
  <si>
    <t>PIZZA HUT</t>
  </si>
  <si>
    <t>TRANS-SUPPORT SERVICES-SUPPLIES</t>
  </si>
  <si>
    <t>40-2550-400</t>
  </si>
  <si>
    <t>RIVER VALLEY COOP</t>
  </si>
  <si>
    <t>ED-SUPPORT SERVICES-PURCHASED SERVICES</t>
  </si>
  <si>
    <t>SKYWARD</t>
  </si>
  <si>
    <t>O&amp;M-SUPPORT SERVICES-PURCHASED SERVICES</t>
  </si>
  <si>
    <t>20-2540-300</t>
  </si>
  <si>
    <t>TMI TOTAL MAINTENANCE INC</t>
  </si>
  <si>
    <t>TORT-SUPPORT SERVICES-PURCHASED SERVICES</t>
  </si>
  <si>
    <t>TYCO INTEGRATED SECURITY</t>
  </si>
  <si>
    <t>x</t>
  </si>
  <si>
    <t>The accompanying Schedule of Expenditures of Federal Awards includes the federal grant activity of Geneseo CUSD No. 228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</si>
  <si>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Geneseo CUSD No. 228 provided federal awards to subrecipients as follows:</t>
  </si>
  <si>
    <t>NONE</t>
  </si>
  <si>
    <r>
      <t xml:space="preserve">The following amounts were expended in the form of non-cash assistance by Geneseo CUSD No. 228 and </t>
    </r>
    <r>
      <rPr>
        <b/>
        <sz val="9"/>
        <rFont val="Calibri"/>
        <family val="2"/>
        <scheme val="minor"/>
      </rPr>
      <t>should be</t>
    </r>
    <r>
      <rPr>
        <sz val="9"/>
        <rFont val="Calibri"/>
        <family val="2"/>
        <scheme val="minor"/>
      </rPr>
      <t xml:space="preserve"> included in the Schedule of Expenditures of Federal Awards:</t>
    </r>
  </si>
  <si>
    <t>Note 5:  Matching Expenditures</t>
  </si>
  <si>
    <t>Note 6: Relationship to Basis Financial Statements and Program Financial Reports</t>
  </si>
  <si>
    <t>Note 7:  Other Information</t>
  </si>
  <si>
    <t>Geneseo Communtiy Unit School District No. 228</t>
  </si>
  <si>
    <t xml:space="preserve">                                  Year Ended June 30, 2019                                </t>
  </si>
  <si>
    <t>ISBE</t>
  </si>
  <si>
    <t xml:space="preserve">          Receipts/Revenues          </t>
  </si>
  <si>
    <t xml:space="preserve">  Expenditures/Disbursements  </t>
  </si>
  <si>
    <t>Project</t>
  </si>
  <si>
    <t xml:space="preserve">Prior to </t>
  </si>
  <si>
    <t>7/01/18 -</t>
  </si>
  <si>
    <t>Final</t>
  </si>
  <si>
    <t>Federal Grantor/Pass-Through Grantor,</t>
  </si>
  <si>
    <t>Number</t>
  </si>
  <si>
    <t>6/30/18</t>
  </si>
  <si>
    <t>6/30/19</t>
  </si>
  <si>
    <t>Encumbrances</t>
  </si>
  <si>
    <t>Program Title &amp; Major Program Designation</t>
  </si>
  <si>
    <t xml:space="preserve">        (A)        </t>
  </si>
  <si>
    <t xml:space="preserve">         (B)         </t>
  </si>
  <si>
    <t xml:space="preserve">         (C)         </t>
  </si>
  <si>
    <t xml:space="preserve">         (D)         </t>
  </si>
  <si>
    <t xml:space="preserve">         (E)         </t>
  </si>
  <si>
    <t xml:space="preserve">         (F)         </t>
  </si>
  <si>
    <t>***</t>
  </si>
  <si>
    <t xml:space="preserve">         (G)         </t>
  </si>
  <si>
    <t xml:space="preserve">         (H)         </t>
  </si>
  <si>
    <t xml:space="preserve">         (I)         </t>
  </si>
  <si>
    <t xml:space="preserve">U.S. Department of Agriculture - </t>
  </si>
  <si>
    <t xml:space="preserve">   Pass-through program from</t>
  </si>
  <si>
    <t xml:space="preserve">   Illinois State Board of Education</t>
  </si>
  <si>
    <t>(M)</t>
  </si>
  <si>
    <t>18-4220-00</t>
  </si>
  <si>
    <t>N/A</t>
  </si>
  <si>
    <t>19-4220-00</t>
  </si>
  <si>
    <t>Total for CFDA 10.553</t>
  </si>
  <si>
    <t>18-4210-00</t>
  </si>
  <si>
    <t>10.555</t>
  </si>
  <si>
    <t>19-4210-00</t>
  </si>
  <si>
    <t>Food Donation (3)</t>
  </si>
  <si>
    <t>FY18</t>
  </si>
  <si>
    <t>FY19</t>
  </si>
  <si>
    <t>Dept of Defense-Fresh Fruits and Vegetables (3)</t>
  </si>
  <si>
    <t xml:space="preserve">   St. Malachy's School</t>
  </si>
  <si>
    <t>18-4210-01</t>
  </si>
  <si>
    <t>19-4210-01</t>
  </si>
  <si>
    <t>Total for CFDA 10.555</t>
  </si>
  <si>
    <t>Total U.S. Department of Agriculture - Pass-through programs</t>
  </si>
  <si>
    <t>Total Child Nutrition Cluster</t>
  </si>
  <si>
    <t xml:space="preserve">U.S. Department of Education - </t>
  </si>
  <si>
    <t>`</t>
  </si>
  <si>
    <t>18-4300-00</t>
  </si>
  <si>
    <t>19-4300-00</t>
  </si>
  <si>
    <t>Title I - School Improvement &amp; Accountability</t>
  </si>
  <si>
    <t>19-4331-00</t>
  </si>
  <si>
    <t>Total for CFDA 84.010</t>
  </si>
  <si>
    <t>Title IV - Student Support &amp; Academic Enrichment</t>
  </si>
  <si>
    <t>84.424A</t>
  </si>
  <si>
    <t>18-4400-00</t>
  </si>
  <si>
    <t>19-4400-00</t>
  </si>
  <si>
    <t>Total for CFDA 84.424A</t>
  </si>
  <si>
    <t>IDEA Room and Board</t>
  </si>
  <si>
    <t>18-4625-00</t>
  </si>
  <si>
    <t>17-4625-00</t>
  </si>
  <si>
    <t>18-4932-00</t>
  </si>
  <si>
    <t>19-4932-00</t>
  </si>
  <si>
    <t>Total Dept. of Education passed-through ISBE</t>
  </si>
  <si>
    <t>Henry-Stark Special Education Cooperative</t>
  </si>
  <si>
    <t>IDEA Flow Through</t>
  </si>
  <si>
    <t>17-4620-00</t>
  </si>
  <si>
    <t>18-4620-00</t>
  </si>
  <si>
    <t>Total U.S. Department of Education - Pass-through programs from Henry Stark SEA</t>
  </si>
  <si>
    <t xml:space="preserve">    Henry Stark Special Education Association</t>
  </si>
  <si>
    <t>IDEA - Flow Through</t>
  </si>
  <si>
    <t>15-4620-00</t>
  </si>
  <si>
    <t>16-4620-00</t>
  </si>
  <si>
    <t xml:space="preserve">   Illinois Department of Human Services</t>
  </si>
  <si>
    <t>S.T.E.P.    (Note #5)</t>
  </si>
  <si>
    <t>46CWF00020</t>
  </si>
  <si>
    <t>46CXF00020</t>
  </si>
  <si>
    <t xml:space="preserve">Total Dept. of Education passed-through IL Dept of Human </t>
  </si>
  <si>
    <t>Total for CFDA 84.126</t>
  </si>
  <si>
    <t xml:space="preserve">   </t>
  </si>
  <si>
    <t xml:space="preserve">  Services</t>
  </si>
  <si>
    <t xml:space="preserve">  Pass-through program from </t>
  </si>
  <si>
    <t xml:space="preserve">  Regional Office of Education #28</t>
  </si>
  <si>
    <t xml:space="preserve">  Bureau, Henry &amp; Stark Counties</t>
  </si>
  <si>
    <t>84.423A</t>
  </si>
  <si>
    <t>19-4999-00</t>
  </si>
  <si>
    <t>Total U.S. Department of Education - Pass-through programs</t>
  </si>
  <si>
    <t>U.S. Department of Health and Human Services -</t>
  </si>
  <si>
    <t>Total Dept. of Education passed-through IL Dept of Human Services</t>
  </si>
  <si>
    <t>Medicaid Outreach</t>
  </si>
  <si>
    <t>18-4991-00</t>
  </si>
  <si>
    <t>19-4991-00</t>
  </si>
  <si>
    <t>Total for CFDA 93.778</t>
  </si>
  <si>
    <t>Total U.S. Department of Health and Human Services - Pass-through programs</t>
  </si>
  <si>
    <t>Total Federal Awards</t>
  </si>
  <si>
    <t>Total Federal Awards Passed Through Illinois State Board of Education</t>
  </si>
  <si>
    <t>Total Federal Awards Passed Through Other Entities</t>
  </si>
  <si>
    <t>*** - No Pass through to Subrecipients</t>
  </si>
  <si>
    <t>(M) Indicates Major Federal Financial Assistance Program.</t>
  </si>
  <si>
    <t>(1) Revenue Carryover from Prior Year Project per ISBE.</t>
  </si>
  <si>
    <t>(2) Project not complete as of June 30, 2019.</t>
  </si>
  <si>
    <t>(3) Nonmonetary assistance is reported in the schedule at the fair market value of the commodities received and disbursed.</t>
  </si>
  <si>
    <t>S.T.E.P. (CFDA #84.126) (Contract #46CXF00020) required matching expenditures of $6,400. Total reported expenditures for the
grant were $86,037, not including the matching expenditures.</t>
  </si>
  <si>
    <t>Federal awards received are reflected in the District's financial statements within the Educational Fund as receipts from federal sources. Amounts reported in the accompanying Schedule of Expenditures of Federal Awards agree with the amounts in the Program Financial Records for programs which have filed final reports as of June 30, 2019 with ISBE.</t>
  </si>
  <si>
    <t>Unmodified</t>
  </si>
  <si>
    <t>10.553 &amp; 10.555</t>
  </si>
  <si>
    <t>Child Nutrition Cluster</t>
  </si>
  <si>
    <t>Total Federal Expenditures for 7/1/18-6/30/19</t>
  </si>
  <si>
    <t xml:space="preserve">There were no findings for the prior year ending June 30, 2018. </t>
  </si>
  <si>
    <t>Total for CFDA 84.367</t>
  </si>
  <si>
    <t>Supporting Effective Educator Development</t>
  </si>
  <si>
    <t xml:space="preserve">   Pass-through program from Illinois </t>
  </si>
  <si>
    <t xml:space="preserve">   Department of Healthcare and Family Services</t>
  </si>
  <si>
    <t>Illinois State Board of Education</t>
  </si>
  <si>
    <t>U.S. Department of Agriculture</t>
  </si>
  <si>
    <t xml:space="preserve">The District has not established internal controls to ensure that net cash resources are being properly monitored. </t>
  </si>
  <si>
    <t>None</t>
  </si>
  <si>
    <t xml:space="preserve">During the audit, it was determined that the District does not have net cash resources greater than three months average expenditures. However, the District has not been monitoring its cash balances throughout the year in order to determine this. </t>
  </si>
  <si>
    <t xml:space="preserve">The District is unaware of the cash balance in its food services account. </t>
  </si>
  <si>
    <t xml:space="preserve">Management has not implemented controls that would allow the District to monitor its net cash resources. </t>
  </si>
  <si>
    <t xml:space="preserve">It is recommended that the District maintain and monitor the cash balances it accumulates to help ensure that they do not exceed 3x the average monthly expenditures. </t>
  </si>
  <si>
    <t xml:space="preserve">The District will monitor its net cash resources in its food services account. </t>
  </si>
  <si>
    <t>Geneseo Community Unit School District No. 228</t>
  </si>
  <si>
    <r>
      <t>CORRECTIVE ACTION PLAN FOR CURRENT YEAR AUDIT FINDINGS</t>
    </r>
    <r>
      <rPr>
        <b/>
        <vertAlign val="superscript"/>
        <sz val="9"/>
        <rFont val="Arial"/>
        <family val="2"/>
      </rPr>
      <t>21</t>
    </r>
  </si>
  <si>
    <t>Corrective Action Plan</t>
  </si>
  <si>
    <t>Finding No.:</t>
  </si>
  <si>
    <t>Condition:</t>
  </si>
  <si>
    <t>The District has not established internal controls to ensure compliance with the requirements of the Child Nutrition Cluster guidelines with respect to Cash Management.</t>
  </si>
  <si>
    <t>Plan:</t>
  </si>
  <si>
    <t>The District will implement controls that monitor the cash balance in its Food Services Account and ensure compliance with Child Nutrition Cluster guidelines.</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</si>
  <si>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</si>
  <si>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</si>
  <si>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</si>
  <si>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</si>
  <si>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Adam Brumbaugh, Superintendent</t>
  </si>
  <si>
    <t>Not Required</t>
  </si>
  <si>
    <t xml:space="preserve">The District is required to monitor, through review or audit or by other means, the net cash resources of the nonprofit school food service program in accordance with Section 210.19 of the Code of Federal Regulation. </t>
  </si>
  <si>
    <t>Part C - #20 - See Finding 2019-001</t>
  </si>
  <si>
    <t>80-2300-300</t>
  </si>
  <si>
    <t>10-1000-300</t>
  </si>
  <si>
    <t>10-2200-300</t>
  </si>
  <si>
    <t>Page 10, Line 72 - Cafeteria Sales</t>
  </si>
  <si>
    <t>Page 10, Line 74 - Other Misc. Lunch Sales</t>
  </si>
  <si>
    <t xml:space="preserve">Page 10, Line 81 - S.A.F.E. </t>
  </si>
  <si>
    <t>Page 10, Line 107 -</t>
  </si>
  <si>
    <t>Educational Fund - Misc. Refunds &amp; Reimbursements</t>
  </si>
  <si>
    <t>Capital Projects Fund - Misc. Refunds &amp; Reimbursements</t>
  </si>
  <si>
    <t>Tort Fund - Insurance Proceeds</t>
  </si>
  <si>
    <t>Page 12, Line 168 - Library Grant ($750) and PSAT Grant ($7,150)</t>
  </si>
  <si>
    <t>Page 13, Line 203 - Title I - School Improvement Funds</t>
  </si>
  <si>
    <t xml:space="preserve">Page 14, Line 265 - STEP Grant ($28,196) and SEED Grant ($66,052) </t>
  </si>
  <si>
    <t>Page 18, Line 171 - Bond Fees</t>
  </si>
  <si>
    <t>Page 20, Line 278 - Leadership Expenses - Benefits</t>
  </si>
  <si>
    <t>Page 16, Line 73 - Leadership Expenditures</t>
  </si>
  <si>
    <t>Page 16, Line 83 - Early Childhood Block Grant Repayment</t>
  </si>
  <si>
    <t>19-4210-00, -01 &amp; 19-4220-00</t>
  </si>
  <si>
    <t>see PDF version</t>
  </si>
  <si>
    <t>Geneseo CUSD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</si>
</sst>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000_);\(#,##0.000\)"/>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Garamond"/>
      <family val="1"/>
    </font>
    <font>
      <sz val="10"/>
      <name val="Courier"/>
      <family val="3"/>
    </font>
    <font>
      <sz val="12"/>
      <name val="Garamond"/>
      <family val="1"/>
    </font>
    <font>
      <sz val="12"/>
      <name val="Courier"/>
      <family val="3"/>
    </font>
    <font>
      <b/>
      <u/>
      <sz val="12"/>
      <name val="Garamond"/>
      <family val="1"/>
    </font>
    <font>
      <b/>
      <sz val="10"/>
      <name val="Times New Roman"/>
      <family val="1"/>
    </font>
    <font>
      <u/>
      <sz val="12"/>
      <name val="Garamond"/>
      <family val="1"/>
    </font>
    <font>
      <u val="singleAccounting"/>
      <sz val="10"/>
      <name val="Times New Roman"/>
      <family val="1"/>
    </font>
    <font>
      <u val="singleAccounting"/>
      <sz val="12"/>
      <name val="Garamond"/>
      <family val="1"/>
    </font>
    <font>
      <sz val="12"/>
      <name val="Times New Roman"/>
      <family val="1"/>
    </font>
    <font>
      <sz val="12"/>
      <color theme="1"/>
      <name val="Garamond"/>
      <family val="1"/>
    </font>
    <font>
      <u val="singleAccounting"/>
      <sz val="12"/>
      <color theme="1"/>
      <name val="Garamond"/>
      <family val="1"/>
    </font>
    <font>
      <u val="doubleAccounting"/>
      <sz val="12"/>
      <name val="Garamond"/>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37" fontId="139" fillId="0" borderId="0"/>
    <xf numFmtId="37" fontId="141" fillId="0" borderId="0"/>
    <xf numFmtId="43" fontId="46" fillId="0" borderId="0" applyFont="0" applyFill="0" applyBorder="0" applyAlignment="0" applyProtection="0"/>
    <xf numFmtId="37" fontId="141" fillId="0" borderId="0"/>
    <xf numFmtId="9" fontId="46" fillId="0" borderId="0" applyFont="0" applyFill="0" applyBorder="0" applyAlignment="0" applyProtection="0"/>
  </cellStyleXfs>
  <cellXfs count="263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5" fontId="58" fillId="0" borderId="0" xfId="3" applyNumberFormat="1" applyFont="1" applyProtection="1"/>
    <xf numFmtId="5" fontId="56" fillId="0" borderId="0" xfId="3" applyNumberFormat="1" applyFont="1" applyBorder="1" applyAlignment="1" applyProtection="1">
      <protection locked="0"/>
    </xf>
    <xf numFmtId="5" fontId="66" fillId="0" borderId="0" xfId="3" applyNumberFormat="1" applyFont="1" applyBorder="1" applyAlignment="1" applyProtection="1">
      <protection locked="0"/>
    </xf>
    <xf numFmtId="0" fontId="66" fillId="0" borderId="0" xfId="3" applyFont="1" applyBorder="1" applyAlignment="1" applyProtection="1">
      <protection locked="0"/>
    </xf>
    <xf numFmtId="0" fontId="56" fillId="0" borderId="0" xfId="3" applyFont="1" applyBorder="1" applyAlignment="1" applyProtection="1">
      <alignment horizontal="left" vertical="top" wrapText="1"/>
    </xf>
    <xf numFmtId="37" fontId="46" fillId="0" borderId="0" xfId="19" applyFont="1" applyAlignment="1">
      <alignment vertical="center"/>
    </xf>
    <xf numFmtId="37" fontId="142" fillId="0" borderId="0" xfId="19" applyFont="1"/>
    <xf numFmtId="37" fontId="143" fillId="0" borderId="0" xfId="19" applyFont="1" applyAlignment="1">
      <alignment vertical="center"/>
    </xf>
    <xf numFmtId="37" fontId="142" fillId="0" borderId="0" xfId="19" applyFont="1" applyBorder="1" applyAlignment="1">
      <alignment horizontal="centerContinuous"/>
    </xf>
    <xf numFmtId="37" fontId="142" fillId="0" borderId="0" xfId="19" applyFont="1" applyBorder="1" applyAlignment="1">
      <alignment horizontal="left"/>
    </xf>
    <xf numFmtId="37" fontId="142" fillId="0" borderId="0" xfId="19" applyFont="1" applyBorder="1"/>
    <xf numFmtId="37" fontId="142" fillId="0" borderId="0" xfId="19" applyFont="1" applyBorder="1" applyAlignment="1">
      <alignment horizontal="center"/>
    </xf>
    <xf numFmtId="37" fontId="146" fillId="0" borderId="0" xfId="19" applyFont="1" applyBorder="1" applyAlignment="1">
      <alignment horizontal="centerContinuous"/>
    </xf>
    <xf numFmtId="37" fontId="142" fillId="0" borderId="0" xfId="19" applyFont="1" applyAlignment="1">
      <alignment horizontal="center"/>
    </xf>
    <xf numFmtId="37" fontId="142" fillId="0" borderId="0" xfId="19" applyFont="1" applyAlignment="1">
      <alignment horizontal="left"/>
    </xf>
    <xf numFmtId="37" fontId="142" fillId="0" borderId="0" xfId="19" quotePrefix="1" applyFont="1" applyAlignment="1">
      <alignment horizontal="center"/>
    </xf>
    <xf numFmtId="14" fontId="142" fillId="0" borderId="0" xfId="19" quotePrefix="1" applyNumberFormat="1" applyFont="1" applyAlignment="1">
      <alignment horizontal="center"/>
    </xf>
    <xf numFmtId="14" fontId="142" fillId="0" borderId="0" xfId="19" applyNumberFormat="1" applyFont="1" applyAlignment="1">
      <alignment horizontal="center"/>
    </xf>
    <xf numFmtId="37" fontId="146" fillId="0" borderId="0" xfId="19" applyFont="1" applyAlignment="1">
      <alignment horizontal="left"/>
    </xf>
    <xf numFmtId="37" fontId="146" fillId="0" borderId="0" xfId="19" applyFont="1" applyAlignment="1">
      <alignment horizontal="center"/>
    </xf>
    <xf numFmtId="37" fontId="146" fillId="0" borderId="0" xfId="19" applyNumberFormat="1" applyFont="1" applyAlignment="1" applyProtection="1">
      <alignment horizontal="center"/>
    </xf>
    <xf numFmtId="37" fontId="142" fillId="0" borderId="0" xfId="19" applyNumberFormat="1" applyFont="1" applyProtection="1"/>
    <xf numFmtId="37" fontId="142" fillId="0" borderId="0" xfId="19" applyNumberFormat="1" applyFont="1" applyAlignment="1" applyProtection="1">
      <alignment horizontal="center"/>
    </xf>
    <xf numFmtId="37" fontId="140" fillId="0" borderId="0" xfId="19" applyFont="1" applyAlignment="1">
      <alignment horizontal="left"/>
    </xf>
    <xf numFmtId="37" fontId="46" fillId="0" borderId="0" xfId="19" applyFont="1" applyAlignment="1">
      <alignment horizontal="center" vertical="center"/>
    </xf>
    <xf numFmtId="37" fontId="146" fillId="0" borderId="0" xfId="19" applyFont="1"/>
    <xf numFmtId="37" fontId="140" fillId="0" borderId="0" xfId="19" applyFont="1" applyAlignment="1"/>
    <xf numFmtId="37" fontId="142" fillId="0" borderId="0" xfId="19" applyFont="1" applyAlignment="1">
      <alignment horizontal="right"/>
    </xf>
    <xf numFmtId="37" fontId="142" fillId="0" borderId="0" xfId="19" applyFont="1" applyFill="1"/>
    <xf numFmtId="181" fontId="142" fillId="0" borderId="0" xfId="19" applyNumberFormat="1" applyFont="1" applyAlignment="1" applyProtection="1">
      <alignment horizontal="center"/>
    </xf>
    <xf numFmtId="182" fontId="142" fillId="0" borderId="0" xfId="19" applyNumberFormat="1" applyFont="1" applyFill="1" applyProtection="1"/>
    <xf numFmtId="182" fontId="148" fillId="0" borderId="0" xfId="19" applyNumberFormat="1" applyFont="1" applyFill="1" applyProtection="1"/>
    <xf numFmtId="182" fontId="142" fillId="0" borderId="0" xfId="19" applyNumberFormat="1" applyFont="1"/>
    <xf numFmtId="183" fontId="142" fillId="0" borderId="0" xfId="19" applyNumberFormat="1" applyFont="1" applyProtection="1"/>
    <xf numFmtId="182" fontId="142" fillId="0" borderId="0" xfId="19" applyNumberFormat="1" applyFont="1" applyAlignment="1" applyProtection="1">
      <alignment horizontal="right"/>
    </xf>
    <xf numFmtId="37" fontId="142" fillId="0" borderId="0" xfId="19" applyFont="1" applyFill="1" applyAlignment="1">
      <alignment horizontal="center"/>
    </xf>
    <xf numFmtId="182" fontId="148" fillId="0" borderId="0" xfId="19" applyNumberFormat="1" applyFont="1" applyFill="1"/>
    <xf numFmtId="182" fontId="142" fillId="0" borderId="0" xfId="19" applyNumberFormat="1" applyFont="1" applyFill="1"/>
    <xf numFmtId="182" fontId="142" fillId="0" borderId="0" xfId="19" applyNumberFormat="1" applyFont="1" applyFill="1" applyAlignment="1">
      <alignment horizontal="center"/>
    </xf>
    <xf numFmtId="183" fontId="142" fillId="0" borderId="0" xfId="19" applyNumberFormat="1" applyFont="1" applyFill="1" applyProtection="1"/>
    <xf numFmtId="182" fontId="142" fillId="0" borderId="0" xfId="19" applyNumberFormat="1" applyFont="1" applyProtection="1"/>
    <xf numFmtId="182" fontId="148" fillId="0" borderId="0" xfId="19" applyNumberFormat="1" applyFont="1" applyProtection="1"/>
    <xf numFmtId="37" fontId="142" fillId="0" borderId="0" xfId="22" applyFont="1" applyAlignment="1">
      <alignment horizontal="center"/>
    </xf>
    <xf numFmtId="37" fontId="142" fillId="27" borderId="0" xfId="19" applyFont="1" applyFill="1" applyAlignment="1">
      <alignment horizontal="center"/>
    </xf>
    <xf numFmtId="182" fontId="142" fillId="27" borderId="0" xfId="19" applyNumberFormat="1" applyFont="1" applyFill="1" applyProtection="1"/>
    <xf numFmtId="182" fontId="142" fillId="27" borderId="0" xfId="19" applyNumberFormat="1" applyFont="1" applyFill="1"/>
    <xf numFmtId="182" fontId="148" fillId="27" borderId="0" xfId="19" applyNumberFormat="1" applyFont="1" applyFill="1" applyProtection="1"/>
    <xf numFmtId="37" fontId="142" fillId="0" borderId="0" xfId="22" applyFont="1" applyAlignment="1">
      <alignment horizontal="left"/>
    </xf>
    <xf numFmtId="181" fontId="142" fillId="0" borderId="0" xfId="22" applyNumberFormat="1" applyFont="1" applyAlignment="1" applyProtection="1">
      <alignment horizontal="center"/>
    </xf>
    <xf numFmtId="37" fontId="142" fillId="0" borderId="0" xfId="22" applyFont="1"/>
    <xf numFmtId="182" fontId="142" fillId="0" borderId="0" xfId="19" applyNumberFormat="1" applyFont="1" applyAlignment="1">
      <alignment horizontal="center"/>
    </xf>
    <xf numFmtId="182" fontId="142" fillId="0" borderId="0" xfId="19" applyNumberFormat="1" applyFont="1" applyAlignment="1">
      <alignment horizontal="right"/>
    </xf>
    <xf numFmtId="37" fontId="149" fillId="0" borderId="0" xfId="19" applyFont="1" applyAlignment="1">
      <alignment horizontal="center" vertical="center"/>
    </xf>
    <xf numFmtId="183" fontId="148" fillId="0" borderId="0" xfId="19" applyNumberFormat="1" applyFont="1" applyProtection="1"/>
    <xf numFmtId="37" fontId="142" fillId="0" borderId="0" xfId="19" quotePrefix="1" applyFont="1" applyAlignment="1">
      <alignment horizontal="right"/>
    </xf>
    <xf numFmtId="182" fontId="142" fillId="0" borderId="0" xfId="19" quotePrefix="1" applyNumberFormat="1" applyFont="1" applyFill="1" applyProtection="1"/>
    <xf numFmtId="183" fontId="148" fillId="0" borderId="0" xfId="19" applyNumberFormat="1" applyFont="1" applyFill="1" applyProtection="1"/>
    <xf numFmtId="182" fontId="148" fillId="0" borderId="0" xfId="19" applyNumberFormat="1" applyFont="1"/>
    <xf numFmtId="181" fontId="142" fillId="0" borderId="0" xfId="19" applyNumberFormat="1" applyFont="1" applyFill="1" applyAlignment="1" applyProtection="1">
      <alignment horizontal="center"/>
    </xf>
    <xf numFmtId="182" fontId="150" fillId="0" borderId="0" xfId="19" applyNumberFormat="1" applyFont="1" applyFill="1" applyProtection="1"/>
    <xf numFmtId="182" fontId="151" fillId="0" borderId="0" xfId="19" applyNumberFormat="1" applyFont="1" applyFill="1" applyProtection="1"/>
    <xf numFmtId="182" fontId="148" fillId="0" borderId="0" xfId="19" applyNumberFormat="1" applyFont="1" applyFill="1" applyBorder="1" applyProtection="1"/>
    <xf numFmtId="182" fontId="142" fillId="0" borderId="0" xfId="19" applyNumberFormat="1" applyFont="1" applyFill="1" applyAlignment="1">
      <alignment horizontal="right"/>
    </xf>
    <xf numFmtId="182" fontId="142" fillId="20" borderId="0" xfId="19" applyNumberFormat="1" applyFont="1" applyFill="1" applyProtection="1"/>
    <xf numFmtId="37" fontId="142" fillId="0" borderId="0" xfId="19" quotePrefix="1" applyFont="1" applyAlignment="1">
      <alignment horizontal="left"/>
    </xf>
    <xf numFmtId="182" fontId="142" fillId="0" borderId="0" xfId="19" quotePrefix="1" applyNumberFormat="1" applyFont="1" applyProtection="1"/>
    <xf numFmtId="182" fontId="142" fillId="0" borderId="0" xfId="19" quotePrefix="1" applyNumberFormat="1" applyFont="1" applyFill="1"/>
    <xf numFmtId="37" fontId="145" fillId="0" borderId="0" xfId="19" applyFont="1" applyAlignment="1">
      <alignment horizontal="left" vertical="center"/>
    </xf>
    <xf numFmtId="182" fontId="46" fillId="0" borderId="0" xfId="19" applyNumberFormat="1" applyFont="1" applyAlignment="1">
      <alignment vertical="center"/>
    </xf>
    <xf numFmtId="182" fontId="46" fillId="0" borderId="0" xfId="19" applyNumberFormat="1" applyFont="1" applyAlignment="1">
      <alignment horizontal="center" vertical="center"/>
    </xf>
    <xf numFmtId="182" fontId="147" fillId="0" borderId="0" xfId="19" applyNumberFormat="1" applyFont="1" applyAlignment="1" applyProtection="1">
      <alignment vertical="center"/>
    </xf>
    <xf numFmtId="183" fontId="46" fillId="0" borderId="0" xfId="19" applyNumberFormat="1" applyFont="1" applyAlignment="1" applyProtection="1">
      <alignment vertical="center"/>
    </xf>
    <xf numFmtId="37" fontId="46" fillId="0" borderId="0" xfId="19" applyFont="1" applyAlignment="1">
      <alignment horizontal="right" vertical="center"/>
    </xf>
    <xf numFmtId="181" fontId="46" fillId="0" borderId="0" xfId="19" applyNumberFormat="1" applyFont="1" applyAlignment="1" applyProtection="1">
      <alignment horizontal="center" vertical="center"/>
    </xf>
    <xf numFmtId="182" fontId="46" fillId="0" borderId="0" xfId="19" applyNumberFormat="1" applyFont="1" applyFill="1" applyAlignment="1">
      <alignment vertical="center"/>
    </xf>
    <xf numFmtId="182" fontId="46" fillId="0" borderId="0" xfId="19" applyNumberFormat="1" applyFont="1" applyFill="1" applyAlignment="1">
      <alignment horizontal="center" vertical="center"/>
    </xf>
    <xf numFmtId="182" fontId="46" fillId="0" borderId="0" xfId="19" applyNumberFormat="1" applyFont="1" applyFill="1" applyAlignment="1" applyProtection="1">
      <alignment vertical="center"/>
    </xf>
    <xf numFmtId="183" fontId="46" fillId="0" borderId="0" xfId="19" applyNumberFormat="1" applyFont="1" applyFill="1" applyAlignment="1" applyProtection="1">
      <alignment vertical="center"/>
    </xf>
    <xf numFmtId="182" fontId="147" fillId="0" borderId="0" xfId="19" applyNumberFormat="1" applyFont="1" applyAlignment="1">
      <alignment vertical="center"/>
    </xf>
    <xf numFmtId="182" fontId="147" fillId="0" borderId="0" xfId="19" applyNumberFormat="1" applyFont="1" applyFill="1" applyAlignment="1">
      <alignment vertical="center"/>
    </xf>
    <xf numFmtId="182" fontId="147" fillId="0" borderId="0" xfId="19" applyNumberFormat="1" applyFont="1" applyFill="1" applyAlignment="1" applyProtection="1">
      <alignment vertical="center"/>
    </xf>
    <xf numFmtId="183" fontId="147" fillId="0" borderId="0" xfId="19" applyNumberFormat="1" applyFont="1" applyFill="1" applyAlignment="1" applyProtection="1">
      <alignment vertical="center"/>
    </xf>
    <xf numFmtId="182" fontId="46" fillId="20" borderId="0" xfId="19" applyNumberFormat="1" applyFont="1" applyFill="1" applyAlignment="1">
      <alignment vertical="center"/>
    </xf>
    <xf numFmtId="37" fontId="145" fillId="0" borderId="0" xfId="19" applyFont="1" applyAlignment="1">
      <alignment vertical="center"/>
    </xf>
    <xf numFmtId="37" fontId="46" fillId="0" borderId="0" xfId="19" applyFont="1" applyAlignment="1">
      <alignment horizontal="left" vertical="center"/>
    </xf>
    <xf numFmtId="182" fontId="46" fillId="0" borderId="0" xfId="19" applyNumberFormat="1" applyFont="1" applyAlignment="1" applyProtection="1">
      <alignment horizontal="center" vertical="center"/>
    </xf>
    <xf numFmtId="182" fontId="46" fillId="0" borderId="0" xfId="19" applyNumberFormat="1" applyFont="1" applyAlignment="1">
      <alignment horizontal="right" vertical="center"/>
    </xf>
    <xf numFmtId="37" fontId="142" fillId="27" borderId="0" xfId="19" applyFont="1" applyFill="1" applyAlignment="1">
      <alignment horizontal="left"/>
    </xf>
    <xf numFmtId="37" fontId="142" fillId="27" borderId="0" xfId="19" quotePrefix="1" applyFont="1" applyFill="1" applyAlignment="1">
      <alignment horizontal="center"/>
    </xf>
    <xf numFmtId="184" fontId="142" fillId="0" borderId="0" xfId="19" applyNumberFormat="1" applyFont="1" applyProtection="1"/>
    <xf numFmtId="182" fontId="142" fillId="0" borderId="0" xfId="19" applyNumberFormat="1" applyFont="1" applyAlignment="1" applyProtection="1">
      <alignment horizontal="left"/>
    </xf>
    <xf numFmtId="37" fontId="142" fillId="27" borderId="0" xfId="19" applyFont="1" applyFill="1"/>
    <xf numFmtId="183" fontId="142" fillId="0" borderId="0" xfId="19" applyNumberFormat="1" applyFont="1" applyFill="1" applyBorder="1" applyProtection="1"/>
    <xf numFmtId="182" fontId="142" fillId="0" borderId="0" xfId="19" applyNumberFormat="1" applyFont="1" applyFill="1" applyAlignment="1" applyProtection="1">
      <alignment horizontal="left"/>
    </xf>
    <xf numFmtId="183" fontId="148" fillId="0" borderId="0" xfId="19" applyNumberFormat="1" applyFont="1" applyFill="1" applyBorder="1" applyProtection="1"/>
    <xf numFmtId="183" fontId="148" fillId="27" borderId="0" xfId="19" applyNumberFormat="1" applyFont="1" applyFill="1" applyBorder="1" applyProtection="1"/>
    <xf numFmtId="182" fontId="142" fillId="27" borderId="0" xfId="19" applyNumberFormat="1" applyFont="1" applyFill="1" applyAlignment="1" applyProtection="1">
      <alignment horizontal="left"/>
    </xf>
    <xf numFmtId="184" fontId="142" fillId="27" borderId="0" xfId="19" applyNumberFormat="1" applyFont="1" applyFill="1" applyProtection="1"/>
    <xf numFmtId="37" fontId="143" fillId="0" borderId="0" xfId="19" applyFont="1" applyAlignment="1">
      <alignment horizontal="center" vertical="center"/>
    </xf>
    <xf numFmtId="37" fontId="143" fillId="0" borderId="0" xfId="19" applyFont="1" applyFill="1" applyAlignment="1">
      <alignment vertical="center"/>
    </xf>
    <xf numFmtId="37" fontId="143" fillId="0" borderId="0" xfId="19" applyFont="1" applyAlignment="1" applyProtection="1">
      <alignment horizontal="left"/>
    </xf>
    <xf numFmtId="183" fontId="142" fillId="0" borderId="78" xfId="19" applyNumberFormat="1" applyFont="1" applyFill="1" applyBorder="1" applyProtection="1"/>
    <xf numFmtId="183" fontId="142" fillId="27" borderId="78" xfId="19" applyNumberFormat="1" applyFont="1" applyFill="1" applyBorder="1" applyProtection="1"/>
    <xf numFmtId="183" fontId="142" fillId="0" borderId="78" xfId="19" applyNumberFormat="1" applyFont="1" applyBorder="1" applyProtection="1"/>
    <xf numFmtId="183" fontId="142" fillId="0" borderId="76" xfId="19" applyNumberFormat="1" applyFont="1" applyBorder="1" applyProtection="1"/>
    <xf numFmtId="37" fontId="140" fillId="0" borderId="0" xfId="19" quotePrefix="1" applyFont="1" applyAlignment="1">
      <alignment horizontal="left"/>
    </xf>
    <xf numFmtId="10" fontId="142" fillId="0" borderId="0" xfId="19" applyNumberFormat="1" applyFont="1"/>
    <xf numFmtId="183" fontId="152" fillId="0" borderId="0" xfId="19" applyNumberFormat="1" applyFont="1" applyProtection="1"/>
    <xf numFmtId="37" fontId="140" fillId="0" borderId="0" xfId="19" applyFont="1"/>
    <xf numFmtId="182" fontId="142" fillId="0" borderId="0" xfId="19" applyNumberFormat="1" applyFont="1" applyAlignment="1" applyProtection="1">
      <alignment horizontal="center"/>
    </xf>
    <xf numFmtId="181" fontId="142" fillId="0" borderId="0" xfId="19" applyNumberFormat="1" applyFont="1" applyProtection="1"/>
    <xf numFmtId="182" fontId="142" fillId="0" borderId="0" xfId="19" applyNumberFormat="1" applyFont="1" applyAlignment="1">
      <alignment horizontal="left"/>
    </xf>
    <xf numFmtId="182" fontId="142" fillId="0" borderId="0" xfId="19" applyNumberFormat="1" applyFont="1" applyAlignment="1">
      <alignment horizontal="fill"/>
    </xf>
    <xf numFmtId="37" fontId="149" fillId="0" borderId="0" xfId="19" applyFont="1" applyAlignment="1">
      <alignment horizontal="left" vertical="center"/>
    </xf>
    <xf numFmtId="37" fontId="142" fillId="0" borderId="0" xfId="19" applyFont="1" applyAlignment="1"/>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54"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55"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56" fillId="0" borderId="0" xfId="3" applyFont="1" applyAlignment="1">
      <alignment horizontal="left"/>
    </xf>
    <xf numFmtId="0" fontId="12" fillId="0" borderId="0" xfId="3" applyFont="1" applyAlignment="1">
      <alignment horizontal="left"/>
    </xf>
    <xf numFmtId="0" fontId="37" fillId="0" borderId="0" xfId="3" applyFont="1"/>
    <xf numFmtId="0" fontId="156" fillId="0" borderId="0" xfId="3"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0" fillId="0" borderId="0" xfId="19" applyFont="1" applyAlignment="1">
      <alignment horizontal="center"/>
    </xf>
    <xf numFmtId="37" fontId="144" fillId="0" borderId="0" xfId="19" applyFont="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Border="1" applyAlignment="1" applyProtection="1">
      <alignment horizontal="left" vertical="top" wrapText="1"/>
    </xf>
    <xf numFmtId="0" fontId="63" fillId="0" borderId="0" xfId="3" applyFont="1" applyBorder="1" applyAlignment="1" applyProtection="1">
      <alignment horizontal="left" vertical="top" wrapText="1"/>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56" fillId="0" borderId="0" xfId="3" applyFont="1" applyBorder="1" applyAlignment="1" applyProtection="1">
      <alignment horizontal="left" vertical="center" wrapText="1"/>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55" fillId="0" borderId="0" xfId="3" applyNumberFormat="1" applyFont="1" applyAlignment="1" applyProtection="1">
      <alignment horizontal="center" vertical="center" wrapText="1"/>
    </xf>
  </cellXfs>
  <cellStyles count="24">
    <cellStyle name="Comma" xfId="1" builtinId="3"/>
    <cellStyle name="Comma 2" xfId="21"/>
    <cellStyle name="Hyperlink" xfId="2" builtinId="8"/>
    <cellStyle name="Hyperlink 2" xfId="15"/>
    <cellStyle name="Normal" xfId="0" builtinId="0"/>
    <cellStyle name="Normal 2" xfId="3"/>
    <cellStyle name="Normal 2 2" xfId="20"/>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6" xfId="22"/>
    <cellStyle name="Normal_THRESHOLD CALCULATOR v3" xfId="13"/>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80BD3D9A-1C64-4541-B884-9EA195D675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218D0B83-22BE-479E-A162-78C219268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E5545597-7ECA-463D-BE0B-E9CFC63C9F0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5449A3A2-01B0-484E-B22D-C647510EF0AE}"/>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120" t="s">
        <v>405</v>
      </c>
      <c r="J1" s="2121"/>
      <c r="K1" s="2121"/>
      <c r="L1" s="2121"/>
      <c r="M1" s="2121"/>
      <c r="N1" s="2121"/>
      <c r="O1" s="2121"/>
      <c r="P1" s="2121"/>
      <c r="Q1" s="2121"/>
      <c r="R1" s="2121"/>
      <c r="S1" s="2121"/>
    </row>
    <row r="2" spans="1:28" ht="12" customHeight="1" x14ac:dyDescent="0.2">
      <c r="A2" s="47" t="s">
        <v>1989</v>
      </c>
      <c r="D2" s="48"/>
      <c r="I2" s="2122" t="s">
        <v>979</v>
      </c>
      <c r="J2" s="2121"/>
      <c r="K2" s="2121"/>
      <c r="L2" s="2121"/>
      <c r="M2" s="2121"/>
      <c r="N2" s="2121"/>
      <c r="O2" s="2121"/>
      <c r="P2" s="2121"/>
      <c r="Q2" s="2121"/>
      <c r="R2" s="2121"/>
      <c r="S2" s="2121"/>
    </row>
    <row r="3" spans="1:28" ht="12" customHeight="1" x14ac:dyDescent="0.2">
      <c r="A3" s="155" t="s">
        <v>1941</v>
      </c>
      <c r="B3" s="156"/>
      <c r="C3" s="156"/>
      <c r="D3" s="157"/>
      <c r="I3" s="2122" t="s">
        <v>52</v>
      </c>
      <c r="J3" s="2121"/>
      <c r="K3" s="2121"/>
      <c r="L3" s="2121"/>
      <c r="M3" s="2121"/>
      <c r="N3" s="2121"/>
      <c r="O3" s="2121"/>
      <c r="P3" s="2121"/>
      <c r="Q3" s="2121"/>
      <c r="R3" s="2121"/>
      <c r="S3" s="2121"/>
    </row>
    <row r="4" spans="1:28" ht="12" customHeight="1" x14ac:dyDescent="0.2">
      <c r="A4" s="37"/>
      <c r="I4" s="2122" t="s">
        <v>524</v>
      </c>
      <c r="J4" s="2121"/>
      <c r="K4" s="2121"/>
      <c r="L4" s="2121"/>
      <c r="M4" s="2121"/>
      <c r="N4" s="2121"/>
      <c r="O4" s="2121"/>
      <c r="P4" s="2121"/>
      <c r="Q4" s="2121"/>
      <c r="R4" s="2121"/>
      <c r="S4" s="2121"/>
    </row>
    <row r="5" spans="1:28" ht="14.1" customHeight="1" x14ac:dyDescent="0.2">
      <c r="B5" s="104" t="s">
        <v>2066</v>
      </c>
      <c r="C5" s="26" t="s">
        <v>910</v>
      </c>
      <c r="D5" s="84"/>
      <c r="E5" s="84"/>
      <c r="H5" s="38"/>
      <c r="I5" s="2130" t="s">
        <v>680</v>
      </c>
      <c r="J5" s="2129"/>
      <c r="K5" s="2129"/>
      <c r="L5" s="2129"/>
      <c r="M5" s="2129"/>
      <c r="N5" s="2129"/>
      <c r="O5" s="2129"/>
      <c r="P5" s="2129"/>
      <c r="Q5" s="2129"/>
      <c r="R5" s="2129"/>
      <c r="S5" s="2129"/>
    </row>
    <row r="6" spans="1:28" ht="14.1" customHeight="1" x14ac:dyDescent="0.2">
      <c r="B6" s="104"/>
      <c r="C6" s="26" t="s">
        <v>911</v>
      </c>
      <c r="D6" s="84"/>
      <c r="E6" s="84"/>
      <c r="I6" s="2128" t="s">
        <v>883</v>
      </c>
      <c r="J6" s="2129"/>
      <c r="K6" s="2129"/>
      <c r="L6" s="2129"/>
      <c r="M6" s="2129"/>
      <c r="N6" s="2129"/>
      <c r="O6" s="2129"/>
      <c r="P6" s="2129"/>
      <c r="Q6" s="2129"/>
      <c r="R6" s="2129"/>
      <c r="S6" s="2129"/>
    </row>
    <row r="7" spans="1:28" ht="12.2" customHeight="1" x14ac:dyDescent="0.2">
      <c r="I7" s="2123">
        <v>43646</v>
      </c>
      <c r="J7" s="2124"/>
      <c r="K7" s="2124"/>
      <c r="L7" s="2124"/>
      <c r="M7" s="2124"/>
      <c r="N7" s="2124"/>
      <c r="O7" s="2124"/>
      <c r="P7" s="2124"/>
      <c r="Q7" s="2124"/>
      <c r="R7" s="2124"/>
      <c r="S7" s="21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5" t="s">
        <v>674</v>
      </c>
      <c r="J9" s="2126"/>
      <c r="K9" s="2126"/>
      <c r="L9" s="2126"/>
      <c r="M9" s="2126"/>
      <c r="N9" s="2126"/>
      <c r="O9" s="2126"/>
      <c r="P9" s="2126"/>
      <c r="Q9" s="2126"/>
      <c r="R9" s="2126"/>
      <c r="S9" s="2127"/>
      <c r="T9" s="2141" t="s">
        <v>533</v>
      </c>
      <c r="U9" s="2142"/>
      <c r="V9" s="2142"/>
      <c r="W9" s="2142"/>
      <c r="X9" s="2142"/>
      <c r="Y9" s="2142"/>
      <c r="Z9" s="2142"/>
      <c r="AA9" s="2143"/>
    </row>
    <row r="10" spans="1:28" ht="13.5" customHeight="1" x14ac:dyDescent="0.2">
      <c r="A10" s="2148" t="s">
        <v>675</v>
      </c>
      <c r="B10" s="2149"/>
      <c r="C10" s="2149"/>
      <c r="D10" s="2149"/>
      <c r="E10" s="2149"/>
      <c r="F10" s="2149"/>
      <c r="G10" s="2149"/>
      <c r="H10" s="2150"/>
      <c r="I10" s="29"/>
      <c r="J10" s="30"/>
      <c r="K10" s="28"/>
      <c r="R10" s="30"/>
      <c r="S10" s="30"/>
      <c r="T10" s="2144"/>
      <c r="U10" s="2129"/>
      <c r="V10" s="2129"/>
      <c r="W10" s="2129"/>
      <c r="X10" s="2129"/>
      <c r="Y10" s="2129"/>
      <c r="Z10" s="2129"/>
      <c r="AA10" s="2135"/>
    </row>
    <row r="11" spans="1:28" ht="14.25" customHeight="1" x14ac:dyDescent="0.2">
      <c r="A11" s="2151" t="s">
        <v>955</v>
      </c>
      <c r="B11" s="2152"/>
      <c r="C11" s="2152"/>
      <c r="D11" s="2152"/>
      <c r="E11" s="2152"/>
      <c r="F11" s="2152"/>
      <c r="G11" s="2152"/>
      <c r="H11" s="2153"/>
      <c r="I11" s="27"/>
      <c r="J11" s="74"/>
      <c r="K11" s="27"/>
      <c r="O11" s="148" t="s">
        <v>2066</v>
      </c>
      <c r="P11" s="100" t="s">
        <v>201</v>
      </c>
      <c r="Q11" s="30"/>
      <c r="R11" s="28"/>
      <c r="S11" s="27"/>
      <c r="T11" s="2145"/>
      <c r="U11" s="2146"/>
      <c r="V11" s="2146"/>
      <c r="W11" s="2146"/>
      <c r="X11" s="2146"/>
      <c r="Y11" s="2146"/>
      <c r="Z11" s="2146"/>
      <c r="AA11" s="214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55">
        <v>28037228026</v>
      </c>
      <c r="B13" s="2156"/>
      <c r="C13" s="2156"/>
      <c r="D13" s="2156"/>
      <c r="E13" s="2156"/>
      <c r="F13" s="2156"/>
      <c r="G13" s="2156"/>
      <c r="H13" s="2157"/>
      <c r="I13" s="31"/>
      <c r="J13" s="30"/>
      <c r="K13" s="28"/>
      <c r="L13" s="30"/>
      <c r="M13" s="30"/>
      <c r="N13" s="30"/>
      <c r="O13" s="30"/>
      <c r="P13" s="30"/>
      <c r="Q13" s="30"/>
      <c r="R13" s="30"/>
      <c r="S13" s="30"/>
      <c r="T13" s="2160" t="s">
        <v>2068</v>
      </c>
      <c r="U13" s="2161"/>
      <c r="V13" s="2161"/>
      <c r="W13" s="2161"/>
      <c r="X13" s="2161"/>
      <c r="Y13" s="2162"/>
      <c r="Z13" s="2162"/>
      <c r="AA13" s="216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54" t="s">
        <v>2070</v>
      </c>
      <c r="B15" s="2158"/>
      <c r="C15" s="2158"/>
      <c r="D15" s="2158"/>
      <c r="E15" s="2158"/>
      <c r="F15" s="2158"/>
      <c r="G15" s="2158"/>
      <c r="H15" s="2159"/>
      <c r="T15" s="2164" t="s">
        <v>2075</v>
      </c>
      <c r="U15" s="2108"/>
      <c r="V15" s="2108"/>
      <c r="W15" s="2108"/>
      <c r="X15" s="2108"/>
      <c r="Y15" s="2165"/>
      <c r="Z15" s="2165"/>
      <c r="AA15" s="216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14" t="s">
        <v>2290</v>
      </c>
      <c r="B17" s="2115"/>
      <c r="C17" s="2115"/>
      <c r="D17" s="2115"/>
      <c r="E17" s="2115"/>
      <c r="F17" s="2115"/>
      <c r="G17" s="2115"/>
      <c r="H17" s="2140"/>
      <c r="T17" s="2171" t="s">
        <v>2060</v>
      </c>
      <c r="U17" s="2172"/>
      <c r="V17" s="2172"/>
      <c r="W17" s="2172"/>
      <c r="X17" s="2172"/>
      <c r="Y17" s="2172"/>
      <c r="Z17" s="2172"/>
      <c r="AA17" s="2173"/>
    </row>
    <row r="18" spans="1:27" ht="13.5" customHeight="1" x14ac:dyDescent="0.2">
      <c r="A18" s="85" t="s">
        <v>530</v>
      </c>
      <c r="B18" s="76"/>
      <c r="C18" s="72"/>
      <c r="D18" s="76"/>
      <c r="E18" s="76"/>
      <c r="F18" s="76"/>
      <c r="G18" s="76"/>
      <c r="H18" s="56"/>
      <c r="I18" s="2139" t="s">
        <v>676</v>
      </c>
      <c r="J18" s="2090"/>
      <c r="K18" s="2090"/>
      <c r="L18" s="2090"/>
      <c r="M18" s="2090"/>
      <c r="N18" s="2090"/>
      <c r="O18" s="2090"/>
      <c r="P18" s="2090"/>
      <c r="Q18" s="2090"/>
      <c r="R18" s="2090"/>
      <c r="S18" s="2091"/>
      <c r="T18" s="85" t="s">
        <v>711</v>
      </c>
      <c r="U18" s="51"/>
      <c r="V18" s="72"/>
      <c r="W18" s="50"/>
      <c r="X18" s="85" t="s">
        <v>266</v>
      </c>
      <c r="Y18" s="81"/>
      <c r="Z18" s="159" t="s">
        <v>677</v>
      </c>
      <c r="AA18" s="46"/>
    </row>
    <row r="19" spans="1:27" ht="13.5" customHeight="1" x14ac:dyDescent="0.2">
      <c r="A19" s="2154" t="s">
        <v>2072</v>
      </c>
      <c r="B19" s="2100"/>
      <c r="C19" s="2100"/>
      <c r="D19" s="2100"/>
      <c r="E19" s="2100"/>
      <c r="F19" s="2100"/>
      <c r="G19" s="2100"/>
      <c r="H19" s="2080"/>
      <c r="I19" s="30"/>
      <c r="J19" s="99"/>
      <c r="K19" s="40"/>
      <c r="L19" s="38"/>
      <c r="M19" s="112" t="s">
        <v>315</v>
      </c>
      <c r="P19" s="27"/>
      <c r="Q19" s="27"/>
      <c r="R19" s="27"/>
      <c r="S19" s="31"/>
      <c r="T19" s="2154" t="s">
        <v>2061</v>
      </c>
      <c r="U19" s="2079"/>
      <c r="V19" s="2079"/>
      <c r="W19" s="2080"/>
      <c r="X19" s="2169" t="s">
        <v>2062</v>
      </c>
      <c r="Y19" s="2170"/>
      <c r="Z19" s="2167">
        <v>61614</v>
      </c>
      <c r="AA19" s="216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78" t="s">
        <v>2073</v>
      </c>
      <c r="B21" s="2079"/>
      <c r="C21" s="2079"/>
      <c r="D21" s="2079"/>
      <c r="E21" s="2079"/>
      <c r="F21" s="2079"/>
      <c r="G21" s="2079"/>
      <c r="H21" s="2080"/>
      <c r="I21" s="2134" t="s">
        <v>678</v>
      </c>
      <c r="J21" s="2129"/>
      <c r="K21" s="2129"/>
      <c r="L21" s="2129"/>
      <c r="M21" s="2129"/>
      <c r="N21" s="2129"/>
      <c r="O21" s="2129"/>
      <c r="P21" s="2129"/>
      <c r="Q21" s="2129"/>
      <c r="R21" s="2129"/>
      <c r="S21" s="2135"/>
      <c r="T21" s="2178" t="s">
        <v>2063</v>
      </c>
      <c r="U21" s="2179"/>
      <c r="V21" s="2179"/>
      <c r="W21" s="2179"/>
      <c r="X21" s="2184" t="s">
        <v>2064</v>
      </c>
      <c r="Y21" s="2185"/>
      <c r="Z21" s="2185"/>
      <c r="AA21" s="2186"/>
    </row>
    <row r="22" spans="1:27" ht="13.5" customHeight="1" x14ac:dyDescent="0.2">
      <c r="A22" s="87" t="s">
        <v>531</v>
      </c>
      <c r="B22" s="59"/>
      <c r="C22" s="59"/>
      <c r="D22" s="59"/>
      <c r="E22" s="59"/>
      <c r="F22" s="59"/>
      <c r="G22" s="59"/>
      <c r="H22" s="60"/>
      <c r="I22" s="2136" t="s">
        <v>1429</v>
      </c>
      <c r="J22" s="2137"/>
      <c r="K22" s="2137"/>
      <c r="L22" s="2137"/>
      <c r="M22" s="2137"/>
      <c r="N22" s="2137"/>
      <c r="O22" s="2137"/>
      <c r="P22" s="2137"/>
      <c r="Q22" s="2137"/>
      <c r="R22" s="2137"/>
      <c r="S22" s="2138"/>
      <c r="T22" s="85" t="s">
        <v>1516</v>
      </c>
      <c r="U22" s="51"/>
      <c r="V22" s="72"/>
      <c r="W22" s="51"/>
      <c r="X22" s="160" t="s">
        <v>1318</v>
      </c>
      <c r="Z22" s="45"/>
      <c r="AA22" s="46"/>
    </row>
    <row r="23" spans="1:27" ht="13.5" customHeight="1" x14ac:dyDescent="0.2">
      <c r="A23" s="2131" t="s">
        <v>2074</v>
      </c>
      <c r="B23" s="2132"/>
      <c r="C23" s="2132"/>
      <c r="D23" s="2132"/>
      <c r="E23" s="2132"/>
      <c r="F23" s="2132"/>
      <c r="G23" s="2132"/>
      <c r="H23" s="2133"/>
      <c r="T23" s="2114" t="s">
        <v>2065</v>
      </c>
      <c r="U23" s="2177"/>
      <c r="V23" s="2177"/>
      <c r="W23" s="2177"/>
      <c r="X23" s="2181">
        <v>44501</v>
      </c>
      <c r="Y23" s="2182"/>
      <c r="Z23" s="2182"/>
      <c r="AA23" s="2183"/>
    </row>
    <row r="24" spans="1:27" ht="14.1" customHeight="1" x14ac:dyDescent="0.2">
      <c r="A24" s="88" t="s">
        <v>677</v>
      </c>
      <c r="B24" s="49"/>
      <c r="C24" s="49"/>
      <c r="D24" s="49"/>
      <c r="E24" s="49"/>
      <c r="F24" s="49"/>
      <c r="G24" s="49"/>
      <c r="H24" s="61"/>
      <c r="J24" s="2101">
        <f>IF(B5="x",IF(AUDITCHECK!D29="AFR form Incomplete.","",IF(AUDITCHECK!D29="Deficit reduction plan is required.","School District must complete a deficit reduction plan in the 2019-2020 Budget",)),"")</f>
        <v>0</v>
      </c>
      <c r="K24" s="2101"/>
      <c r="L24" s="2101"/>
      <c r="M24" s="2101"/>
      <c r="N24" s="2101"/>
      <c r="O24" s="2101"/>
      <c r="P24" s="2101"/>
      <c r="Q24" s="2101"/>
      <c r="R24" s="2101"/>
      <c r="S24" s="2102"/>
      <c r="T24" s="105" t="s">
        <v>531</v>
      </c>
      <c r="U24" s="106"/>
      <c r="V24" s="106"/>
      <c r="W24" s="106"/>
      <c r="X24" s="107"/>
      <c r="Y24" s="107"/>
      <c r="Z24" s="107"/>
      <c r="AA24" s="108"/>
    </row>
    <row r="25" spans="1:27" ht="14.1" customHeight="1" x14ac:dyDescent="0.2">
      <c r="A25" s="2078">
        <v>61254</v>
      </c>
      <c r="B25" s="2079"/>
      <c r="C25" s="2079"/>
      <c r="D25" s="2079"/>
      <c r="E25" s="2079"/>
      <c r="F25" s="2079"/>
      <c r="G25" s="2079"/>
      <c r="H25" s="2080"/>
      <c r="I25" s="113"/>
      <c r="J25" s="2103"/>
      <c r="K25" s="2103"/>
      <c r="L25" s="2103"/>
      <c r="M25" s="2103"/>
      <c r="N25" s="2103"/>
      <c r="O25" s="2103"/>
      <c r="P25" s="2103"/>
      <c r="Q25" s="2103"/>
      <c r="R25" s="2103"/>
      <c r="S25" s="2104"/>
      <c r="T25" s="2174" t="s">
        <v>2076</v>
      </c>
      <c r="U25" s="2175"/>
      <c r="V25" s="2175"/>
      <c r="W25" s="2175"/>
      <c r="X25" s="2175"/>
      <c r="Y25" s="2175"/>
      <c r="Z25" s="2175"/>
      <c r="AA25" s="21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9" t="s">
        <v>1511</v>
      </c>
      <c r="J27" s="2090"/>
      <c r="K27" s="2090"/>
      <c r="L27" s="2090"/>
      <c r="M27" s="2090"/>
      <c r="N27" s="2090"/>
      <c r="O27" s="2090"/>
      <c r="P27" s="2090"/>
      <c r="Q27" s="2090"/>
      <c r="R27" s="2090"/>
      <c r="S27" s="209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48" t="s">
        <v>2066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2066</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00"/>
      <c r="Q35" s="2079"/>
      <c r="R35" s="20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14" t="s">
        <v>2077</v>
      </c>
      <c r="B38" s="2115"/>
      <c r="C38" s="2115"/>
      <c r="D38" s="2115"/>
      <c r="E38" s="2115"/>
      <c r="F38" s="2079"/>
      <c r="G38" s="2079"/>
      <c r="H38" s="2080"/>
      <c r="I38" s="2107"/>
      <c r="J38" s="2108"/>
      <c r="K38" s="2108"/>
      <c r="L38" s="2108"/>
      <c r="M38" s="2108"/>
      <c r="N38" s="2108"/>
      <c r="O38" s="2108"/>
      <c r="P38" s="2109"/>
      <c r="Q38" s="2109"/>
      <c r="R38" s="2109"/>
      <c r="S38" s="2110"/>
      <c r="T38" s="2164"/>
      <c r="U38" s="2108"/>
      <c r="V38" s="2108"/>
      <c r="W38" s="2108"/>
      <c r="X38" s="2109"/>
      <c r="Y38" s="2109"/>
      <c r="Z38" s="2109"/>
      <c r="AA38" s="2110"/>
    </row>
    <row r="39" spans="1:27" ht="12" customHeight="1" x14ac:dyDescent="0.2">
      <c r="A39" s="2084" t="s">
        <v>531</v>
      </c>
      <c r="B39" s="2085"/>
      <c r="C39" s="72"/>
      <c r="D39" s="69"/>
      <c r="E39" s="69"/>
      <c r="F39" s="79"/>
      <c r="G39" s="69"/>
      <c r="H39" s="56"/>
      <c r="I39" s="2084" t="s">
        <v>531</v>
      </c>
      <c r="J39" s="2085"/>
      <c r="K39" s="2085"/>
      <c r="L39" s="2085"/>
      <c r="M39" s="2085"/>
      <c r="N39" s="67"/>
      <c r="O39" s="72"/>
      <c r="P39" s="72"/>
      <c r="Q39" s="78"/>
      <c r="R39" s="72"/>
      <c r="S39" s="56"/>
      <c r="T39" s="72" t="s">
        <v>531</v>
      </c>
      <c r="U39" s="51"/>
      <c r="V39" s="72"/>
      <c r="W39" s="50"/>
      <c r="X39" s="78"/>
      <c r="Y39" s="45"/>
      <c r="Z39" s="45"/>
      <c r="AA39" s="46"/>
    </row>
    <row r="40" spans="1:27" ht="13.5" customHeight="1" x14ac:dyDescent="0.2">
      <c r="A40" s="2092" t="s">
        <v>2078</v>
      </c>
      <c r="B40" s="2093"/>
      <c r="C40" s="2094"/>
      <c r="D40" s="2094"/>
      <c r="E40" s="2094"/>
      <c r="F40" s="2095"/>
      <c r="G40" s="2095"/>
      <c r="H40" s="2096"/>
      <c r="I40" s="2117"/>
      <c r="J40" s="2118"/>
      <c r="K40" s="2118"/>
      <c r="L40" s="2118"/>
      <c r="M40" s="2118"/>
      <c r="N40" s="2118"/>
      <c r="O40" s="2118"/>
      <c r="P40" s="2118"/>
      <c r="Q40" s="2118"/>
      <c r="R40" s="2118"/>
      <c r="S40" s="2119"/>
      <c r="T40" s="2117"/>
      <c r="U40" s="2180"/>
      <c r="V40" s="2118"/>
      <c r="W40" s="2118"/>
      <c r="X40" s="2118"/>
      <c r="Y40" s="2118"/>
      <c r="Z40" s="2118"/>
      <c r="AA40" s="211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06" t="s">
        <v>2079</v>
      </c>
      <c r="B42" s="2098"/>
      <c r="C42" s="2099"/>
      <c r="D42" s="2097" t="s">
        <v>2080</v>
      </c>
      <c r="E42" s="2098"/>
      <c r="F42" s="2098"/>
      <c r="G42" s="2098"/>
      <c r="H42" s="2099"/>
      <c r="I42" s="2081"/>
      <c r="J42" s="2082"/>
      <c r="K42" s="2082"/>
      <c r="L42" s="2082"/>
      <c r="M42" s="2082"/>
      <c r="N42" s="2082"/>
      <c r="O42" s="2083"/>
      <c r="P42" s="2116"/>
      <c r="Q42" s="2082"/>
      <c r="R42" s="2082"/>
      <c r="S42" s="2083"/>
      <c r="T42" s="2081"/>
      <c r="U42" s="2082"/>
      <c r="V42" s="2082"/>
      <c r="W42" s="2083"/>
      <c r="X42" s="2116"/>
      <c r="Y42" s="2082"/>
      <c r="Z42" s="2082"/>
      <c r="AA42" s="208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11"/>
      <c r="B44" s="2112"/>
      <c r="C44" s="2112"/>
      <c r="D44" s="2112"/>
      <c r="E44" s="2112"/>
      <c r="F44" s="2112"/>
      <c r="G44" s="2112"/>
      <c r="H44" s="2113"/>
      <c r="I44" s="2086"/>
      <c r="J44" s="2087"/>
      <c r="K44" s="2087"/>
      <c r="L44" s="2087"/>
      <c r="M44" s="2087"/>
      <c r="N44" s="2087"/>
      <c r="O44" s="2087"/>
      <c r="P44" s="2087"/>
      <c r="Q44" s="2087"/>
      <c r="R44" s="2087"/>
      <c r="S44" s="2088"/>
      <c r="T44" s="2086"/>
      <c r="U44" s="2105"/>
      <c r="V44" s="2105"/>
      <c r="W44" s="2105"/>
      <c r="X44" s="2105"/>
      <c r="Y44" s="2105"/>
      <c r="Z44" s="2087"/>
      <c r="AA44" s="208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320" t="s">
        <v>1798</v>
      </c>
      <c r="B2" s="1524" t="s">
        <v>1947</v>
      </c>
      <c r="C2" s="711" t="s">
        <v>1948</v>
      </c>
      <c r="D2" s="711" t="s">
        <v>1949</v>
      </c>
      <c r="E2" s="711" t="s">
        <v>1950</v>
      </c>
      <c r="F2" s="711" t="s">
        <v>1951</v>
      </c>
    </row>
    <row r="3" spans="1:6" ht="12" customHeight="1" x14ac:dyDescent="0.2">
      <c r="A3" s="2321"/>
      <c r="B3" s="1521"/>
      <c r="C3" s="1522"/>
      <c r="D3" s="1523" t="s">
        <v>256</v>
      </c>
      <c r="E3" s="1522"/>
      <c r="F3" s="1523" t="s">
        <v>257</v>
      </c>
    </row>
    <row r="4" spans="1:6" ht="13.7" customHeight="1" x14ac:dyDescent="0.2">
      <c r="A4" s="712" t="s">
        <v>1155</v>
      </c>
      <c r="B4" s="1745">
        <f>'Revenues 9-14'!C5</f>
        <v>8690439</v>
      </c>
      <c r="C4" s="1520">
        <v>5022370</v>
      </c>
      <c r="D4" s="1748">
        <f>B4-C4</f>
        <v>3668069</v>
      </c>
      <c r="E4" s="1520">
        <v>8785576</v>
      </c>
      <c r="F4" s="1748">
        <f>E4-C4</f>
        <v>3763206</v>
      </c>
    </row>
    <row r="5" spans="1:6" ht="13.7" customHeight="1" x14ac:dyDescent="0.2">
      <c r="A5" s="712" t="s">
        <v>870</v>
      </c>
      <c r="B5" s="1746">
        <f>'Revenues 9-14'!D5</f>
        <v>1849029</v>
      </c>
      <c r="C5" s="582">
        <v>1068589</v>
      </c>
      <c r="D5" s="1749">
        <f t="shared" ref="D5:D18" si="0">B5-C5</f>
        <v>780440</v>
      </c>
      <c r="E5" s="582">
        <v>1869272</v>
      </c>
      <c r="F5" s="1749">
        <f>E5-C5</f>
        <v>800683</v>
      </c>
    </row>
    <row r="6" spans="1:6" ht="13.7" customHeight="1" x14ac:dyDescent="0.2">
      <c r="A6" s="712" t="s">
        <v>411</v>
      </c>
      <c r="B6" s="1746">
        <f>'Revenues 9-14'!E5</f>
        <v>2680919</v>
      </c>
      <c r="C6" s="582">
        <v>1622118</v>
      </c>
      <c r="D6" s="1749">
        <f t="shared" si="0"/>
        <v>1058801</v>
      </c>
      <c r="E6" s="582">
        <v>2837554</v>
      </c>
      <c r="F6" s="1749">
        <f t="shared" ref="F6:F18" si="1">E6-C6</f>
        <v>1215436</v>
      </c>
    </row>
    <row r="7" spans="1:6" ht="13.7" customHeight="1" x14ac:dyDescent="0.2">
      <c r="A7" s="712" t="s">
        <v>155</v>
      </c>
      <c r="B7" s="1746">
        <f>'Revenues 9-14'!F5</f>
        <v>739613</v>
      </c>
      <c r="C7" s="582">
        <v>427436</v>
      </c>
      <c r="D7" s="1749">
        <f t="shared" si="0"/>
        <v>312177</v>
      </c>
      <c r="E7" s="582">
        <v>747709</v>
      </c>
      <c r="F7" s="1749">
        <f t="shared" si="1"/>
        <v>320273</v>
      </c>
    </row>
    <row r="8" spans="1:6" ht="13.7" customHeight="1" x14ac:dyDescent="0.2">
      <c r="A8" s="712" t="s">
        <v>1179</v>
      </c>
      <c r="B8" s="1746">
        <f>'Revenues 9-14'!G5</f>
        <v>297433</v>
      </c>
      <c r="C8" s="582">
        <v>157296</v>
      </c>
      <c r="D8" s="1749">
        <f t="shared" si="0"/>
        <v>140137</v>
      </c>
      <c r="E8" s="582">
        <v>275157</v>
      </c>
      <c r="F8" s="1749">
        <f t="shared" si="1"/>
        <v>117861</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184903</v>
      </c>
      <c r="C10" s="582">
        <v>106859</v>
      </c>
      <c r="D10" s="1749">
        <f t="shared" si="0"/>
        <v>78044</v>
      </c>
      <c r="E10" s="582">
        <v>186927</v>
      </c>
      <c r="F10" s="1749">
        <f t="shared" si="1"/>
        <v>80068</v>
      </c>
    </row>
    <row r="11" spans="1:6" x14ac:dyDescent="0.2">
      <c r="A11" s="712" t="s">
        <v>409</v>
      </c>
      <c r="B11" s="1746">
        <f>'Revenues 9-14'!J5</f>
        <v>812904</v>
      </c>
      <c r="C11" s="582">
        <v>500313</v>
      </c>
      <c r="D11" s="1749">
        <f t="shared" si="0"/>
        <v>312591</v>
      </c>
      <c r="E11" s="582">
        <v>875193</v>
      </c>
      <c r="F11" s="1749">
        <f t="shared" si="1"/>
        <v>374880</v>
      </c>
    </row>
    <row r="12" spans="1:6" ht="13.7" customHeight="1" x14ac:dyDescent="0.2">
      <c r="A12" s="712" t="s">
        <v>157</v>
      </c>
      <c r="B12" s="1746">
        <f>'Revenues 9-14'!K5</f>
        <v>0</v>
      </c>
      <c r="C12" s="582">
        <v>0</v>
      </c>
      <c r="D12" s="1749">
        <f t="shared" si="0"/>
        <v>0</v>
      </c>
      <c r="E12" s="582">
        <v>0</v>
      </c>
      <c r="F12" s="1749">
        <f t="shared" si="1"/>
        <v>0</v>
      </c>
    </row>
    <row r="13" spans="1:6" ht="13.7" customHeight="1" x14ac:dyDescent="0.2">
      <c r="A13" s="712" t="s">
        <v>936</v>
      </c>
      <c r="B13" s="1746">
        <f>SUM('Revenues 9-14'!C6:D6)</f>
        <v>38068</v>
      </c>
      <c r="C13" s="582">
        <v>5770</v>
      </c>
      <c r="D13" s="1749">
        <f t="shared" si="0"/>
        <v>32298</v>
      </c>
      <c r="E13" s="582">
        <v>10094</v>
      </c>
      <c r="F13" s="1749">
        <f t="shared" si="1"/>
        <v>4324</v>
      </c>
    </row>
    <row r="14" spans="1:6" ht="13.7" customHeight="1" x14ac:dyDescent="0.2">
      <c r="A14" s="712" t="s">
        <v>410</v>
      </c>
      <c r="B14" s="1746">
        <f>SUM('Revenues 9-14'!C7:D7,'Revenues 9-14'!F7:H7)</f>
        <v>147922</v>
      </c>
      <c r="C14" s="582">
        <v>85487</v>
      </c>
      <c r="D14" s="1749">
        <f t="shared" si="0"/>
        <v>62435</v>
      </c>
      <c r="E14" s="582">
        <v>149542</v>
      </c>
      <c r="F14" s="1749">
        <f t="shared" si="1"/>
        <v>64055</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297549</v>
      </c>
      <c r="C16" s="582">
        <v>157296</v>
      </c>
      <c r="D16" s="1749">
        <f t="shared" si="0"/>
        <v>140253</v>
      </c>
      <c r="E16" s="582">
        <v>275157</v>
      </c>
      <c r="F16" s="1749">
        <f t="shared" si="1"/>
        <v>117861</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15738779</v>
      </c>
      <c r="C19" s="1747">
        <f>SUM(C4:C18)</f>
        <v>9153534</v>
      </c>
      <c r="D19" s="1747">
        <f>SUM(D4:D18)</f>
        <v>6585245</v>
      </c>
      <c r="E19" s="1747">
        <f>SUM(E4:E18)</f>
        <v>16012181</v>
      </c>
      <c r="F19" s="1747">
        <f>SUM(F4:F18)</f>
        <v>6858647</v>
      </c>
    </row>
    <row r="20" spans="1:6" ht="13.5" thickTop="1" x14ac:dyDescent="0.2">
      <c r="B20" s="710"/>
      <c r="F20" s="713"/>
    </row>
    <row r="21" spans="1:6" x14ac:dyDescent="0.2">
      <c r="A21" s="714" t="s">
        <v>1804</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42" t="s">
        <v>629</v>
      </c>
      <c r="B1" s="2340"/>
      <c r="C1" s="718"/>
    </row>
    <row r="2" spans="1:7" ht="33.75" x14ac:dyDescent="0.2">
      <c r="A2" s="2347" t="s">
        <v>1798</v>
      </c>
      <c r="B2" s="2348"/>
      <c r="C2" s="1878" t="s">
        <v>1952</v>
      </c>
      <c r="D2" s="720" t="s">
        <v>1953</v>
      </c>
      <c r="E2" s="720" t="s">
        <v>1954</v>
      </c>
      <c r="F2" s="1878" t="s">
        <v>1955</v>
      </c>
    </row>
    <row r="3" spans="1:7" ht="15.75" customHeight="1" x14ac:dyDescent="0.2">
      <c r="A3" s="2349" t="s">
        <v>1114</v>
      </c>
      <c r="B3" s="2350"/>
      <c r="C3" s="2343"/>
      <c r="D3" s="2344"/>
      <c r="E3" s="2344"/>
      <c r="F3" s="2345"/>
    </row>
    <row r="4" spans="1:7" ht="12.75" customHeight="1" thickBot="1" x14ac:dyDescent="0.25">
      <c r="A4" s="2337" t="s">
        <v>630</v>
      </c>
      <c r="B4" s="2338"/>
      <c r="C4" s="578"/>
      <c r="D4" s="578"/>
      <c r="E4" s="578"/>
      <c r="F4" s="1751">
        <f>SUM(C4+D4)-E4</f>
        <v>0</v>
      </c>
    </row>
    <row r="5" spans="1:7" ht="15.75" customHeight="1" thickTop="1" x14ac:dyDescent="0.2">
      <c r="A5" s="2341" t="s">
        <v>1110</v>
      </c>
      <c r="B5" s="2336"/>
      <c r="C5" s="2330"/>
      <c r="D5" s="2331"/>
      <c r="E5" s="2331"/>
      <c r="F5" s="2332"/>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333" t="s">
        <v>631</v>
      </c>
      <c r="B15" s="2334"/>
      <c r="C15" s="1751">
        <f>SUM(C6:C14)</f>
        <v>0</v>
      </c>
      <c r="D15" s="1751">
        <f>SUM(D6:D14)</f>
        <v>0</v>
      </c>
      <c r="E15" s="1751">
        <f>SUM(E6:E14)</f>
        <v>0</v>
      </c>
      <c r="F15" s="1751">
        <f>SUM(F6:F14)</f>
        <v>0</v>
      </c>
      <c r="G15" s="549"/>
    </row>
    <row r="16" spans="1:7" s="202" customFormat="1" ht="15.75" customHeight="1" thickTop="1" x14ac:dyDescent="0.2">
      <c r="A16" s="2346" t="s">
        <v>1111</v>
      </c>
      <c r="B16" s="2336"/>
      <c r="C16" s="2330"/>
      <c r="D16" s="2331"/>
      <c r="E16" s="2331"/>
      <c r="F16" s="2332"/>
    </row>
    <row r="17" spans="1:11" ht="12.75" customHeight="1" thickBot="1" x14ac:dyDescent="0.25">
      <c r="A17" s="2328" t="s">
        <v>64</v>
      </c>
      <c r="B17" s="2329"/>
      <c r="C17" s="723"/>
      <c r="D17" s="582"/>
      <c r="E17" s="723"/>
      <c r="F17" s="1751">
        <f>SUM(C17+D17)-E17</f>
        <v>0</v>
      </c>
    </row>
    <row r="18" spans="1:11" ht="12.75" customHeight="1" thickTop="1" thickBot="1" x14ac:dyDescent="0.25">
      <c r="A18" s="2328" t="s">
        <v>6</v>
      </c>
      <c r="B18" s="2329"/>
      <c r="C18" s="723"/>
      <c r="D18" s="582"/>
      <c r="E18" s="723"/>
      <c r="F18" s="1751">
        <f>SUM(C18+D18)-E18</f>
        <v>0</v>
      </c>
    </row>
    <row r="19" spans="1:11" ht="12.75" customHeight="1" thickTop="1" thickBot="1" x14ac:dyDescent="0.25">
      <c r="A19" s="2328" t="s">
        <v>388</v>
      </c>
      <c r="B19" s="2329"/>
      <c r="C19" s="723"/>
      <c r="D19" s="582"/>
      <c r="E19" s="723"/>
      <c r="F19" s="1751">
        <f>SUM(C19+D19)-E19</f>
        <v>0</v>
      </c>
    </row>
    <row r="20" spans="1:11" ht="12.75" customHeight="1" thickTop="1" thickBot="1" x14ac:dyDescent="0.25">
      <c r="A20" s="2328" t="s">
        <v>448</v>
      </c>
      <c r="B20" s="2329"/>
      <c r="C20" s="723"/>
      <c r="D20" s="582"/>
      <c r="E20" s="723"/>
      <c r="F20" s="1751">
        <f>SUM(C20+D20)-E20</f>
        <v>0</v>
      </c>
    </row>
    <row r="21" spans="1:11" ht="14.25" thickTop="1" thickBot="1" x14ac:dyDescent="0.25">
      <c r="A21" s="2333" t="s">
        <v>632</v>
      </c>
      <c r="B21" s="2334"/>
      <c r="C21" s="1751">
        <f>SUM(C17:C20)</f>
        <v>0</v>
      </c>
      <c r="D21" s="1751">
        <f>SUM(D17:D20)</f>
        <v>0</v>
      </c>
      <c r="E21" s="1751">
        <f>SUM(E17:E20)</f>
        <v>0</v>
      </c>
      <c r="F21" s="1751">
        <f>SUM(F17:F20)</f>
        <v>0</v>
      </c>
      <c r="G21" s="549"/>
    </row>
    <row r="22" spans="1:11" ht="15.75" customHeight="1" thickTop="1" x14ac:dyDescent="0.2">
      <c r="A22" s="2335" t="s">
        <v>1112</v>
      </c>
      <c r="B22" s="2336"/>
      <c r="C22" s="2330"/>
      <c r="D22" s="2331"/>
      <c r="E22" s="2331"/>
      <c r="F22" s="2332"/>
    </row>
    <row r="23" spans="1:11" ht="13.5" thickBot="1" x14ac:dyDescent="0.25">
      <c r="A23" s="2337" t="s">
        <v>633</v>
      </c>
      <c r="B23" s="2338"/>
      <c r="C23" s="578"/>
      <c r="D23" s="578"/>
      <c r="E23" s="578"/>
      <c r="F23" s="1751">
        <f>SUM(C23+D23)-E23</f>
        <v>0</v>
      </c>
      <c r="G23" s="549"/>
    </row>
    <row r="24" spans="1:11" ht="15.75" customHeight="1" thickTop="1" x14ac:dyDescent="0.2">
      <c r="A24" s="2335" t="s">
        <v>1113</v>
      </c>
      <c r="B24" s="2336"/>
      <c r="C24" s="2330"/>
      <c r="D24" s="2331"/>
      <c r="E24" s="2331"/>
      <c r="F24" s="2332"/>
    </row>
    <row r="25" spans="1:11" ht="13.5" thickBot="1" x14ac:dyDescent="0.25">
      <c r="A25" s="2337" t="s">
        <v>634</v>
      </c>
      <c r="B25" s="2338"/>
      <c r="C25" s="578"/>
      <c r="D25" s="578"/>
      <c r="E25" s="578"/>
      <c r="F25" s="1751">
        <f>SUM(C25+D25)-E25</f>
        <v>0</v>
      </c>
      <c r="G25" s="549"/>
    </row>
    <row r="26" spans="1:11" ht="15.75" customHeight="1" thickTop="1" x14ac:dyDescent="0.2">
      <c r="A26" s="2341" t="s">
        <v>657</v>
      </c>
      <c r="B26" s="2336"/>
      <c r="C26" s="724"/>
      <c r="D26" s="724"/>
      <c r="E26" s="724"/>
      <c r="F26" s="725"/>
    </row>
    <row r="27" spans="1:11" ht="13.5" thickBot="1" x14ac:dyDescent="0.25">
      <c r="A27" s="2333" t="s">
        <v>1070</v>
      </c>
      <c r="B27" s="2334"/>
      <c r="C27" s="582"/>
      <c r="D27" s="582"/>
      <c r="E27" s="582"/>
      <c r="F27" s="1751">
        <f>SUM(C27+D27)-E27</f>
        <v>0</v>
      </c>
      <c r="G27" s="549"/>
    </row>
    <row r="28" spans="1:11" ht="7.5" customHeight="1" thickTop="1" x14ac:dyDescent="0.2">
      <c r="A28" s="590"/>
    </row>
    <row r="29" spans="1:11" ht="23.25" customHeight="1" x14ac:dyDescent="0.2">
      <c r="A29" s="2339" t="s">
        <v>582</v>
      </c>
      <c r="B29" s="2340"/>
      <c r="C29" s="726"/>
      <c r="D29" s="726"/>
      <c r="E29" s="726"/>
      <c r="F29" s="726"/>
      <c r="G29" s="726"/>
      <c r="H29" s="726"/>
      <c r="I29" s="726"/>
      <c r="J29" s="726"/>
    </row>
    <row r="30" spans="1:11" ht="33.75" x14ac:dyDescent="0.2">
      <c r="A30" s="1525" t="s">
        <v>1071</v>
      </c>
      <c r="B30" s="727" t="s">
        <v>1124</v>
      </c>
      <c r="C30" s="1879" t="s">
        <v>583</v>
      </c>
      <c r="D30" s="1879" t="s">
        <v>1672</v>
      </c>
      <c r="E30" s="1879" t="s">
        <v>1956</v>
      </c>
      <c r="F30" s="1879" t="s">
        <v>1957</v>
      </c>
      <c r="G30" s="1879" t="s">
        <v>1907</v>
      </c>
      <c r="H30" s="1879" t="s">
        <v>1958</v>
      </c>
      <c r="I30" s="1879" t="s">
        <v>1959</v>
      </c>
      <c r="J30" s="1880" t="s">
        <v>2</v>
      </c>
      <c r="K30" s="728"/>
    </row>
    <row r="31" spans="1:11" ht="12" customHeight="1" x14ac:dyDescent="0.2">
      <c r="A31" s="729" t="s">
        <v>2081</v>
      </c>
      <c r="B31" s="730">
        <v>42248</v>
      </c>
      <c r="C31" s="731">
        <v>10685000</v>
      </c>
      <c r="D31" s="732">
        <v>7</v>
      </c>
      <c r="E31" s="731">
        <v>10205000</v>
      </c>
      <c r="F31" s="731"/>
      <c r="G31" s="731"/>
      <c r="H31" s="731">
        <v>325000</v>
      </c>
      <c r="I31" s="1752">
        <f>((E31+F31)-H31)+G31</f>
        <v>9880000</v>
      </c>
      <c r="J31" s="731">
        <f>I31</f>
        <v>9880000</v>
      </c>
      <c r="K31" s="733"/>
    </row>
    <row r="32" spans="1:11" ht="12" customHeight="1" x14ac:dyDescent="0.2">
      <c r="A32" s="729" t="s">
        <v>2082</v>
      </c>
      <c r="B32" s="730">
        <v>42248</v>
      </c>
      <c r="C32" s="731">
        <v>15063327</v>
      </c>
      <c r="D32" s="732">
        <v>1</v>
      </c>
      <c r="E32" s="731">
        <v>14133327</v>
      </c>
      <c r="F32" s="731"/>
      <c r="G32" s="731"/>
      <c r="H32" s="731">
        <v>980000</v>
      </c>
      <c r="I32" s="1752">
        <f>((E32+F32)-H32)+G32</f>
        <v>13153327</v>
      </c>
      <c r="J32" s="731">
        <f>I32-945588</f>
        <v>12207739</v>
      </c>
      <c r="K32" s="733"/>
    </row>
    <row r="33" spans="1:11" ht="12" customHeight="1" x14ac:dyDescent="0.2">
      <c r="A33" s="729" t="s">
        <v>2083</v>
      </c>
      <c r="B33" s="730">
        <v>42424</v>
      </c>
      <c r="C33" s="731">
        <v>2000000</v>
      </c>
      <c r="D33" s="732">
        <v>1</v>
      </c>
      <c r="E33" s="731">
        <v>530000</v>
      </c>
      <c r="F33" s="731"/>
      <c r="G33" s="731"/>
      <c r="H33" s="731">
        <v>530000</v>
      </c>
      <c r="I33" s="1752">
        <f t="shared" ref="I33:I48" si="1">((E33+F33)-H33)+G33</f>
        <v>0</v>
      </c>
      <c r="J33" s="731"/>
      <c r="K33" s="733"/>
    </row>
    <row r="34" spans="1:11" ht="12" customHeight="1" x14ac:dyDescent="0.2">
      <c r="A34" s="729" t="s">
        <v>2084</v>
      </c>
      <c r="B34" s="730">
        <v>42424</v>
      </c>
      <c r="C34" s="731">
        <v>9000000</v>
      </c>
      <c r="D34" s="732" t="s">
        <v>2087</v>
      </c>
      <c r="E34" s="731">
        <v>9000000</v>
      </c>
      <c r="F34" s="731"/>
      <c r="G34" s="731"/>
      <c r="H34" s="731"/>
      <c r="I34" s="1752">
        <f t="shared" si="1"/>
        <v>9000000</v>
      </c>
      <c r="J34" s="731">
        <f>I34-231222</f>
        <v>8768778</v>
      </c>
      <c r="K34" s="734"/>
    </row>
    <row r="35" spans="1:11" ht="12" customHeight="1" x14ac:dyDescent="0.2">
      <c r="A35" s="729" t="s">
        <v>2085</v>
      </c>
      <c r="B35" s="730">
        <v>43223</v>
      </c>
      <c r="C35" s="735">
        <v>4170000</v>
      </c>
      <c r="D35" s="732">
        <v>1</v>
      </c>
      <c r="E35" s="735">
        <v>4170000</v>
      </c>
      <c r="F35" s="735"/>
      <c r="G35" s="735"/>
      <c r="H35" s="735"/>
      <c r="I35" s="1752">
        <f t="shared" si="1"/>
        <v>4170000</v>
      </c>
      <c r="J35" s="735">
        <f>I35-531365</f>
        <v>3638635</v>
      </c>
      <c r="K35" s="734"/>
    </row>
    <row r="36" spans="1:11" ht="12" customHeight="1" x14ac:dyDescent="0.2">
      <c r="A36" s="729" t="s">
        <v>2086</v>
      </c>
      <c r="B36" s="730">
        <v>42755</v>
      </c>
      <c r="C36" s="731">
        <v>146500</v>
      </c>
      <c r="D36" s="732">
        <v>8</v>
      </c>
      <c r="E36" s="731">
        <v>74140</v>
      </c>
      <c r="F36" s="731"/>
      <c r="G36" s="731"/>
      <c r="H36" s="731">
        <v>49180</v>
      </c>
      <c r="I36" s="1752">
        <f t="shared" si="1"/>
        <v>24960</v>
      </c>
      <c r="J36" s="731">
        <f>I36</f>
        <v>24960</v>
      </c>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41064827</v>
      </c>
      <c r="D49" s="742"/>
      <c r="E49" s="1752">
        <f t="shared" ref="E49:J49" si="2">SUM(E31:E48)</f>
        <v>38112467</v>
      </c>
      <c r="F49" s="1752">
        <f t="shared" si="2"/>
        <v>0</v>
      </c>
      <c r="G49" s="1752">
        <f t="shared" si="2"/>
        <v>0</v>
      </c>
      <c r="H49" s="1752">
        <f t="shared" si="2"/>
        <v>1884180</v>
      </c>
      <c r="I49" s="1752">
        <f t="shared" si="2"/>
        <v>36228287</v>
      </c>
      <c r="J49" s="1752">
        <f t="shared" si="2"/>
        <v>34520112</v>
      </c>
      <c r="K49" s="734"/>
    </row>
    <row r="50" spans="1:11" ht="6" customHeight="1" x14ac:dyDescent="0.2">
      <c r="A50" s="743"/>
      <c r="B50" s="733"/>
      <c r="C50" s="733"/>
      <c r="D50" s="733"/>
      <c r="E50" s="733"/>
      <c r="F50" s="733"/>
      <c r="G50" s="733"/>
      <c r="H50" s="733"/>
      <c r="I50" s="733"/>
      <c r="J50" s="743"/>
    </row>
    <row r="51" spans="1:11" x14ac:dyDescent="0.2">
      <c r="A51" s="744" t="s">
        <v>1803</v>
      </c>
      <c r="B51" s="743"/>
      <c r="C51" s="734"/>
      <c r="D51" s="734"/>
      <c r="E51" s="734"/>
      <c r="F51" s="734"/>
      <c r="G51" s="734"/>
      <c r="H51" s="733"/>
      <c r="I51" s="733"/>
      <c r="J51" s="743"/>
    </row>
    <row r="52" spans="1:11" ht="11.25" customHeight="1" x14ac:dyDescent="0.2">
      <c r="A52" s="745" t="s">
        <v>912</v>
      </c>
      <c r="B52" s="2322" t="s">
        <v>584</v>
      </c>
      <c r="C52" s="2323"/>
      <c r="D52" s="2323"/>
      <c r="E52" s="746" t="s">
        <v>845</v>
      </c>
      <c r="F52" s="2324" t="s">
        <v>2088</v>
      </c>
      <c r="G52" s="2325"/>
      <c r="H52" s="733"/>
      <c r="I52" s="733"/>
      <c r="J52" s="743"/>
    </row>
    <row r="53" spans="1:11" ht="11.25" customHeight="1" x14ac:dyDescent="0.2">
      <c r="A53" s="747" t="s">
        <v>913</v>
      </c>
      <c r="B53" s="748" t="s">
        <v>951</v>
      </c>
      <c r="C53" s="743"/>
      <c r="D53" s="734"/>
      <c r="E53" s="746" t="s">
        <v>497</v>
      </c>
      <c r="F53" s="2326" t="s">
        <v>2086</v>
      </c>
      <c r="G53" s="2327"/>
      <c r="H53" s="733"/>
      <c r="I53" s="733"/>
      <c r="J53" s="743"/>
    </row>
    <row r="54" spans="1:11" ht="11.25" customHeight="1" x14ac:dyDescent="0.2">
      <c r="A54" s="749" t="s">
        <v>914</v>
      </c>
      <c r="B54" s="744" t="s">
        <v>952</v>
      </c>
      <c r="C54" s="743"/>
      <c r="D54" s="734"/>
      <c r="E54" s="746" t="s">
        <v>498</v>
      </c>
      <c r="F54" s="2326"/>
      <c r="G54" s="232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51" t="s">
        <v>856</v>
      </c>
      <c r="B1" s="2352"/>
      <c r="C1" s="2352"/>
      <c r="D1" s="2352"/>
      <c r="E1" s="2352"/>
      <c r="F1" s="2352"/>
      <c r="G1" s="2353"/>
      <c r="H1" s="1526"/>
      <c r="I1" s="757"/>
      <c r="J1" s="433"/>
    </row>
    <row r="2" spans="1:11" ht="26.25" x14ac:dyDescent="0.2">
      <c r="A2" s="2370" t="s">
        <v>1676</v>
      </c>
      <c r="B2" s="2371"/>
      <c r="C2" s="2371"/>
      <c r="D2" s="2371"/>
      <c r="E2" s="2372"/>
      <c r="F2" s="758" t="s">
        <v>904</v>
      </c>
      <c r="G2" s="759" t="s">
        <v>1673</v>
      </c>
      <c r="H2" s="759" t="s">
        <v>410</v>
      </c>
      <c r="I2" s="759" t="s">
        <v>1158</v>
      </c>
      <c r="J2" s="759" t="s">
        <v>1808</v>
      </c>
      <c r="K2" s="759" t="s">
        <v>138</v>
      </c>
    </row>
    <row r="3" spans="1:11" x14ac:dyDescent="0.2">
      <c r="A3" s="2373" t="s">
        <v>1960</v>
      </c>
      <c r="B3" s="2374"/>
      <c r="C3" s="2374"/>
      <c r="D3" s="2374"/>
      <c r="E3" s="2375"/>
      <c r="F3" s="760"/>
      <c r="G3" s="761"/>
      <c r="H3" s="761"/>
      <c r="I3" s="761"/>
      <c r="J3" s="762">
        <v>2384789</v>
      </c>
      <c r="K3" s="762"/>
    </row>
    <row r="4" spans="1:11" x14ac:dyDescent="0.2">
      <c r="A4" s="2376" t="s">
        <v>369</v>
      </c>
      <c r="B4" s="2377"/>
      <c r="C4" s="2377"/>
      <c r="D4" s="2377"/>
      <c r="E4" s="2323"/>
      <c r="F4" s="763"/>
      <c r="G4" s="764"/>
      <c r="H4" s="765"/>
      <c r="I4" s="764"/>
      <c r="J4" s="766"/>
      <c r="K4" s="766"/>
    </row>
    <row r="5" spans="1:11" x14ac:dyDescent="0.2">
      <c r="A5" s="2354" t="s">
        <v>1069</v>
      </c>
      <c r="B5" s="2355"/>
      <c r="C5" s="2355"/>
      <c r="D5" s="2355"/>
      <c r="E5" s="2356"/>
      <c r="F5" s="767" t="s">
        <v>848</v>
      </c>
      <c r="G5" s="768"/>
      <c r="H5" s="761">
        <v>147922</v>
      </c>
      <c r="I5" s="769"/>
      <c r="J5" s="770"/>
      <c r="K5" s="770"/>
    </row>
    <row r="6" spans="1:11" x14ac:dyDescent="0.2">
      <c r="A6" s="771" t="s">
        <v>720</v>
      </c>
      <c r="B6" s="772"/>
      <c r="C6" s="772"/>
      <c r="D6" s="772"/>
      <c r="E6" s="773"/>
      <c r="F6" s="774" t="s">
        <v>849</v>
      </c>
      <c r="G6" s="761"/>
      <c r="H6" s="761">
        <v>40</v>
      </c>
      <c r="I6" s="761"/>
      <c r="J6" s="762">
        <v>5951</v>
      </c>
      <c r="K6" s="762"/>
    </row>
    <row r="7" spans="1:11" x14ac:dyDescent="0.2">
      <c r="A7" s="775" t="s">
        <v>246</v>
      </c>
      <c r="B7" s="776"/>
      <c r="C7" s="776"/>
      <c r="D7" s="776"/>
      <c r="E7" s="777"/>
      <c r="F7" s="767" t="s">
        <v>850</v>
      </c>
      <c r="G7" s="764"/>
      <c r="H7" s="764"/>
      <c r="I7" s="764"/>
      <c r="J7" s="778"/>
      <c r="K7" s="762">
        <v>27074</v>
      </c>
    </row>
    <row r="8" spans="1:11" x14ac:dyDescent="0.2">
      <c r="A8" s="775" t="s">
        <v>345</v>
      </c>
      <c r="B8" s="776"/>
      <c r="C8" s="776"/>
      <c r="D8" s="776"/>
      <c r="E8" s="777"/>
      <c r="F8" s="767" t="s">
        <v>851</v>
      </c>
      <c r="G8" s="779"/>
      <c r="H8" s="779"/>
      <c r="I8" s="779"/>
      <c r="J8" s="762">
        <v>1012831</v>
      </c>
      <c r="K8" s="766"/>
    </row>
    <row r="9" spans="1:11" x14ac:dyDescent="0.2">
      <c r="A9" s="775" t="s">
        <v>138</v>
      </c>
      <c r="B9" s="776"/>
      <c r="C9" s="776"/>
      <c r="D9" s="776"/>
      <c r="E9" s="777"/>
      <c r="F9" s="774" t="s">
        <v>853</v>
      </c>
      <c r="G9" s="779"/>
      <c r="H9" s="768"/>
      <c r="I9" s="768"/>
      <c r="J9" s="778"/>
      <c r="K9" s="762">
        <v>39064</v>
      </c>
    </row>
    <row r="10" spans="1:11" x14ac:dyDescent="0.2">
      <c r="A10" s="2354" t="s">
        <v>1809</v>
      </c>
      <c r="B10" s="2355"/>
      <c r="C10" s="2355"/>
      <c r="D10" s="2355"/>
      <c r="E10" s="2357"/>
      <c r="F10" s="780" t="s">
        <v>862</v>
      </c>
      <c r="G10" s="779"/>
      <c r="H10" s="781"/>
      <c r="I10" s="761"/>
      <c r="J10" s="762"/>
      <c r="K10" s="762"/>
    </row>
    <row r="11" spans="1:11" x14ac:dyDescent="0.2">
      <c r="A11" s="2354" t="s">
        <v>160</v>
      </c>
      <c r="B11" s="2355"/>
      <c r="C11" s="2355"/>
      <c r="D11" s="2355"/>
      <c r="E11" s="2356"/>
      <c r="F11" s="767" t="s">
        <v>852</v>
      </c>
      <c r="G11" s="768"/>
      <c r="H11" s="761"/>
      <c r="I11" s="761"/>
      <c r="J11" s="762"/>
      <c r="K11" s="770"/>
    </row>
    <row r="12" spans="1:11" ht="13.5" thickBot="1" x14ac:dyDescent="0.25">
      <c r="A12" s="2381" t="s">
        <v>905</v>
      </c>
      <c r="B12" s="2382"/>
      <c r="C12" s="2382"/>
      <c r="D12" s="2382"/>
      <c r="E12" s="2383"/>
      <c r="F12" s="1753"/>
      <c r="G12" s="1754">
        <f>SUM(G5:G11)</f>
        <v>0</v>
      </c>
      <c r="H12" s="1754">
        <f>SUM(H5:H11)</f>
        <v>147962</v>
      </c>
      <c r="I12" s="1754">
        <f>SUM(I5:I11)</f>
        <v>0</v>
      </c>
      <c r="J12" s="1754">
        <f>SUM(J5:J11)</f>
        <v>1018782</v>
      </c>
      <c r="K12" s="1754">
        <f>SUM(K5:K11)</f>
        <v>66138</v>
      </c>
    </row>
    <row r="13" spans="1:11" ht="13.5" thickTop="1" x14ac:dyDescent="0.2">
      <c r="A13" s="2378" t="s">
        <v>370</v>
      </c>
      <c r="B13" s="2379"/>
      <c r="C13" s="2379"/>
      <c r="D13" s="2379"/>
      <c r="E13" s="2380"/>
      <c r="F13" s="782"/>
      <c r="G13" s="783"/>
      <c r="H13" s="784"/>
      <c r="I13" s="785"/>
      <c r="J13" s="785"/>
      <c r="K13" s="785"/>
    </row>
    <row r="14" spans="1:11" x14ac:dyDescent="0.2">
      <c r="A14" s="2361" t="s">
        <v>456</v>
      </c>
      <c r="B14" s="2361"/>
      <c r="C14" s="2361"/>
      <c r="D14" s="2361"/>
      <c r="E14" s="2362"/>
      <c r="F14" s="786" t="s">
        <v>854</v>
      </c>
      <c r="G14" s="779"/>
      <c r="H14" s="761">
        <v>147962</v>
      </c>
      <c r="I14" s="768"/>
      <c r="J14" s="770"/>
      <c r="K14" s="762">
        <v>66138</v>
      </c>
    </row>
    <row r="15" spans="1:11" x14ac:dyDescent="0.2">
      <c r="A15" s="2355" t="s">
        <v>4</v>
      </c>
      <c r="B15" s="2355"/>
      <c r="C15" s="2355"/>
      <c r="D15" s="2355"/>
      <c r="E15" s="2356"/>
      <c r="F15" s="786" t="s">
        <v>855</v>
      </c>
      <c r="G15" s="768"/>
      <c r="H15" s="761"/>
      <c r="I15" s="761"/>
      <c r="J15" s="762">
        <v>2537229</v>
      </c>
      <c r="K15" s="762"/>
    </row>
    <row r="16" spans="1:11" x14ac:dyDescent="0.2">
      <c r="A16" s="2355" t="s">
        <v>298</v>
      </c>
      <c r="B16" s="2355"/>
      <c r="C16" s="2355"/>
      <c r="D16" s="2355"/>
      <c r="E16" s="2356"/>
      <c r="F16" s="786" t="s">
        <v>923</v>
      </c>
      <c r="G16" s="769"/>
      <c r="H16" s="764"/>
      <c r="I16" s="764"/>
      <c r="J16" s="766"/>
      <c r="K16" s="766"/>
    </row>
    <row r="17" spans="1:11" x14ac:dyDescent="0.2">
      <c r="A17" s="2386" t="s">
        <v>935</v>
      </c>
      <c r="B17" s="2386"/>
      <c r="C17" s="2386"/>
      <c r="D17" s="2386"/>
      <c r="E17" s="2387"/>
      <c r="F17" s="787"/>
      <c r="G17" s="788"/>
      <c r="H17" s="789"/>
      <c r="I17" s="789"/>
      <c r="J17" s="790"/>
      <c r="K17" s="791"/>
    </row>
    <row r="18" spans="1:11" x14ac:dyDescent="0.2">
      <c r="A18" s="2365" t="s">
        <v>368</v>
      </c>
      <c r="B18" s="2366"/>
      <c r="C18" s="2366"/>
      <c r="D18" s="2366"/>
      <c r="E18" s="2367"/>
      <c r="F18" s="786" t="s">
        <v>932</v>
      </c>
      <c r="G18" s="779"/>
      <c r="H18" s="779"/>
      <c r="I18" s="779"/>
      <c r="J18" s="762">
        <v>275000</v>
      </c>
      <c r="K18" s="792"/>
    </row>
    <row r="19" spans="1:11" ht="21.75" customHeight="1" x14ac:dyDescent="0.2">
      <c r="A19" s="2363" t="s">
        <v>1805</v>
      </c>
      <c r="B19" s="2363"/>
      <c r="C19" s="2363"/>
      <c r="D19" s="2363"/>
      <c r="E19" s="2364"/>
      <c r="F19" s="786" t="s">
        <v>933</v>
      </c>
      <c r="G19" s="779"/>
      <c r="H19" s="779"/>
      <c r="I19" s="779"/>
      <c r="J19" s="762">
        <v>325000</v>
      </c>
      <c r="K19" s="792"/>
    </row>
    <row r="20" spans="1:11" x14ac:dyDescent="0.2">
      <c r="A20" s="2365" t="s">
        <v>1810</v>
      </c>
      <c r="B20" s="2366"/>
      <c r="C20" s="2366"/>
      <c r="D20" s="2366"/>
      <c r="E20" s="2367"/>
      <c r="F20" s="786" t="s">
        <v>934</v>
      </c>
      <c r="G20" s="779"/>
      <c r="H20" s="779"/>
      <c r="I20" s="779"/>
      <c r="J20" s="762"/>
      <c r="K20" s="792"/>
    </row>
    <row r="21" spans="1:11" ht="13.5" thickBot="1" x14ac:dyDescent="0.25">
      <c r="A21" s="2384" t="s">
        <v>638</v>
      </c>
      <c r="B21" s="2384"/>
      <c r="C21" s="2384"/>
      <c r="D21" s="2384"/>
      <c r="E21" s="2384"/>
      <c r="F21" s="1755"/>
      <c r="G21" s="789"/>
      <c r="H21" s="793"/>
      <c r="I21" s="793"/>
      <c r="J21" s="1756">
        <f>SUM(J18:J20)</f>
        <v>600000</v>
      </c>
      <c r="K21" s="790"/>
    </row>
    <row r="22" spans="1:11" ht="13.5" thickTop="1" x14ac:dyDescent="0.2">
      <c r="A22" s="2355" t="s">
        <v>1811</v>
      </c>
      <c r="B22" s="2355"/>
      <c r="C22" s="2355"/>
      <c r="D22" s="2355"/>
      <c r="E22" s="2356"/>
      <c r="F22" s="786" t="s">
        <v>862</v>
      </c>
      <c r="G22" s="779"/>
      <c r="H22" s="761"/>
      <c r="I22" s="761"/>
      <c r="J22" s="794"/>
      <c r="K22" s="762"/>
    </row>
    <row r="23" spans="1:11" ht="13.5" thickBot="1" x14ac:dyDescent="0.25">
      <c r="A23" s="2385" t="s">
        <v>906</v>
      </c>
      <c r="B23" s="2384"/>
      <c r="C23" s="2384"/>
      <c r="D23" s="2384"/>
      <c r="E23" s="2384"/>
      <c r="F23" s="1757"/>
      <c r="G23" s="1754">
        <f>SUM(G14:G16,G21,G22)</f>
        <v>0</v>
      </c>
      <c r="H23" s="1754">
        <f>SUM(H14:H16,H21,H22)</f>
        <v>147962</v>
      </c>
      <c r="I23" s="1754">
        <f>SUM(I14:I16,I21,I22)</f>
        <v>0</v>
      </c>
      <c r="J23" s="1754">
        <f>SUM(J14:J16,J21,J22)</f>
        <v>3137229</v>
      </c>
      <c r="K23" s="1754">
        <f>SUM(K14:K16,K21,K22)</f>
        <v>66138</v>
      </c>
    </row>
    <row r="24" spans="1:11" ht="14.25" thickTop="1" thickBot="1" x14ac:dyDescent="0.25">
      <c r="A24" s="2385" t="s">
        <v>1961</v>
      </c>
      <c r="B24" s="2384"/>
      <c r="C24" s="2384"/>
      <c r="D24" s="2384"/>
      <c r="E24" s="2384"/>
      <c r="F24" s="1758"/>
      <c r="G24" s="1759">
        <f>SUM(G3,G12)-G23</f>
        <v>0</v>
      </c>
      <c r="H24" s="1759">
        <f>SUM(H3,H12)-H23</f>
        <v>0</v>
      </c>
      <c r="I24" s="1759">
        <f>SUM(I3,I12)-I23</f>
        <v>0</v>
      </c>
      <c r="J24" s="1759">
        <f>SUM(J3,J12)-J23</f>
        <v>266342</v>
      </c>
      <c r="K24" s="1759">
        <f>SUM(K3,K12)-K23</f>
        <v>0</v>
      </c>
    </row>
    <row r="25" spans="1:11" ht="13.5" thickTop="1" x14ac:dyDescent="0.2">
      <c r="A25" s="795" t="s">
        <v>420</v>
      </c>
      <c r="B25" s="796"/>
      <c r="C25" s="796"/>
      <c r="D25" s="796"/>
      <c r="E25" s="797"/>
      <c r="F25" s="798">
        <v>714</v>
      </c>
      <c r="G25" s="799"/>
      <c r="H25" s="799"/>
      <c r="I25" s="799"/>
      <c r="J25" s="794">
        <v>266342</v>
      </c>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4" t="s">
        <v>1906</v>
      </c>
      <c r="B28" s="1875"/>
      <c r="C28" s="1875"/>
      <c r="D28" s="1875"/>
      <c r="E28" s="1876"/>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58"/>
      <c r="I31" s="2359"/>
      <c r="J31" s="2359"/>
      <c r="K31" s="2359"/>
    </row>
    <row r="32" spans="1:11" x14ac:dyDescent="0.2">
      <c r="A32" s="806"/>
      <c r="B32" s="237"/>
      <c r="C32" s="237"/>
      <c r="D32" s="237"/>
      <c r="E32" s="802"/>
      <c r="F32" s="808" t="s">
        <v>540</v>
      </c>
      <c r="G32" s="761"/>
      <c r="H32" s="2360"/>
      <c r="I32" s="2359"/>
      <c r="J32" s="2359"/>
      <c r="K32" s="2359"/>
    </row>
    <row r="33" spans="1:11" ht="1.5" customHeight="1" x14ac:dyDescent="0.2">
      <c r="A33" s="809" t="s">
        <v>1169</v>
      </c>
      <c r="B33" s="364"/>
      <c r="C33" s="364"/>
      <c r="D33" s="364"/>
      <c r="E33" s="364"/>
      <c r="F33" s="364"/>
      <c r="G33" s="810"/>
      <c r="H33" s="2360"/>
      <c r="I33" s="2359"/>
      <c r="J33" s="2359"/>
      <c r="K33" s="2359"/>
    </row>
    <row r="34" spans="1:11" x14ac:dyDescent="0.2">
      <c r="A34" s="811" t="s">
        <v>1812</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55" t="s">
        <v>541</v>
      </c>
      <c r="B41" s="2368"/>
      <c r="C41" s="2368"/>
      <c r="D41" s="2368"/>
      <c r="E41" s="2368"/>
      <c r="F41" s="236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1806</v>
      </c>
      <c r="B46" s="408" t="s">
        <v>1674</v>
      </c>
    </row>
    <row r="47" spans="1:11" s="820" customFormat="1" ht="12.75" customHeight="1" x14ac:dyDescent="0.2">
      <c r="A47" s="818"/>
      <c r="B47" s="819" t="s">
        <v>1675</v>
      </c>
      <c r="E47" s="819"/>
      <c r="K47" s="821"/>
    </row>
    <row r="48" spans="1:11" ht="12.75" customHeight="1" x14ac:dyDescent="0.2">
      <c r="A48" s="1528"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0" t="s">
        <v>1905</v>
      </c>
      <c r="B1" s="2391"/>
      <c r="C1" s="2392"/>
      <c r="D1" s="823"/>
      <c r="E1" s="824"/>
      <c r="F1" s="824"/>
      <c r="G1" s="825"/>
      <c r="H1" s="826"/>
      <c r="I1" s="827"/>
      <c r="J1" s="2388"/>
      <c r="K1" s="2389"/>
      <c r="L1" s="2389"/>
    </row>
    <row r="2" spans="1:14" ht="69.75" customHeight="1" x14ac:dyDescent="0.2">
      <c r="A2" s="828" t="s">
        <v>1677</v>
      </c>
      <c r="B2" s="829" t="s">
        <v>378</v>
      </c>
      <c r="C2" s="830" t="s">
        <v>1962</v>
      </c>
      <c r="D2" s="830" t="s">
        <v>1963</v>
      </c>
      <c r="E2" s="830" t="s">
        <v>1964</v>
      </c>
      <c r="F2" s="830" t="s">
        <v>1965</v>
      </c>
      <c r="G2" s="830" t="s">
        <v>605</v>
      </c>
      <c r="H2" s="830" t="s">
        <v>1966</v>
      </c>
      <c r="I2" s="830" t="s">
        <v>1967</v>
      </c>
      <c r="J2" s="830" t="s">
        <v>1968</v>
      </c>
      <c r="K2" s="830" t="s">
        <v>1969</v>
      </c>
      <c r="L2" s="830" t="s">
        <v>1970</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542305</v>
      </c>
      <c r="D5" s="838"/>
      <c r="E5" s="838"/>
      <c r="F5" s="1756">
        <f>(C5+D5)-E5</f>
        <v>542305</v>
      </c>
      <c r="G5" s="834"/>
      <c r="H5" s="839"/>
      <c r="I5" s="839"/>
      <c r="J5" s="839"/>
      <c r="K5" s="790"/>
      <c r="L5" s="1765">
        <f>F5-K5</f>
        <v>542305</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57038026</v>
      </c>
      <c r="D8" s="841">
        <v>3166709</v>
      </c>
      <c r="E8" s="841"/>
      <c r="F8" s="1756">
        <f>(C8+D8)-E8</f>
        <v>60204735</v>
      </c>
      <c r="G8" s="840">
        <v>50</v>
      </c>
      <c r="H8" s="762">
        <v>14965266</v>
      </c>
      <c r="I8" s="762">
        <v>1128284</v>
      </c>
      <c r="J8" s="762"/>
      <c r="K8" s="1765">
        <f>(H8+I8)-J8</f>
        <v>16093550</v>
      </c>
      <c r="L8" s="1765">
        <f>F8-K8</f>
        <v>44111185</v>
      </c>
    </row>
    <row r="9" spans="1:14" ht="14.25" thickTop="1" thickBot="1" x14ac:dyDescent="0.25">
      <c r="A9" s="775" t="s">
        <v>1119</v>
      </c>
      <c r="B9" s="837">
        <v>232</v>
      </c>
      <c r="C9" s="762">
        <v>12010</v>
      </c>
      <c r="D9" s="762"/>
      <c r="E9" s="762"/>
      <c r="F9" s="1756">
        <f>(C9+D9)-E9</f>
        <v>12010</v>
      </c>
      <c r="G9" s="840">
        <v>20</v>
      </c>
      <c r="H9" s="762">
        <v>601</v>
      </c>
      <c r="I9" s="762">
        <v>601</v>
      </c>
      <c r="J9" s="762"/>
      <c r="K9" s="1765">
        <f>(H9+I9)-J9</f>
        <v>1202</v>
      </c>
      <c r="L9" s="1765">
        <f>F9-K9</f>
        <v>10808</v>
      </c>
    </row>
    <row r="10" spans="1:14" ht="24" thickTop="1" thickBot="1" x14ac:dyDescent="0.25">
      <c r="A10" s="842" t="s">
        <v>1120</v>
      </c>
      <c r="B10" s="837">
        <v>240</v>
      </c>
      <c r="C10" s="843">
        <v>641642</v>
      </c>
      <c r="D10" s="843">
        <v>754253</v>
      </c>
      <c r="E10" s="843"/>
      <c r="F10" s="1760">
        <f>(C10+D10)-E10</f>
        <v>1395895</v>
      </c>
      <c r="G10" s="840">
        <v>20</v>
      </c>
      <c r="H10" s="844">
        <v>387868</v>
      </c>
      <c r="I10" s="844">
        <v>58676</v>
      </c>
      <c r="J10" s="844"/>
      <c r="K10" s="1765">
        <f>(H10+I10)-J10</f>
        <v>446544</v>
      </c>
      <c r="L10" s="1765">
        <f>F10-K10</f>
        <v>949351</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2516822</v>
      </c>
      <c r="D12" s="841">
        <v>14982</v>
      </c>
      <c r="E12" s="841">
        <v>126581</v>
      </c>
      <c r="F12" s="1756">
        <f>(C12+D12)-E12</f>
        <v>2405223</v>
      </c>
      <c r="G12" s="840">
        <v>10</v>
      </c>
      <c r="H12" s="762">
        <v>1609808</v>
      </c>
      <c r="I12" s="762">
        <v>240520</v>
      </c>
      <c r="J12" s="762">
        <v>126581</v>
      </c>
      <c r="K12" s="1765">
        <f>(H12+I12)-J12</f>
        <v>1723747</v>
      </c>
      <c r="L12" s="1765">
        <f>F12-K12</f>
        <v>681476</v>
      </c>
    </row>
    <row r="13" spans="1:14" ht="14.25" thickTop="1" thickBot="1" x14ac:dyDescent="0.25">
      <c r="A13" s="845" t="s">
        <v>1122</v>
      </c>
      <c r="B13" s="837">
        <v>252</v>
      </c>
      <c r="C13" s="841">
        <v>65856</v>
      </c>
      <c r="D13" s="841">
        <v>1805</v>
      </c>
      <c r="E13" s="841">
        <v>16345</v>
      </c>
      <c r="F13" s="1756">
        <f>(C13+D13)-E13</f>
        <v>51316</v>
      </c>
      <c r="G13" s="840">
        <v>5</v>
      </c>
      <c r="H13" s="762">
        <v>40956</v>
      </c>
      <c r="I13" s="762">
        <v>10263</v>
      </c>
      <c r="J13" s="762">
        <v>16345</v>
      </c>
      <c r="K13" s="1765">
        <f>(H13+I13)-J13</f>
        <v>34874</v>
      </c>
      <c r="L13" s="1765">
        <f>F13-K13</f>
        <v>16442</v>
      </c>
    </row>
    <row r="14" spans="1:14" ht="14.25" thickTop="1" thickBot="1" x14ac:dyDescent="0.25">
      <c r="A14" s="845" t="s">
        <v>1123</v>
      </c>
      <c r="B14" s="837">
        <v>253</v>
      </c>
      <c r="C14" s="762">
        <v>63223</v>
      </c>
      <c r="D14" s="762"/>
      <c r="E14" s="762"/>
      <c r="F14" s="1756">
        <f>(C14+D14)-E14</f>
        <v>63223</v>
      </c>
      <c r="G14" s="840">
        <v>3</v>
      </c>
      <c r="H14" s="762">
        <v>63223</v>
      </c>
      <c r="I14" s="762"/>
      <c r="J14" s="762"/>
      <c r="K14" s="1765">
        <f>(H14+I14)-J14</f>
        <v>63223</v>
      </c>
      <c r="L14" s="1765">
        <f>F14-K14</f>
        <v>0</v>
      </c>
    </row>
    <row r="15" spans="1:14" ht="15" customHeight="1" thickTop="1" thickBot="1" x14ac:dyDescent="0.25">
      <c r="A15" s="1627" t="s">
        <v>528</v>
      </c>
      <c r="B15" s="1626">
        <v>260</v>
      </c>
      <c r="C15" s="841">
        <v>504442</v>
      </c>
      <c r="D15" s="841"/>
      <c r="E15" s="841">
        <v>504442</v>
      </c>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61384326</v>
      </c>
      <c r="D16" s="1756">
        <f>SUM(D3,D5:D6,D8:D10,D12:D15)</f>
        <v>3937749</v>
      </c>
      <c r="E16" s="1756">
        <f>SUM(E3,E5:E6,E8:E10,E12:E15)</f>
        <v>647368</v>
      </c>
      <c r="F16" s="1756">
        <f>SUM(F3,F5:F6,F8:F10,F12:F15)</f>
        <v>64674707</v>
      </c>
      <c r="G16" s="840"/>
      <c r="H16" s="1756">
        <f>SUM(H3,H6,H8:H10,H12:H14,)</f>
        <v>17067722</v>
      </c>
      <c r="I16" s="1756">
        <f>SUM(I3,I6,I8:I10,I12:I14,)</f>
        <v>1438344</v>
      </c>
      <c r="J16" s="1756">
        <f>SUM(J3,J6,J8:J10,J12:J14,)</f>
        <v>142926</v>
      </c>
      <c r="K16" s="1756">
        <f>(H16+I16)-J16</f>
        <v>18363140</v>
      </c>
      <c r="L16" s="1756">
        <f>F16-K16</f>
        <v>46311567</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61445</v>
      </c>
      <c r="G17" s="834">
        <v>10</v>
      </c>
      <c r="H17" s="766"/>
      <c r="I17" s="1765">
        <f>F17/G17</f>
        <v>6144.5</v>
      </c>
      <c r="J17" s="766"/>
      <c r="K17" s="792"/>
      <c r="L17" s="792"/>
    </row>
    <row r="18" spans="1:12" ht="14.25" thickTop="1" thickBot="1" x14ac:dyDescent="0.25">
      <c r="A18" s="1763" t="s">
        <v>685</v>
      </c>
      <c r="B18" s="1764"/>
      <c r="C18" s="768"/>
      <c r="D18" s="768"/>
      <c r="E18" s="768"/>
      <c r="F18" s="847"/>
      <c r="G18" s="848"/>
      <c r="H18" s="770"/>
      <c r="I18" s="1756">
        <f>SUM(I16,I17)</f>
        <v>1444488.5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F14" sqref="F1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96" t="s">
        <v>1971</v>
      </c>
      <c r="B1" s="2397"/>
      <c r="C1" s="2397"/>
      <c r="D1" s="2397"/>
      <c r="E1" s="2397"/>
      <c r="F1" s="2398"/>
      <c r="G1" s="852"/>
    </row>
    <row r="2" spans="1:7" ht="15" customHeight="1" thickBot="1" x14ac:dyDescent="0.25">
      <c r="A2" s="2399" t="s">
        <v>477</v>
      </c>
      <c r="B2" s="2400"/>
      <c r="C2" s="2400"/>
      <c r="D2" s="2400"/>
      <c r="E2" s="2400"/>
      <c r="F2" s="240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02"/>
      <c r="B5" s="2403"/>
      <c r="C5" s="2403"/>
      <c r="D5" s="2403"/>
      <c r="E5" s="2403"/>
      <c r="F5" s="2403"/>
    </row>
    <row r="6" spans="1:7" ht="13.5" customHeight="1" thickBot="1" x14ac:dyDescent="0.25">
      <c r="A6" s="2393" t="s">
        <v>1104</v>
      </c>
      <c r="B6" s="2394"/>
      <c r="C6" s="2394"/>
      <c r="D6" s="2394"/>
      <c r="E6" s="2394"/>
      <c r="F6" s="239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1">
        <f>'Expenditures 15-22'!K114</f>
        <v>16664056</v>
      </c>
      <c r="G8" s="862"/>
    </row>
    <row r="9" spans="1:7" x14ac:dyDescent="0.2">
      <c r="A9" s="866" t="s">
        <v>460</v>
      </c>
      <c r="B9" s="867" t="s">
        <v>1873</v>
      </c>
      <c r="C9" s="868"/>
      <c r="D9" s="866" t="s">
        <v>501</v>
      </c>
      <c r="E9" s="865"/>
      <c r="F9" s="1902">
        <f>'Expenditures 15-22'!K151</f>
        <v>1982540</v>
      </c>
      <c r="G9" s="869"/>
    </row>
    <row r="10" spans="1:7" x14ac:dyDescent="0.2">
      <c r="A10" s="866" t="s">
        <v>499</v>
      </c>
      <c r="B10" s="867" t="s">
        <v>1874</v>
      </c>
      <c r="C10" s="868"/>
      <c r="D10" s="866" t="s">
        <v>501</v>
      </c>
      <c r="E10" s="865"/>
      <c r="F10" s="1902">
        <f>'Expenditures 15-22'!K174</f>
        <v>3347408</v>
      </c>
      <c r="G10" s="869"/>
    </row>
    <row r="11" spans="1:7" x14ac:dyDescent="0.2">
      <c r="A11" s="866" t="s">
        <v>461</v>
      </c>
      <c r="B11" s="867" t="s">
        <v>1875</v>
      </c>
      <c r="C11" s="868"/>
      <c r="D11" s="866" t="s">
        <v>501</v>
      </c>
      <c r="E11" s="865"/>
      <c r="F11" s="1902">
        <f>'Expenditures 15-22'!K210</f>
        <v>1896124</v>
      </c>
      <c r="G11" s="869"/>
    </row>
    <row r="12" spans="1:7" x14ac:dyDescent="0.2">
      <c r="A12" s="866" t="s">
        <v>462</v>
      </c>
      <c r="B12" s="867" t="s">
        <v>1876</v>
      </c>
      <c r="C12" s="868"/>
      <c r="D12" s="866" t="s">
        <v>501</v>
      </c>
      <c r="E12" s="865"/>
      <c r="F12" s="1902">
        <f>'Expenditures 15-22'!K295</f>
        <v>606726</v>
      </c>
      <c r="G12" s="869"/>
    </row>
    <row r="13" spans="1:7" x14ac:dyDescent="0.2">
      <c r="A13" s="866" t="s">
        <v>106</v>
      </c>
      <c r="B13" s="867" t="s">
        <v>1877</v>
      </c>
      <c r="C13" s="868"/>
      <c r="D13" s="866" t="s">
        <v>501</v>
      </c>
      <c r="E13" s="865"/>
      <c r="F13" s="1902">
        <f>'Expenditures 15-22'!K342</f>
        <v>842074</v>
      </c>
      <c r="G13" s="870"/>
    </row>
    <row r="14" spans="1:7" ht="12" customHeight="1" thickBot="1" x14ac:dyDescent="0.25">
      <c r="A14" s="1766"/>
      <c r="B14" s="1767"/>
      <c r="C14" s="1768"/>
      <c r="D14" s="1769" t="s">
        <v>501</v>
      </c>
      <c r="E14" s="1770" t="s">
        <v>958</v>
      </c>
      <c r="F14" s="1771">
        <f>SUM(F8:F13)</f>
        <v>25338928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3">
        <f>'Revenues 9-14'!F43</f>
        <v>0</v>
      </c>
      <c r="G18" s="862"/>
    </row>
    <row r="19" spans="1:7" x14ac:dyDescent="0.2">
      <c r="A19" s="866" t="s">
        <v>461</v>
      </c>
      <c r="B19" s="867" t="s">
        <v>1011</v>
      </c>
      <c r="C19" s="874">
        <f>'Revenues 9-14'!B47</f>
        <v>1421</v>
      </c>
      <c r="D19" s="875" t="str">
        <f>'Revenues 9-14'!A47</f>
        <v>Summer Sch - Transp. Fees from Pupils or Parents (In State)</v>
      </c>
      <c r="E19" s="876"/>
      <c r="F19" s="1904">
        <f>'Revenues 9-14'!F47</f>
        <v>0</v>
      </c>
      <c r="G19" s="862"/>
    </row>
    <row r="20" spans="1:7" x14ac:dyDescent="0.2">
      <c r="A20" s="866" t="s">
        <v>461</v>
      </c>
      <c r="B20" s="867" t="s">
        <v>1012</v>
      </c>
      <c r="C20" s="872">
        <f>'Revenues 9-14'!B48</f>
        <v>1422</v>
      </c>
      <c r="D20" s="873" t="str">
        <f>'Revenues 9-14'!A48</f>
        <v>Summer Sch - Transp. Fees from Other Districts (In State)</v>
      </c>
      <c r="E20" s="865"/>
      <c r="F20" s="1905">
        <f>'Revenues 9-14'!F48</f>
        <v>0</v>
      </c>
      <c r="G20" s="862"/>
    </row>
    <row r="21" spans="1:7" x14ac:dyDescent="0.2">
      <c r="A21" s="866" t="s">
        <v>461</v>
      </c>
      <c r="B21" s="867" t="s">
        <v>1013</v>
      </c>
      <c r="C21" s="874">
        <f>'Revenues 9-14'!B49</f>
        <v>1423</v>
      </c>
      <c r="D21" s="873" t="str">
        <f>'Revenues 9-14'!A49</f>
        <v>Summer Sch - Transp. Fees from Other Sources (In State)</v>
      </c>
      <c r="E21" s="865"/>
      <c r="F21" s="1906">
        <f>'Revenues 9-14'!F49</f>
        <v>0</v>
      </c>
      <c r="G21" s="862"/>
    </row>
    <row r="22" spans="1:7" x14ac:dyDescent="0.2">
      <c r="A22" s="866" t="s">
        <v>461</v>
      </c>
      <c r="B22" s="867" t="s">
        <v>1014</v>
      </c>
      <c r="C22" s="874">
        <f>'Revenues 9-14'!B50</f>
        <v>1424</v>
      </c>
      <c r="D22" s="873" t="str">
        <f>'Revenues 9-14'!A50</f>
        <v>Summer Sch - Transp. Fees from Other Sources (Out of State)</v>
      </c>
      <c r="E22" s="865"/>
      <c r="F22" s="1906">
        <f>'Revenues 9-14'!F50</f>
        <v>0</v>
      </c>
      <c r="G22" s="862"/>
    </row>
    <row r="23" spans="1:7" x14ac:dyDescent="0.2">
      <c r="A23" s="866" t="s">
        <v>461</v>
      </c>
      <c r="B23" s="867" t="s">
        <v>1015</v>
      </c>
      <c r="C23" s="872">
        <f>'Revenues 9-14'!B52</f>
        <v>1432</v>
      </c>
      <c r="D23" s="873" t="str">
        <f>'Revenues 9-14'!A52</f>
        <v>CTE - Transp Fees from Other Districts (In State)</v>
      </c>
      <c r="E23" s="865"/>
      <c r="F23" s="1906">
        <f>'Revenues 9-14'!F52</f>
        <v>0</v>
      </c>
      <c r="G23" s="862"/>
    </row>
    <row r="24" spans="1:7" x14ac:dyDescent="0.2">
      <c r="A24" s="866" t="s">
        <v>461</v>
      </c>
      <c r="B24" s="867" t="s">
        <v>1016</v>
      </c>
      <c r="C24" s="872">
        <f>'Revenues 9-14'!B56</f>
        <v>1442</v>
      </c>
      <c r="D24" s="873" t="str">
        <f>'Revenues 9-14'!A56</f>
        <v>Special Ed - Transp Fees from Other Districts (In State)</v>
      </c>
      <c r="E24" s="865"/>
      <c r="F24" s="1906">
        <f>'Revenues 9-14'!F56</f>
        <v>0</v>
      </c>
      <c r="G24" s="862"/>
    </row>
    <row r="25" spans="1:7" x14ac:dyDescent="0.2">
      <c r="A25" s="866" t="s">
        <v>461</v>
      </c>
      <c r="B25" s="867" t="s">
        <v>1017</v>
      </c>
      <c r="C25" s="872">
        <f>'Revenues 9-14'!B59</f>
        <v>1451</v>
      </c>
      <c r="D25" s="873" t="str">
        <f>'Revenues 9-14'!A59</f>
        <v>Adult - Transp Fees from Pupils or Parents (In State)</v>
      </c>
      <c r="E25" s="865"/>
      <c r="F25" s="1906">
        <f>'Revenues 9-14'!F59</f>
        <v>0</v>
      </c>
      <c r="G25" s="862"/>
    </row>
    <row r="26" spans="1:7" x14ac:dyDescent="0.2">
      <c r="A26" s="866" t="s">
        <v>461</v>
      </c>
      <c r="B26" s="867" t="s">
        <v>1018</v>
      </c>
      <c r="C26" s="872">
        <f>'Revenues 9-14'!B60</f>
        <v>1452</v>
      </c>
      <c r="D26" s="873" t="str">
        <f>'Revenues 9-14'!A60</f>
        <v>Adult - Transp Fees from Other Districts (In State)</v>
      </c>
      <c r="E26" s="865"/>
      <c r="F26" s="1906">
        <f>'Revenues 9-14'!F60</f>
        <v>0</v>
      </c>
      <c r="G26" s="862"/>
    </row>
    <row r="27" spans="1:7" x14ac:dyDescent="0.2">
      <c r="A27" s="866" t="s">
        <v>461</v>
      </c>
      <c r="B27" s="867" t="s">
        <v>1019</v>
      </c>
      <c r="C27" s="872">
        <f>'Revenues 9-14'!B61</f>
        <v>1453</v>
      </c>
      <c r="D27" s="873" t="str">
        <f>'Revenues 9-14'!A61</f>
        <v>Adult - Transp Fees from Other Sources (In State)</v>
      </c>
      <c r="E27" s="865"/>
      <c r="F27" s="1906">
        <f>'Revenues 9-14'!F61</f>
        <v>0</v>
      </c>
      <c r="G27" s="862"/>
    </row>
    <row r="28" spans="1:7" x14ac:dyDescent="0.2">
      <c r="A28" s="866" t="s">
        <v>461</v>
      </c>
      <c r="B28" s="867" t="s">
        <v>1020</v>
      </c>
      <c r="C28" s="872">
        <f>'Revenues 9-14'!B62</f>
        <v>1454</v>
      </c>
      <c r="D28" s="873" t="str">
        <f>'Revenues 9-14'!A62</f>
        <v>Adult - Transp Fees from Other Sources (Out of State)</v>
      </c>
      <c r="E28" s="865"/>
      <c r="F28" s="1906">
        <f>'Revenues 9-14'!F62</f>
        <v>0</v>
      </c>
      <c r="G28" s="862"/>
    </row>
    <row r="29" spans="1:7" x14ac:dyDescent="0.2">
      <c r="A29" s="866" t="s">
        <v>1097</v>
      </c>
      <c r="B29" s="867" t="s">
        <v>810</v>
      </c>
      <c r="C29" s="877">
        <f>'Revenues 9-14'!B149</f>
        <v>3410</v>
      </c>
      <c r="D29" s="878" t="str">
        <f>'Revenues 9-14'!A149</f>
        <v>Adult Ed (from ICCB)</v>
      </c>
      <c r="E29" s="865"/>
      <c r="F29" s="1906">
        <f>SUM('Revenues 9-14'!D149,'Revenues 9-14'!F149)</f>
        <v>0</v>
      </c>
      <c r="G29" s="862"/>
    </row>
    <row r="30" spans="1:7" x14ac:dyDescent="0.2">
      <c r="A30" s="866" t="s">
        <v>1097</v>
      </c>
      <c r="B30" s="867" t="s">
        <v>1995</v>
      </c>
      <c r="C30" s="877">
        <f>'Revenues 9-14'!B150</f>
        <v>3499</v>
      </c>
      <c r="D30" s="878" t="str">
        <f>'Revenues 9-14'!A150</f>
        <v>Adult Ed - Other (Describe &amp; Itemize)</v>
      </c>
      <c r="E30" s="865"/>
      <c r="F30" s="1907">
        <f>('Revenues 9-14'!D150+'Revenues 9-14'!F150)</f>
        <v>0</v>
      </c>
      <c r="G30" s="862"/>
    </row>
    <row r="31" spans="1:7" x14ac:dyDescent="0.2">
      <c r="A31" s="866" t="s">
        <v>1097</v>
      </c>
      <c r="B31" s="867" t="s">
        <v>1996</v>
      </c>
      <c r="C31" s="872">
        <f>'Revenues 9-14'!B211</f>
        <v>4600</v>
      </c>
      <c r="D31" s="880" t="str">
        <f>'Revenues 9-14'!A211</f>
        <v>Fed - Spec Education - Preschool Flow-Through</v>
      </c>
      <c r="E31" s="881"/>
      <c r="F31" s="1906">
        <f>SUM('Revenues 9-14'!D211,'Revenues 9-14'!F211)</f>
        <v>0</v>
      </c>
      <c r="G31" s="862"/>
    </row>
    <row r="32" spans="1:7" x14ac:dyDescent="0.2">
      <c r="A32" s="866" t="s">
        <v>1097</v>
      </c>
      <c r="B32" s="867" t="s">
        <v>1997</v>
      </c>
      <c r="C32" s="872">
        <f>'Revenues 9-14'!B212</f>
        <v>4605</v>
      </c>
      <c r="D32" s="882" t="str">
        <f>'Revenues 9-14'!A212</f>
        <v>Fed - Spec Education - Preschool Discretionary</v>
      </c>
      <c r="E32" s="881"/>
      <c r="F32" s="1906">
        <f>SUM('Revenues 9-14'!D212,'Revenues 9-14'!F212)</f>
        <v>0</v>
      </c>
      <c r="G32" s="862"/>
    </row>
    <row r="33" spans="1:7" x14ac:dyDescent="0.2">
      <c r="A33" s="866" t="s">
        <v>460</v>
      </c>
      <c r="B33" s="867" t="s">
        <v>1998</v>
      </c>
      <c r="C33" s="872">
        <f>'Revenues 9-14'!B222</f>
        <v>4810</v>
      </c>
      <c r="D33" s="880" t="str">
        <f>'Revenues 9-14'!A222</f>
        <v>Federal - Adult Education</v>
      </c>
      <c r="E33" s="865"/>
      <c r="F33" s="1906">
        <f>'Revenues 9-14'!D222</f>
        <v>0</v>
      </c>
      <c r="G33" s="862"/>
    </row>
    <row r="34" spans="1:7" x14ac:dyDescent="0.2">
      <c r="A34" s="866" t="s">
        <v>459</v>
      </c>
      <c r="B34" s="866" t="s">
        <v>1469</v>
      </c>
      <c r="C34" s="883" t="str">
        <f>'Expenditures 15-22'!B7</f>
        <v>1125</v>
      </c>
      <c r="D34" s="884" t="str">
        <f>'Expenditures 15-22'!A7</f>
        <v>Pre-K Programs</v>
      </c>
      <c r="E34" s="865"/>
      <c r="F34" s="1906">
        <f>'Expenditures 15-22'!K7-SUM('Expenditures 15-22'!G7,'Expenditures 15-22'!I7)</f>
        <v>75872</v>
      </c>
      <c r="G34" s="862"/>
    </row>
    <row r="35" spans="1:7" x14ac:dyDescent="0.2">
      <c r="A35" s="866" t="s">
        <v>459</v>
      </c>
      <c r="B35" s="866" t="s">
        <v>1470</v>
      </c>
      <c r="C35" s="883" t="str">
        <f>'Expenditures 15-22'!B9</f>
        <v>1225</v>
      </c>
      <c r="D35" s="884" t="str">
        <f>'Expenditures 15-22'!A9</f>
        <v>Special Education Programs Pre-K</v>
      </c>
      <c r="E35" s="865"/>
      <c r="F35" s="1906">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6">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6">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6">
        <f>'Expenditures 15-22'!K15-SUM('Expenditures 15-22'!G15,'Expenditures 15-22'!I15)</f>
        <v>327</v>
      </c>
      <c r="G38" s="862"/>
    </row>
    <row r="39" spans="1:7" x14ac:dyDescent="0.2">
      <c r="A39" s="866" t="s">
        <v>459</v>
      </c>
      <c r="B39" s="866" t="s">
        <v>117</v>
      </c>
      <c r="C39" s="883" t="str">
        <f>'Expenditures 15-22'!B20</f>
        <v>1910</v>
      </c>
      <c r="D39" s="885" t="str">
        <f>'Expenditures 15-22'!A20</f>
        <v>Pre-K Programs - Private Tuition</v>
      </c>
      <c r="E39" s="865"/>
      <c r="F39" s="1906">
        <f>'Expenditures 15-22'!K20</f>
        <v>0</v>
      </c>
      <c r="G39" s="862"/>
    </row>
    <row r="40" spans="1:7" x14ac:dyDescent="0.2">
      <c r="A40" s="866" t="s">
        <v>459</v>
      </c>
      <c r="B40" s="866" t="s">
        <v>118</v>
      </c>
      <c r="C40" s="883" t="str">
        <f>'Expenditures 15-22'!B21</f>
        <v>1911</v>
      </c>
      <c r="D40" s="885" t="str">
        <f>'Expenditures 15-22'!A21</f>
        <v>Regular K-12 Programs - Private Tuition</v>
      </c>
      <c r="E40" s="865"/>
      <c r="F40" s="1906">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6">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6">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6">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6">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6">
        <f>'Expenditures 15-22'!K26</f>
        <v>0</v>
      </c>
      <c r="G45" s="862"/>
    </row>
    <row r="46" spans="1:7" x14ac:dyDescent="0.2">
      <c r="A46" s="866" t="s">
        <v>459</v>
      </c>
      <c r="B46" s="866" t="s">
        <v>124</v>
      </c>
      <c r="C46" s="883" t="str">
        <f>'Expenditures 15-22'!B27</f>
        <v>1917</v>
      </c>
      <c r="D46" s="885" t="str">
        <f>'Expenditures 15-22'!A27</f>
        <v>CTE Programs - Private Tuition</v>
      </c>
      <c r="E46" s="865"/>
      <c r="F46" s="1906">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6">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6">
        <f>'Expenditures 15-22'!K29</f>
        <v>0</v>
      </c>
      <c r="G48" s="862"/>
    </row>
    <row r="49" spans="1:7" x14ac:dyDescent="0.2">
      <c r="A49" s="866" t="s">
        <v>459</v>
      </c>
      <c r="B49" s="866" t="s">
        <v>127</v>
      </c>
      <c r="C49" s="883" t="str">
        <f>'Expenditures 15-22'!B30</f>
        <v>1920</v>
      </c>
      <c r="D49" s="885" t="str">
        <f>'Expenditures 15-22'!A30</f>
        <v>Gifted Programs - Private Tuition</v>
      </c>
      <c r="E49" s="865"/>
      <c r="F49" s="1906">
        <f>'Expenditures 15-22'!K30</f>
        <v>0</v>
      </c>
      <c r="G49" s="862"/>
    </row>
    <row r="50" spans="1:7" x14ac:dyDescent="0.2">
      <c r="A50" s="866" t="s">
        <v>459</v>
      </c>
      <c r="B50" s="866" t="s">
        <v>128</v>
      </c>
      <c r="C50" s="883" t="str">
        <f>'Expenditures 15-22'!B31</f>
        <v>1921</v>
      </c>
      <c r="D50" s="885" t="str">
        <f>'Expenditures 15-22'!A31</f>
        <v>Bilingual Programs - Private Tuition</v>
      </c>
      <c r="E50" s="865"/>
      <c r="F50" s="1906">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6">
        <f>'Expenditures 15-22'!K32</f>
        <v>0</v>
      </c>
      <c r="G51" s="862"/>
    </row>
    <row r="52" spans="1:7" x14ac:dyDescent="0.2">
      <c r="A52" s="866" t="s">
        <v>459</v>
      </c>
      <c r="B52" s="866" t="s">
        <v>1474</v>
      </c>
      <c r="C52" s="886" t="str">
        <f>'Expenditures 15-22'!B75</f>
        <v>3000</v>
      </c>
      <c r="D52" s="885" t="s">
        <v>449</v>
      </c>
      <c r="E52" s="865"/>
      <c r="F52" s="1906">
        <f>'Expenditures 15-22'!K75-SUM('Expenditures 15-22'!G75,'Expenditures 15-22'!I75)</f>
        <v>151751</v>
      </c>
      <c r="G52" s="862"/>
    </row>
    <row r="53" spans="1:7" x14ac:dyDescent="0.2">
      <c r="A53" s="866" t="s">
        <v>459</v>
      </c>
      <c r="B53" s="866" t="s">
        <v>1475</v>
      </c>
      <c r="C53" s="886">
        <f>'Expenditures 15-22'!B102</f>
        <v>4000</v>
      </c>
      <c r="D53" s="885" t="str">
        <f>'Expenditures 15-22'!A102</f>
        <v>Total Payments to Other Govt Units</v>
      </c>
      <c r="E53" s="865"/>
      <c r="F53" s="1906">
        <f>'Expenditures 15-22'!K102</f>
        <v>1290113</v>
      </c>
      <c r="G53" s="862"/>
    </row>
    <row r="54" spans="1:7" x14ac:dyDescent="0.2">
      <c r="A54" s="866" t="s">
        <v>459</v>
      </c>
      <c r="B54" s="866" t="s">
        <v>1476</v>
      </c>
      <c r="C54" s="886" t="s">
        <v>982</v>
      </c>
      <c r="D54" s="882" t="s">
        <v>1095</v>
      </c>
      <c r="E54" s="865"/>
      <c r="F54" s="1906">
        <f>'Expenditures 15-22'!G114</f>
        <v>14982</v>
      </c>
      <c r="G54" s="862"/>
    </row>
    <row r="55" spans="1:7" x14ac:dyDescent="0.2">
      <c r="A55" s="866" t="s">
        <v>459</v>
      </c>
      <c r="B55" s="866" t="s">
        <v>1477</v>
      </c>
      <c r="C55" s="886" t="s">
        <v>982</v>
      </c>
      <c r="D55" s="882" t="s">
        <v>291</v>
      </c>
      <c r="E55" s="865"/>
      <c r="F55" s="1906">
        <f>'Expenditures 15-22'!I114</f>
        <v>57390</v>
      </c>
      <c r="G55" s="862"/>
    </row>
    <row r="56" spans="1:7" x14ac:dyDescent="0.2">
      <c r="A56" s="866" t="s">
        <v>460</v>
      </c>
      <c r="B56" s="866" t="s">
        <v>1478</v>
      </c>
      <c r="C56" s="883" t="str">
        <f>'Expenditures 15-22'!B130</f>
        <v>3000</v>
      </c>
      <c r="D56" s="889" t="s">
        <v>449</v>
      </c>
      <c r="E56" s="865"/>
      <c r="F56" s="1906">
        <f>'Expenditures 15-22'!K130-SUM('Expenditures 15-22'!G130+'Expenditures 15-22'!I130)</f>
        <v>0</v>
      </c>
      <c r="G56" s="862"/>
    </row>
    <row r="57" spans="1:7" x14ac:dyDescent="0.2">
      <c r="A57" s="866" t="s">
        <v>460</v>
      </c>
      <c r="B57" s="866" t="s">
        <v>1878</v>
      </c>
      <c r="C57" s="886">
        <f>'Expenditures 15-22'!B139</f>
        <v>4000</v>
      </c>
      <c r="D57" s="884" t="str">
        <f>'Expenditures 15-22'!A139</f>
        <v>Total Payments to Other Govt Units</v>
      </c>
      <c r="E57" s="865"/>
      <c r="F57" s="1906">
        <f>'Expenditures 15-22'!K139</f>
        <v>0</v>
      </c>
      <c r="G57" s="862"/>
    </row>
    <row r="58" spans="1:7" x14ac:dyDescent="0.2">
      <c r="A58" s="866" t="s">
        <v>460</v>
      </c>
      <c r="B58" s="866" t="s">
        <v>1879</v>
      </c>
      <c r="C58" s="883" t="s">
        <v>982</v>
      </c>
      <c r="D58" s="882" t="s">
        <v>1095</v>
      </c>
      <c r="E58" s="865"/>
      <c r="F58" s="1908">
        <f>'Expenditures 15-22'!G151</f>
        <v>1805</v>
      </c>
      <c r="G58" s="862"/>
    </row>
    <row r="59" spans="1:7" x14ac:dyDescent="0.2">
      <c r="A59" s="890" t="s">
        <v>460</v>
      </c>
      <c r="B59" s="853" t="s">
        <v>1880</v>
      </c>
      <c r="C59" s="891" t="s">
        <v>982</v>
      </c>
      <c r="D59" s="853" t="s">
        <v>291</v>
      </c>
      <c r="F59" s="1909">
        <f>'Expenditures 15-22'!I151</f>
        <v>3030</v>
      </c>
      <c r="G59" s="862"/>
    </row>
    <row r="60" spans="1:7" x14ac:dyDescent="0.2">
      <c r="A60" s="890" t="s">
        <v>499</v>
      </c>
      <c r="B60" s="853" t="s">
        <v>1881</v>
      </c>
      <c r="C60" s="891">
        <v>4000</v>
      </c>
      <c r="D60" s="853" t="s">
        <v>312</v>
      </c>
      <c r="F60" s="1907">
        <f>'Expenditures 15-22'!K160</f>
        <v>0</v>
      </c>
      <c r="G60" s="862"/>
    </row>
    <row r="61" spans="1:7" x14ac:dyDescent="0.2">
      <c r="A61" s="892" t="s">
        <v>499</v>
      </c>
      <c r="B61" s="892" t="s">
        <v>1882</v>
      </c>
      <c r="C61" s="893" t="str">
        <f>'Expenditures 15-22'!B170</f>
        <v>5300</v>
      </c>
      <c r="D61" s="894" t="s">
        <v>311</v>
      </c>
      <c r="E61" s="876"/>
      <c r="F61" s="1906">
        <f>'Expenditures 15-22'!K170</f>
        <v>1884180</v>
      </c>
      <c r="G61" s="862"/>
    </row>
    <row r="62" spans="1:7" x14ac:dyDescent="0.2">
      <c r="A62" s="866" t="s">
        <v>461</v>
      </c>
      <c r="B62" s="866" t="s">
        <v>1883</v>
      </c>
      <c r="C62" s="883">
        <f>'Expenditures 15-22'!B185</f>
        <v>3000</v>
      </c>
      <c r="D62" s="873" t="s">
        <v>449</v>
      </c>
      <c r="E62" s="865"/>
      <c r="F62" s="1906">
        <f>'Expenditures 15-22'!K185-SUM('Expenditures 15-22'!G185,'Expenditures 15-22'!I185)</f>
        <v>0</v>
      </c>
      <c r="G62" s="862"/>
    </row>
    <row r="63" spans="1:7" x14ac:dyDescent="0.2">
      <c r="A63" s="866" t="s">
        <v>461</v>
      </c>
      <c r="B63" s="866" t="s">
        <v>1884</v>
      </c>
      <c r="C63" s="883" t="str">
        <f>'Expenditures 15-22'!B196</f>
        <v>4000</v>
      </c>
      <c r="D63" s="884" t="str">
        <f>'Expenditures 15-22'!A196</f>
        <v>Total Payments to Other Govt Units</v>
      </c>
      <c r="E63" s="865"/>
      <c r="F63" s="1906">
        <f>'Expenditures 15-22'!K196</f>
        <v>0</v>
      </c>
      <c r="G63" s="862"/>
    </row>
    <row r="64" spans="1:7" x14ac:dyDescent="0.2">
      <c r="A64" s="892" t="s">
        <v>461</v>
      </c>
      <c r="B64" s="892" t="s">
        <v>1885</v>
      </c>
      <c r="C64" s="893" t="str">
        <f>'Expenditures 15-22'!B206</f>
        <v>5300</v>
      </c>
      <c r="D64" s="889" t="s">
        <v>311</v>
      </c>
      <c r="E64" s="865"/>
      <c r="F64" s="1906">
        <f>'Expenditures 15-22'!K206</f>
        <v>0</v>
      </c>
      <c r="G64" s="862"/>
    </row>
    <row r="65" spans="1:8" x14ac:dyDescent="0.2">
      <c r="A65" s="866" t="s">
        <v>461</v>
      </c>
      <c r="B65" s="866" t="s">
        <v>1886</v>
      </c>
      <c r="C65" s="883" t="s">
        <v>982</v>
      </c>
      <c r="D65" s="882" t="s">
        <v>1095</v>
      </c>
      <c r="E65" s="865"/>
      <c r="F65" s="1906">
        <f>'Expenditures 15-22'!G210</f>
        <v>0</v>
      </c>
      <c r="G65" s="862"/>
    </row>
    <row r="66" spans="1:8" x14ac:dyDescent="0.2">
      <c r="A66" s="866" t="s">
        <v>461</v>
      </c>
      <c r="B66" s="866" t="s">
        <v>1887</v>
      </c>
      <c r="C66" s="883" t="s">
        <v>982</v>
      </c>
      <c r="D66" s="882" t="s">
        <v>291</v>
      </c>
      <c r="E66" s="865"/>
      <c r="F66" s="1906">
        <f>'Expenditures 15-22'!I210</f>
        <v>0</v>
      </c>
      <c r="G66" s="862"/>
    </row>
    <row r="67" spans="1:8" x14ac:dyDescent="0.2">
      <c r="A67" s="866" t="s">
        <v>462</v>
      </c>
      <c r="B67" s="866" t="s">
        <v>1888</v>
      </c>
      <c r="C67" s="883" t="str">
        <f>'Expenditures 15-22'!B216</f>
        <v>1125</v>
      </c>
      <c r="D67" s="889" t="str">
        <f>'Expenditures 15-22'!A216</f>
        <v>Pre-K Programs</v>
      </c>
      <c r="E67" s="865"/>
      <c r="F67" s="1906">
        <f>'Expenditures 15-22'!K216</f>
        <v>32143</v>
      </c>
      <c r="G67" s="862"/>
    </row>
    <row r="68" spans="1:8" x14ac:dyDescent="0.2">
      <c r="A68" s="866" t="s">
        <v>462</v>
      </c>
      <c r="B68" s="866" t="s">
        <v>1479</v>
      </c>
      <c r="C68" s="883" t="str">
        <f>'Expenditures 15-22'!B218</f>
        <v>1225</v>
      </c>
      <c r="D68" s="889" t="str">
        <f>'Expenditures 15-22'!A218</f>
        <v>Special Education Programs - Pre-K</v>
      </c>
      <c r="E68" s="865"/>
      <c r="F68" s="1906">
        <f>'Expenditures 15-22'!K218</f>
        <v>0</v>
      </c>
      <c r="G68" s="862"/>
    </row>
    <row r="69" spans="1:8" x14ac:dyDescent="0.2">
      <c r="A69" s="866" t="s">
        <v>462</v>
      </c>
      <c r="B69" s="866" t="s">
        <v>1889</v>
      </c>
      <c r="C69" s="883" t="str">
        <f>'Expenditures 15-22'!B220</f>
        <v>1275</v>
      </c>
      <c r="D69" s="889" t="str">
        <f>'Expenditures 15-22'!A220</f>
        <v>Remedial and Supplemental Programs - Pre-K</v>
      </c>
      <c r="E69" s="865"/>
      <c r="F69" s="1906">
        <f>'Expenditures 15-22'!K220</f>
        <v>0</v>
      </c>
      <c r="G69" s="862"/>
    </row>
    <row r="70" spans="1:8" x14ac:dyDescent="0.2">
      <c r="A70" s="866" t="s">
        <v>462</v>
      </c>
      <c r="B70" s="866" t="s">
        <v>1890</v>
      </c>
      <c r="C70" s="883">
        <f>'Expenditures 15-22'!B221</f>
        <v>1300</v>
      </c>
      <c r="D70" s="884" t="str">
        <f>'Expenditures 15-22'!A221</f>
        <v>Adult/Continuing Education Programs</v>
      </c>
      <c r="E70" s="865"/>
      <c r="F70" s="1906">
        <f>'Expenditures 15-22'!K221</f>
        <v>0</v>
      </c>
      <c r="G70" s="862"/>
    </row>
    <row r="71" spans="1:8" x14ac:dyDescent="0.2">
      <c r="A71" s="866" t="s">
        <v>462</v>
      </c>
      <c r="B71" s="866" t="s">
        <v>1891</v>
      </c>
      <c r="C71" s="883">
        <f>'Expenditures 15-22'!B224</f>
        <v>1600</v>
      </c>
      <c r="D71" s="884" t="str">
        <f>'Expenditures 15-22'!A224</f>
        <v>Summer School Programs</v>
      </c>
      <c r="E71" s="865"/>
      <c r="F71" s="1906">
        <f>'Expenditures 15-22'!K224</f>
        <v>5</v>
      </c>
      <c r="G71" s="862"/>
    </row>
    <row r="72" spans="1:8" x14ac:dyDescent="0.2">
      <c r="A72" s="866" t="s">
        <v>462</v>
      </c>
      <c r="B72" s="866" t="s">
        <v>1892</v>
      </c>
      <c r="C72" s="883">
        <f>'Expenditures 15-22'!B280</f>
        <v>3000</v>
      </c>
      <c r="D72" s="873" t="s">
        <v>449</v>
      </c>
      <c r="E72" s="865"/>
      <c r="F72" s="1906">
        <f>'Expenditures 15-22'!K280</f>
        <v>16310</v>
      </c>
      <c r="G72" s="862"/>
    </row>
    <row r="73" spans="1:8" x14ac:dyDescent="0.2">
      <c r="A73" s="866" t="s">
        <v>462</v>
      </c>
      <c r="B73" s="866" t="s">
        <v>1893</v>
      </c>
      <c r="C73" s="883" t="str">
        <f>'Expenditures 15-22'!B285</f>
        <v>4000</v>
      </c>
      <c r="D73" s="884" t="str">
        <f>'Expenditures 15-22'!A285</f>
        <v>Total Payments to Other Govt Units</v>
      </c>
      <c r="E73" s="865"/>
      <c r="F73" s="1906">
        <f>'Expenditures 15-22'!K285</f>
        <v>34339</v>
      </c>
      <c r="G73" s="862"/>
    </row>
    <row r="74" spans="1:8" x14ac:dyDescent="0.2">
      <c r="A74" s="866" t="s">
        <v>436</v>
      </c>
      <c r="B74" s="866" t="s">
        <v>1894</v>
      </c>
      <c r="C74" s="883" t="s">
        <v>860</v>
      </c>
      <c r="D74" s="884" t="s">
        <v>1487</v>
      </c>
      <c r="E74" s="865"/>
      <c r="F74" s="1910">
        <f>'Expenditures 15-22'!K334</f>
        <v>14877</v>
      </c>
      <c r="G74" s="862"/>
    </row>
    <row r="75" spans="1:8" ht="5.25" customHeight="1" x14ac:dyDescent="0.2">
      <c r="A75" s="862"/>
      <c r="B75" s="872"/>
      <c r="C75" s="872"/>
      <c r="D75" s="862"/>
      <c r="E75" s="865"/>
      <c r="F75" s="879"/>
      <c r="G75" s="864"/>
    </row>
    <row r="76" spans="1:8" ht="12" thickBot="1" x14ac:dyDescent="0.25">
      <c r="A76" s="1766"/>
      <c r="B76" s="1772"/>
      <c r="C76" s="1768"/>
      <c r="D76" s="1773" t="s">
        <v>1895</v>
      </c>
      <c r="E76" s="1770" t="s">
        <v>958</v>
      </c>
      <c r="F76" s="1774">
        <f>SUM(F18:F74)</f>
        <v>3577124</v>
      </c>
      <c r="G76" s="862"/>
    </row>
    <row r="77" spans="1:8" s="890" customFormat="1" ht="12" customHeight="1" thickTop="1" thickBot="1" x14ac:dyDescent="0.25">
      <c r="A77" s="1775"/>
      <c r="B77" s="1772"/>
      <c r="C77" s="1768"/>
      <c r="D77" s="1773" t="s">
        <v>1896</v>
      </c>
      <c r="E77" s="1770"/>
      <c r="F77" s="1776">
        <f>(F14-F76)</f>
        <v>21761804</v>
      </c>
      <c r="G77" s="866"/>
    </row>
    <row r="78" spans="1:8" s="890" customFormat="1" ht="12" customHeight="1" thickTop="1" x14ac:dyDescent="0.2">
      <c r="A78" s="1777"/>
      <c r="B78" s="1772"/>
      <c r="C78" s="1768"/>
      <c r="D78" s="1773" t="s">
        <v>2058</v>
      </c>
      <c r="E78" s="1770"/>
      <c r="F78" s="895">
        <v>2438.6999999999998</v>
      </c>
      <c r="G78" s="896"/>
      <c r="H78" s="866"/>
    </row>
    <row r="79" spans="1:8" s="890" customFormat="1" ht="12" customHeight="1" thickBot="1" x14ac:dyDescent="0.25">
      <c r="A79" s="1778"/>
      <c r="B79" s="1772"/>
      <c r="C79" s="1768"/>
      <c r="D79" s="1773" t="s">
        <v>1897</v>
      </c>
      <c r="E79" s="1770" t="s">
        <v>958</v>
      </c>
      <c r="F79" s="1779">
        <f>IF(F78&gt;0,F77/F78," Complete Line 78")</f>
        <v>8923.5264690203803</v>
      </c>
      <c r="G79" s="866"/>
    </row>
    <row r="80" spans="1:8" s="890" customFormat="1" ht="8.25" customHeight="1" thickTop="1" x14ac:dyDescent="0.2">
      <c r="A80" s="897"/>
      <c r="B80" s="866"/>
      <c r="C80" s="868"/>
      <c r="D80" s="898"/>
      <c r="E80" s="865"/>
      <c r="F80" s="899"/>
      <c r="G80" s="866"/>
    </row>
    <row r="81" spans="1:7" s="890" customFormat="1" ht="12" thickBot="1" x14ac:dyDescent="0.25">
      <c r="A81" s="2393" t="s">
        <v>1105</v>
      </c>
      <c r="B81" s="2394"/>
      <c r="C81" s="2394"/>
      <c r="D81" s="2394"/>
      <c r="E81" s="2394"/>
      <c r="F81" s="239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0">
        <f>'Revenues 9-14'!F42</f>
        <v>1404</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841156</v>
      </c>
      <c r="G94" s="909"/>
    </row>
    <row r="95" spans="1:7" x14ac:dyDescent="0.2">
      <c r="A95" s="905" t="s">
        <v>140</v>
      </c>
      <c r="B95" s="905" t="s">
        <v>175</v>
      </c>
      <c r="C95" s="907">
        <v>1700</v>
      </c>
      <c r="D95" s="915" t="str">
        <f>'Revenues 9-14'!A82</f>
        <v>Total District/School Activity Income</v>
      </c>
      <c r="E95" s="903"/>
      <c r="F95" s="1785">
        <f>SUM('Revenues 9-14'!C82,'Revenues 9-14'!D82)</f>
        <v>289820</v>
      </c>
      <c r="G95" s="909"/>
    </row>
    <row r="96" spans="1:7" x14ac:dyDescent="0.2">
      <c r="A96" s="905" t="s">
        <v>459</v>
      </c>
      <c r="B96" s="905" t="s">
        <v>176</v>
      </c>
      <c r="C96" s="907">
        <f>'Revenues 9-14'!B84</f>
        <v>1811</v>
      </c>
      <c r="D96" s="908" t="str">
        <f>'Revenues 9-14'!A84</f>
        <v>Rentals - Regular Textbooks</v>
      </c>
      <c r="E96" s="903"/>
      <c r="F96" s="1785">
        <f>'Revenues 9-14'!C84</f>
        <v>254800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6593</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1999</v>
      </c>
      <c r="C105" s="910">
        <v>3100</v>
      </c>
      <c r="D105" s="916" t="str">
        <f>'Revenues 9-14'!A132</f>
        <v>Total Special Education</v>
      </c>
      <c r="E105" s="903"/>
      <c r="F105" s="1785">
        <f>SUM('Revenues 9-14'!C132:D132,'Revenues 9-14'!F132)</f>
        <v>48883</v>
      </c>
      <c r="G105" s="909"/>
    </row>
    <row r="106" spans="1:7" x14ac:dyDescent="0.2">
      <c r="A106" s="905" t="s">
        <v>673</v>
      </c>
      <c r="B106" s="905" t="s">
        <v>2000</v>
      </c>
      <c r="C106" s="917">
        <v>3200</v>
      </c>
      <c r="D106" s="908" t="str">
        <f>'Revenues 9-14'!A141</f>
        <v>Total Career and Technical Education</v>
      </c>
      <c r="E106" s="903"/>
      <c r="F106" s="1785">
        <f>SUM('Revenues 9-14'!C141,'Revenues 9-14'!D141,'Revenues 9-14'!G141)</f>
        <v>53812</v>
      </c>
      <c r="G106" s="909"/>
    </row>
    <row r="107" spans="1:7" x14ac:dyDescent="0.2">
      <c r="A107" s="918" t="s">
        <v>664</v>
      </c>
      <c r="B107" s="905" t="s">
        <v>2001</v>
      </c>
      <c r="C107" s="917">
        <v>3300</v>
      </c>
      <c r="D107" s="908" t="str">
        <f>'Revenues 9-14'!A145</f>
        <v>Total Bilingual Ed</v>
      </c>
      <c r="E107" s="903"/>
      <c r="F107" s="1785">
        <f>SUM('Revenues 9-14'!C145,'Revenues 9-14'!G145)</f>
        <v>0</v>
      </c>
      <c r="G107" s="909"/>
    </row>
    <row r="108" spans="1:7" x14ac:dyDescent="0.2">
      <c r="A108" s="905" t="s">
        <v>459</v>
      </c>
      <c r="B108" s="905" t="s">
        <v>2002</v>
      </c>
      <c r="C108" s="917">
        <f>'Revenues 9-14'!B146</f>
        <v>3360</v>
      </c>
      <c r="D108" s="908" t="str">
        <f>'Revenues 9-14'!A146</f>
        <v>State Free Lunch &amp; Breakfast</v>
      </c>
      <c r="E108" s="903"/>
      <c r="F108" s="1785">
        <f>'Revenues 9-14'!C146</f>
        <v>5514</v>
      </c>
      <c r="G108" s="909"/>
    </row>
    <row r="109" spans="1:7" x14ac:dyDescent="0.2">
      <c r="A109" s="905" t="s">
        <v>673</v>
      </c>
      <c r="B109" s="905" t="s">
        <v>2003</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2004</v>
      </c>
      <c r="C110" s="917">
        <f>'Revenues 9-14'!B148</f>
        <v>3370</v>
      </c>
      <c r="D110" s="908" t="str">
        <f>'Revenues 9-14'!A148</f>
        <v>Driver Education</v>
      </c>
      <c r="E110" s="903"/>
      <c r="F110" s="1785">
        <f>SUM('Revenues 9-14'!C148,'Revenues 9-14'!D148)</f>
        <v>39064</v>
      </c>
      <c r="G110" s="909"/>
    </row>
    <row r="111" spans="1:7" x14ac:dyDescent="0.2">
      <c r="A111" s="905" t="s">
        <v>668</v>
      </c>
      <c r="B111" s="905" t="s">
        <v>2005</v>
      </c>
      <c r="C111" s="919">
        <v>3500</v>
      </c>
      <c r="D111" s="908" t="str">
        <f>'Revenues 9-14'!A155</f>
        <v>Total Transportation</v>
      </c>
      <c r="E111" s="903"/>
      <c r="F111" s="1785">
        <f>SUM('Revenues 9-14'!C155,'Revenues 9-14'!D155,'Revenues 9-14'!F155,'Revenues 9-14'!G155)</f>
        <v>1171094</v>
      </c>
      <c r="G111" s="909"/>
    </row>
    <row r="112" spans="1:7" x14ac:dyDescent="0.2">
      <c r="A112" s="905" t="s">
        <v>459</v>
      </c>
      <c r="B112" s="905" t="s">
        <v>2006</v>
      </c>
      <c r="C112" s="917">
        <f>'Revenues 9-14'!B156</f>
        <v>3610</v>
      </c>
      <c r="D112" s="908" t="str">
        <f>'Revenues 9-14'!A156</f>
        <v>Learning Improvement - Change Grants</v>
      </c>
      <c r="E112" s="903"/>
      <c r="F112" s="1785">
        <f>'Revenues 9-14'!C156</f>
        <v>0</v>
      </c>
      <c r="G112" s="909"/>
    </row>
    <row r="113" spans="1:7" x14ac:dyDescent="0.2">
      <c r="A113" s="905" t="s">
        <v>668</v>
      </c>
      <c r="B113" s="905" t="s">
        <v>2007</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2008</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2009</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2010</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2011</v>
      </c>
      <c r="C117" s="921">
        <f>'Revenues 9-14'!B162</f>
        <v>3775</v>
      </c>
      <c r="D117" s="922" t="str">
        <f>'Revenues 9-14'!A162</f>
        <v>School Safety &amp; Educational Improvement Block Grant</v>
      </c>
      <c r="E117" s="903"/>
      <c r="F117" s="1900">
        <f>SUM('Revenues 9-14'!C162,'Revenues 9-14'!D162,'Revenues 9-14'!E162,'Revenues 9-14'!F162,'Revenues 9-14'!G162)</f>
        <v>0</v>
      </c>
      <c r="G117" s="909"/>
    </row>
    <row r="118" spans="1:7" x14ac:dyDescent="0.2">
      <c r="A118" s="920" t="s">
        <v>1009</v>
      </c>
      <c r="B118" s="920" t="s">
        <v>2012</v>
      </c>
      <c r="C118" s="921">
        <f>'Revenues 9-14'!B163</f>
        <v>3780</v>
      </c>
      <c r="D118" s="922" t="str">
        <f>'Revenues 9-14'!A163</f>
        <v>Technology - Technology for Success</v>
      </c>
      <c r="E118" s="903"/>
      <c r="F118" s="1900">
        <f>SUM('Revenues 9-14'!C163:G163)</f>
        <v>0</v>
      </c>
      <c r="G118" s="909"/>
    </row>
    <row r="119" spans="1:7" x14ac:dyDescent="0.2">
      <c r="A119" s="920" t="s">
        <v>504</v>
      </c>
      <c r="B119" s="920" t="s">
        <v>2013</v>
      </c>
      <c r="C119" s="921">
        <f>'Revenues 9-14'!B164</f>
        <v>3815</v>
      </c>
      <c r="D119" s="922" t="str">
        <f>'Revenues 9-14'!A164</f>
        <v>State Charter Schools</v>
      </c>
      <c r="E119" s="903"/>
      <c r="F119" s="1900">
        <f>SUM('Revenues 9-14'!C164,'Revenues 9-14'!F164)</f>
        <v>0</v>
      </c>
      <c r="G119" s="909"/>
    </row>
    <row r="120" spans="1:7" x14ac:dyDescent="0.2">
      <c r="A120" s="924" t="s">
        <v>460</v>
      </c>
      <c r="B120" s="924" t="s">
        <v>2014</v>
      </c>
      <c r="C120" s="925">
        <f>'Revenues 9-14'!B167</f>
        <v>3925</v>
      </c>
      <c r="D120" s="926" t="str">
        <f>'Revenues 9-14'!A167</f>
        <v>School Infrastructure - Maintenance Projects</v>
      </c>
      <c r="E120" s="903"/>
      <c r="F120" s="1785">
        <f>'Revenues 9-14'!D167</f>
        <v>0</v>
      </c>
      <c r="G120" s="927"/>
    </row>
    <row r="121" spans="1:7" x14ac:dyDescent="0.2">
      <c r="A121" s="924" t="s">
        <v>500</v>
      </c>
      <c r="B121" s="924" t="s">
        <v>2015</v>
      </c>
      <c r="C121" s="925">
        <f>'Revenues 9-14'!B168</f>
        <v>3999</v>
      </c>
      <c r="D121" s="926" t="s">
        <v>543</v>
      </c>
      <c r="E121" s="928"/>
      <c r="F121" s="1785">
        <f>SUM('Revenues 9-14'!C168:G168,'Revenues 9-14'!J168)</f>
        <v>7900</v>
      </c>
      <c r="G121" s="927"/>
    </row>
    <row r="122" spans="1:7" x14ac:dyDescent="0.2">
      <c r="A122" s="924" t="s">
        <v>459</v>
      </c>
      <c r="B122" s="924" t="s">
        <v>2016</v>
      </c>
      <c r="C122" s="929">
        <f>'Revenues 9-14'!B177</f>
        <v>4045</v>
      </c>
      <c r="D122" s="926" t="str">
        <f>'Revenues 9-14'!A177 &amp; " (Subtract)"</f>
        <v>Head Start (Subtract)</v>
      </c>
      <c r="E122" s="903"/>
      <c r="F122" s="1785">
        <f>SUM(-'Revenues 9-14'!C177)</f>
        <v>0</v>
      </c>
      <c r="G122" s="927"/>
    </row>
    <row r="123" spans="1:7" x14ac:dyDescent="0.2">
      <c r="A123" s="924" t="s">
        <v>668</v>
      </c>
      <c r="B123" s="924" t="s">
        <v>2017</v>
      </c>
      <c r="C123" s="929" t="s">
        <v>982</v>
      </c>
      <c r="D123" s="926" t="str">
        <f>('Revenues 9-14'!A181)</f>
        <v>Total Restricted Grants-In-Aid Received Directly from Federal Govt</v>
      </c>
      <c r="E123" s="903"/>
      <c r="F123" s="1785">
        <f>SUM('Revenues 9-14'!C181,'Revenues 9-14'!D181,'Revenues 9-14'!F181,'Revenues 9-14'!G181)</f>
        <v>0</v>
      </c>
      <c r="G123" s="927"/>
    </row>
    <row r="124" spans="1:7" x14ac:dyDescent="0.2">
      <c r="A124" s="924" t="s">
        <v>668</v>
      </c>
      <c r="B124" s="924" t="s">
        <v>2018</v>
      </c>
      <c r="C124" s="929">
        <v>4100</v>
      </c>
      <c r="D124" s="930" t="str">
        <f>'Revenues 9-14'!A188</f>
        <v>Total Title V</v>
      </c>
      <c r="E124" s="903"/>
      <c r="F124" s="1785">
        <f>SUM('Revenues 9-14'!C188,'Revenues 9-14'!D188,'Revenues 9-14'!F188,'Revenues 9-14'!G188)</f>
        <v>0</v>
      </c>
      <c r="G124" s="927"/>
    </row>
    <row r="125" spans="1:7" x14ac:dyDescent="0.2">
      <c r="A125" s="924" t="s">
        <v>664</v>
      </c>
      <c r="B125" s="924" t="s">
        <v>2019</v>
      </c>
      <c r="C125" s="929">
        <v>4200</v>
      </c>
      <c r="D125" s="926" t="str">
        <f>'Revenues 9-14'!A198</f>
        <v>Total Food Service</v>
      </c>
      <c r="E125" s="903"/>
      <c r="F125" s="1785">
        <f>SUM('Revenues 9-14'!C198,'Revenues 9-14'!G198)</f>
        <v>390133</v>
      </c>
      <c r="G125" s="927"/>
    </row>
    <row r="126" spans="1:7" x14ac:dyDescent="0.2">
      <c r="A126" s="924" t="s">
        <v>668</v>
      </c>
      <c r="B126" s="924" t="s">
        <v>2020</v>
      </c>
      <c r="C126" s="929">
        <v>4300</v>
      </c>
      <c r="D126" s="930" t="str">
        <f>'Revenues 9-14'!A204</f>
        <v>Total Title I</v>
      </c>
      <c r="E126" s="903"/>
      <c r="F126" s="1785">
        <f>SUM('Revenues 9-14'!C204,'Revenues 9-14'!D204,'Revenues 9-14'!F204,'Revenues 9-14'!G204)</f>
        <v>126015</v>
      </c>
      <c r="G126" s="927"/>
    </row>
    <row r="127" spans="1:7" x14ac:dyDescent="0.2">
      <c r="A127" s="924" t="s">
        <v>668</v>
      </c>
      <c r="B127" s="924" t="s">
        <v>2021</v>
      </c>
      <c r="C127" s="929">
        <v>4400</v>
      </c>
      <c r="D127" s="930" t="str">
        <f>'Revenues 9-14'!A209</f>
        <v>Total Title IV</v>
      </c>
      <c r="E127" s="903"/>
      <c r="F127" s="1785">
        <f>SUM('Revenues 9-14'!C209,'Revenues 9-14'!D209,'Revenues 9-14'!F209,'Revenues 9-14'!G209)</f>
        <v>18277</v>
      </c>
      <c r="G127" s="927"/>
    </row>
    <row r="128" spans="1:7" x14ac:dyDescent="0.2">
      <c r="A128" s="924" t="s">
        <v>668</v>
      </c>
      <c r="B128" s="924" t="s">
        <v>2022</v>
      </c>
      <c r="C128" s="929">
        <f>'Revenues 9-14'!B213</f>
        <v>4620</v>
      </c>
      <c r="D128" s="930" t="str">
        <f>'Revenues 9-14'!A213</f>
        <v>Fed - Spec Education - IDEA - Flow Through</v>
      </c>
      <c r="E128" s="903"/>
      <c r="F128" s="1785">
        <f>SUM('Revenues 9-14'!C213:D213,'Revenues 9-14'!F213:G213)</f>
        <v>0</v>
      </c>
      <c r="G128" s="927"/>
    </row>
    <row r="129" spans="1:7" x14ac:dyDescent="0.2">
      <c r="A129" s="924" t="s">
        <v>668</v>
      </c>
      <c r="B129" s="924" t="s">
        <v>2023</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2024</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2025</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2026</v>
      </c>
      <c r="C133" s="932" t="s">
        <v>207</v>
      </c>
      <c r="D133" s="933" t="str">
        <f>'Revenues 9-14'!A224</f>
        <v>ARRA - Title I - Low Income</v>
      </c>
      <c r="E133" s="934"/>
      <c r="F133" s="1900">
        <f>SUM('Revenues 9-14'!$C$224:$D$224,'Revenues 9-14'!$F$224:$G$224)</f>
        <v>0</v>
      </c>
      <c r="G133" s="902"/>
    </row>
    <row r="134" spans="1:7" s="864" customFormat="1" hidden="1" x14ac:dyDescent="0.2">
      <c r="A134" s="931" t="s">
        <v>206</v>
      </c>
      <c r="B134" s="931" t="s">
        <v>2027</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2028</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2029</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2030</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2031</v>
      </c>
      <c r="C138" s="932" t="s">
        <v>212</v>
      </c>
      <c r="D138" s="933" t="str">
        <f>'Revenues 9-14'!A229</f>
        <v>ARRA - IDEA - Part B - Preschool</v>
      </c>
      <c r="E138" s="934"/>
      <c r="F138" s="1785">
        <v>0</v>
      </c>
      <c r="G138" s="902"/>
    </row>
    <row r="139" spans="1:7" s="864" customFormat="1" hidden="1" x14ac:dyDescent="0.2">
      <c r="A139" s="931" t="s">
        <v>206</v>
      </c>
      <c r="B139" s="931" t="s">
        <v>2032</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2033</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2034</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2035</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2036</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2037</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2038</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2039</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2040</v>
      </c>
      <c r="C157" s="937" t="s">
        <v>841</v>
      </c>
      <c r="D157" s="938" t="s">
        <v>777</v>
      </c>
      <c r="E157" s="939"/>
      <c r="F157" s="1785">
        <f>SUM(F133:F156)</f>
        <v>0</v>
      </c>
      <c r="G157" s="902"/>
    </row>
    <row r="158" spans="1:7" s="864" customFormat="1" x14ac:dyDescent="0.2">
      <c r="A158" s="935" t="s">
        <v>459</v>
      </c>
      <c r="B158" s="936" t="s">
        <v>2041</v>
      </c>
      <c r="C158" s="937" t="s">
        <v>1427</v>
      </c>
      <c r="D158" s="938" t="s">
        <v>1428</v>
      </c>
      <c r="E158" s="939"/>
      <c r="F158" s="1785">
        <f>SUM('Revenues 9-14'!C253)</f>
        <v>0</v>
      </c>
      <c r="G158" s="902"/>
    </row>
    <row r="159" spans="1:7" s="864" customFormat="1" x14ac:dyDescent="0.2">
      <c r="A159" s="935" t="s">
        <v>500</v>
      </c>
      <c r="B159" s="936" t="s">
        <v>2042</v>
      </c>
      <c r="C159" s="937" t="s">
        <v>1466</v>
      </c>
      <c r="D159" s="938" t="s">
        <v>1467</v>
      </c>
      <c r="E159" s="939"/>
      <c r="F159" s="1785">
        <f>SUM('Revenues 9-14'!C254:H254,'Revenues 9-14'!J254:K254)</f>
        <v>0</v>
      </c>
      <c r="G159" s="902"/>
    </row>
    <row r="160" spans="1:7" x14ac:dyDescent="0.2">
      <c r="A160" s="924" t="s">
        <v>5</v>
      </c>
      <c r="B160" s="924" t="s">
        <v>2043</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2044</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2045</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2046</v>
      </c>
      <c r="C163" s="942">
        <f>'Revenues 9-14'!B258</f>
        <v>4930</v>
      </c>
      <c r="D163" s="943" t="str">
        <f>'Revenues 9-14'!A258</f>
        <v>Title II - Eisenhower Professional Development Formula</v>
      </c>
      <c r="E163" s="923"/>
      <c r="F163" s="1900">
        <f>SUM('Revenues 9-14'!C258:D258,'Revenues 9-14'!F258,'Revenues 9-14'!G258)</f>
        <v>0</v>
      </c>
      <c r="G163" s="927"/>
    </row>
    <row r="164" spans="1:7" x14ac:dyDescent="0.2">
      <c r="A164" s="924" t="s">
        <v>668</v>
      </c>
      <c r="B164" s="924" t="s">
        <v>2047</v>
      </c>
      <c r="C164" s="929">
        <f>'Revenues 9-14'!B259</f>
        <v>4932</v>
      </c>
      <c r="D164" s="930" t="str">
        <f>'Revenues 9-14'!A259</f>
        <v>Title II - Teacher Quality</v>
      </c>
      <c r="E164" s="903"/>
      <c r="F164" s="1900">
        <f>SUM('Revenues 9-14'!C259,'Revenues 9-14'!D259,'Revenues 9-14'!F259,'Revenues 9-14'!G259)</f>
        <v>52141</v>
      </c>
      <c r="G164" s="927"/>
    </row>
    <row r="165" spans="1:7" x14ac:dyDescent="0.2">
      <c r="A165" s="924" t="s">
        <v>668</v>
      </c>
      <c r="B165" s="924" t="s">
        <v>2048</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1993</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1994</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2049</v>
      </c>
      <c r="C168" s="929">
        <f>'Revenues 9-14'!B263</f>
        <v>4991</v>
      </c>
      <c r="D168" s="930" t="str">
        <f>'Revenues 9-14'!A263</f>
        <v>Medicaid Matching Funds - Administrative Outreach</v>
      </c>
      <c r="E168" s="903"/>
      <c r="F168" s="1785">
        <f>SUM('Revenues 9-14'!C263:D263,'Revenues 9-14'!F263:G263)</f>
        <v>12540</v>
      </c>
      <c r="G168" s="944">
        <v>6320</v>
      </c>
    </row>
    <row r="169" spans="1:7" x14ac:dyDescent="0.2">
      <c r="A169" s="924" t="s">
        <v>668</v>
      </c>
      <c r="B169" s="924" t="s">
        <v>2050</v>
      </c>
      <c r="C169" s="929">
        <f>'Revenues 9-14'!B264</f>
        <v>4992</v>
      </c>
      <c r="D169" s="930" t="str">
        <f>'Revenues 9-14'!A264</f>
        <v>Medicaid Matching Funds - Fee-for-Service Program</v>
      </c>
      <c r="E169" s="903"/>
      <c r="F169" s="1785">
        <f>SUM('Revenues 9-14'!C264:D264,'Revenues 9-14'!F264:G264)</f>
        <v>19404</v>
      </c>
      <c r="G169" s="944"/>
    </row>
    <row r="170" spans="1:7" x14ac:dyDescent="0.2">
      <c r="A170" s="945" t="s">
        <v>668</v>
      </c>
      <c r="B170" s="941" t="s">
        <v>2051</v>
      </c>
      <c r="C170" s="942">
        <f>'Revenues 9-14'!B265</f>
        <v>4999</v>
      </c>
      <c r="D170" s="943" t="str">
        <f>'Revenues 9-14'!A265</f>
        <v>Other Restricted Revenue from Federal Sources (Describe &amp; Itemize)</v>
      </c>
      <c r="E170" s="903"/>
      <c r="F170" s="1785">
        <f>SUM('Revenues 9-14'!C265:D265,'Revenues 9-14'!F265:G265)</f>
        <v>94248</v>
      </c>
      <c r="G170" s="924"/>
    </row>
    <row r="171" spans="1:7" x14ac:dyDescent="0.2">
      <c r="A171" s="1911" t="s">
        <v>5</v>
      </c>
      <c r="B171" s="1912" t="s">
        <v>1916</v>
      </c>
      <c r="C171" s="1913">
        <v>3100</v>
      </c>
      <c r="D171" s="1914" t="s">
        <v>1918</v>
      </c>
      <c r="E171" s="903"/>
      <c r="F171" s="1899">
        <v>494306.76</v>
      </c>
      <c r="G171" s="924"/>
    </row>
    <row r="172" spans="1:7" x14ac:dyDescent="0.2">
      <c r="A172" s="1911" t="s">
        <v>664</v>
      </c>
      <c r="B172" s="1912" t="s">
        <v>1916</v>
      </c>
      <c r="C172" s="1913">
        <v>3300</v>
      </c>
      <c r="D172" s="1914" t="s">
        <v>1919</v>
      </c>
      <c r="E172" s="903"/>
      <c r="F172" s="1899">
        <v>0</v>
      </c>
      <c r="G172" s="924"/>
    </row>
    <row r="173" spans="1:7" ht="6" customHeight="1" x14ac:dyDescent="0.2">
      <c r="A173" s="924"/>
      <c r="B173" s="924"/>
      <c r="C173" s="946"/>
      <c r="D173" s="924"/>
      <c r="E173" s="903"/>
      <c r="F173" s="947"/>
      <c r="G173" s="944"/>
    </row>
    <row r="174" spans="1:7" x14ac:dyDescent="0.2">
      <c r="A174" s="1766"/>
      <c r="B174" s="1780"/>
      <c r="C174" s="1781"/>
      <c r="D174" s="1782" t="s">
        <v>2052</v>
      </c>
      <c r="E174" s="1783" t="s">
        <v>958</v>
      </c>
      <c r="F174" s="1784">
        <f>SUM(F84:F132,F157:F172)</f>
        <v>3927104.76</v>
      </c>
    </row>
    <row r="175" spans="1:7" ht="12" customHeight="1" x14ac:dyDescent="0.2">
      <c r="A175" s="1766"/>
      <c r="B175" s="1780"/>
      <c r="C175" s="1781"/>
      <c r="D175" s="1782" t="s">
        <v>2053</v>
      </c>
      <c r="E175" s="1783"/>
      <c r="F175" s="1785">
        <f>'PCTC-OEPP 27-28'!F77-F174</f>
        <v>17834699.240000002</v>
      </c>
    </row>
    <row r="176" spans="1:7" ht="12" customHeight="1" x14ac:dyDescent="0.2">
      <c r="A176" s="1766"/>
      <c r="B176" s="1780"/>
      <c r="C176" s="1781"/>
      <c r="D176" s="1782" t="s">
        <v>1813</v>
      </c>
      <c r="E176" s="1783"/>
      <c r="F176" s="1785">
        <f>'Cap Outlay Deprec 26'!I18</f>
        <v>1444488.5</v>
      </c>
    </row>
    <row r="177" spans="1:7" ht="12" customHeight="1" x14ac:dyDescent="0.2">
      <c r="A177" s="1766"/>
      <c r="B177" s="1780"/>
      <c r="C177" s="1781"/>
      <c r="D177" s="1782" t="s">
        <v>2054</v>
      </c>
      <c r="E177" s="1783"/>
      <c r="F177" s="1785">
        <f>F175+F176</f>
        <v>19279187.740000002</v>
      </c>
    </row>
    <row r="178" spans="1:7" ht="12" customHeight="1" x14ac:dyDescent="0.2">
      <c r="A178" s="1766"/>
      <c r="B178" s="1786"/>
      <c r="C178" s="1781"/>
      <c r="D178" s="1782" t="str">
        <f>D78</f>
        <v>9 Month ADA from District Average Daily Attendance/Prior General State Aid Inquiry 2018-2019</v>
      </c>
      <c r="E178" s="1783"/>
      <c r="F178" s="1787">
        <f>'PCTC-OEPP 27-28'!F78</f>
        <v>2438.6999999999998</v>
      </c>
      <c r="G178" s="927"/>
    </row>
    <row r="179" spans="1:7" ht="12" customHeight="1" thickBot="1" x14ac:dyDescent="0.25">
      <c r="A179" s="1766"/>
      <c r="B179" s="1786"/>
      <c r="C179" s="1781"/>
      <c r="D179" s="1782" t="s">
        <v>2055</v>
      </c>
      <c r="E179" s="1783" t="s">
        <v>1545</v>
      </c>
      <c r="F179" s="1788">
        <f>F177/F178</f>
        <v>7905.5184073481787</v>
      </c>
      <c r="G179" s="853">
        <v>6323</v>
      </c>
    </row>
    <row r="180" spans="1:7" ht="12" thickTop="1" x14ac:dyDescent="0.2">
      <c r="B180" s="927"/>
      <c r="C180" s="946"/>
      <c r="D180" s="927"/>
      <c r="E180" s="946"/>
      <c r="F180" s="927"/>
      <c r="G180" s="948">
        <v>6326</v>
      </c>
    </row>
    <row r="181" spans="1:7" ht="12.2" customHeight="1" x14ac:dyDescent="0.2">
      <c r="A181" s="927" t="s">
        <v>1917</v>
      </c>
      <c r="B181" s="927"/>
      <c r="C181" s="946"/>
      <c r="D181" s="927"/>
      <c r="E181" s="946"/>
      <c r="F181" s="927"/>
      <c r="G181" s="927"/>
    </row>
    <row r="182" spans="1:7" s="1915" customFormat="1" ht="12.2" customHeight="1" x14ac:dyDescent="0.2">
      <c r="A182" s="1915" t="s">
        <v>1990</v>
      </c>
      <c r="B182" s="1916"/>
      <c r="C182" s="1917"/>
      <c r="D182" s="1916"/>
      <c r="E182" s="1917"/>
      <c r="F182" s="1916"/>
      <c r="G182" s="1916"/>
    </row>
    <row r="183" spans="1:7" s="1915" customFormat="1" ht="12.2" customHeight="1" x14ac:dyDescent="0.2">
      <c r="A183" s="1918" t="s">
        <v>1992</v>
      </c>
      <c r="C183" s="1917"/>
      <c r="D183" s="1916"/>
      <c r="E183" s="1917"/>
      <c r="F183" s="1916"/>
      <c r="G183" s="1916"/>
    </row>
    <row r="184" spans="1:7" ht="12" customHeight="1" x14ac:dyDescent="0.2">
      <c r="C184" s="946"/>
      <c r="D184" s="927"/>
      <c r="E184" s="946"/>
      <c r="F184" s="927"/>
      <c r="G184" s="927"/>
    </row>
    <row r="185" spans="1:7" x14ac:dyDescent="0.2">
      <c r="A185" s="1919" t="s">
        <v>1921</v>
      </c>
      <c r="B185" s="1920" t="s">
        <v>1920</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B33" sqref="B33"/>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1828</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407" t="s">
        <v>1814</v>
      </c>
      <c r="B4" s="2408"/>
      <c r="C4" s="2408"/>
      <c r="D4" s="2408"/>
      <c r="E4" s="2408"/>
      <c r="F4" s="2408"/>
      <c r="G4" s="2409"/>
    </row>
    <row r="5" spans="1:7" x14ac:dyDescent="0.25">
      <c r="A5" s="2410"/>
      <c r="B5" s="2411"/>
      <c r="C5" s="2411"/>
      <c r="D5" s="2411"/>
      <c r="E5" s="2411"/>
      <c r="F5" s="2411"/>
      <c r="G5" s="2412"/>
    </row>
    <row r="6" spans="1:7" ht="18.75" x14ac:dyDescent="0.25">
      <c r="A6" s="1530" t="s">
        <v>1815</v>
      </c>
      <c r="B6" s="1531"/>
      <c r="C6" s="1531"/>
      <c r="D6" s="1531"/>
      <c r="E6" s="1531"/>
      <c r="F6" s="1531"/>
      <c r="G6" s="1532"/>
    </row>
    <row r="7" spans="1:7" ht="30.75" customHeight="1" x14ac:dyDescent="0.25">
      <c r="A7" s="2413" t="s">
        <v>1928</v>
      </c>
      <c r="B7" s="2414"/>
      <c r="C7" s="2414"/>
      <c r="D7" s="2414"/>
      <c r="E7" s="2414"/>
      <c r="F7" s="2414"/>
      <c r="G7" s="2415"/>
    </row>
    <row r="8" spans="1:7" ht="15.75" customHeight="1" x14ac:dyDescent="0.25">
      <c r="A8" s="2416" t="s">
        <v>1903</v>
      </c>
      <c r="B8" s="2417"/>
      <c r="C8" s="2417"/>
      <c r="D8" s="2417"/>
      <c r="E8" s="2417"/>
      <c r="F8" s="2417"/>
      <c r="G8" s="2418"/>
    </row>
    <row r="9" spans="1:7" ht="35.25" customHeight="1" x14ac:dyDescent="0.25">
      <c r="A9" s="2413" t="s">
        <v>1931</v>
      </c>
      <c r="B9" s="2414"/>
      <c r="C9" s="2414"/>
      <c r="D9" s="2414"/>
      <c r="E9" s="2414"/>
      <c r="F9" s="2414"/>
      <c r="G9" s="2415"/>
    </row>
    <row r="10" spans="1:7" ht="15" customHeight="1" x14ac:dyDescent="0.25">
      <c r="A10" s="1533" t="s">
        <v>1816</v>
      </c>
      <c r="B10" s="1534"/>
      <c r="C10" s="1534"/>
      <c r="D10" s="1534"/>
      <c r="E10" s="1534"/>
      <c r="F10" s="1534"/>
      <c r="G10" s="1535"/>
    </row>
    <row r="11" spans="1:7" ht="17.25" customHeight="1" x14ac:dyDescent="0.25">
      <c r="A11" s="2413" t="s">
        <v>1930</v>
      </c>
      <c r="B11" s="2414"/>
      <c r="C11" s="2414"/>
      <c r="D11" s="2414"/>
      <c r="E11" s="2414"/>
      <c r="F11" s="2414"/>
      <c r="G11" s="2415"/>
    </row>
    <row r="12" spans="1:7" ht="15" customHeight="1" x14ac:dyDescent="0.25">
      <c r="A12" s="1533" t="s">
        <v>1821</v>
      </c>
      <c r="B12" s="1534"/>
      <c r="C12" s="1534"/>
      <c r="D12" s="1534"/>
      <c r="E12" s="1534"/>
      <c r="F12" s="1534"/>
      <c r="G12" s="1535"/>
    </row>
    <row r="13" spans="1:7" ht="32.25" customHeight="1" x14ac:dyDescent="0.25">
      <c r="A13" s="2404" t="s">
        <v>1972</v>
      </c>
      <c r="B13" s="2405"/>
      <c r="C13" s="2405"/>
      <c r="D13" s="2405"/>
      <c r="E13" s="2405"/>
      <c r="F13" s="2405"/>
      <c r="G13" s="2406"/>
    </row>
    <row r="14" spans="1:7" x14ac:dyDescent="0.25">
      <c r="A14" s="1657" t="s">
        <v>1829</v>
      </c>
      <c r="B14" s="1658"/>
      <c r="C14" s="1658"/>
      <c r="D14" s="1658"/>
      <c r="E14" s="1658"/>
      <c r="F14" s="1658"/>
      <c r="G14" s="1659"/>
    </row>
    <row r="15" spans="1:7" ht="61.5" customHeight="1" x14ac:dyDescent="0.25">
      <c r="A15" s="1542" t="s">
        <v>1822</v>
      </c>
      <c r="B15" s="1542" t="s">
        <v>1823</v>
      </c>
      <c r="C15" s="1542" t="s">
        <v>1824</v>
      </c>
      <c r="D15" s="1543" t="s">
        <v>1825</v>
      </c>
      <c r="E15" s="1543" t="s">
        <v>1817</v>
      </c>
      <c r="F15" s="1543" t="s">
        <v>1826</v>
      </c>
      <c r="G15" s="1543" t="s">
        <v>1827</v>
      </c>
    </row>
    <row r="16" spans="1:7" x14ac:dyDescent="0.25">
      <c r="A16" s="1644" t="s">
        <v>1830</v>
      </c>
      <c r="B16" s="1645" t="s">
        <v>1820</v>
      </c>
      <c r="C16" s="1646" t="s">
        <v>1818</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2073" t="s">
        <v>2123</v>
      </c>
      <c r="B17" s="2072" t="s">
        <v>2271</v>
      </c>
      <c r="C17" s="2074" t="s">
        <v>2124</v>
      </c>
      <c r="D17" s="1840">
        <v>82609</v>
      </c>
      <c r="E17" s="1536">
        <f t="shared" ref="E17:E141" si="0">IF(D17&lt;=25000,D17,IF(D17&gt;25000,25000,0))</f>
        <v>25000</v>
      </c>
      <c r="F17" s="192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57609</v>
      </c>
      <c r="H17" s="1643"/>
    </row>
    <row r="18" spans="1:8" x14ac:dyDescent="0.25">
      <c r="A18" s="1930" t="s">
        <v>2098</v>
      </c>
      <c r="B18" s="1931" t="s">
        <v>2099</v>
      </c>
      <c r="C18" s="1932" t="s">
        <v>2100</v>
      </c>
      <c r="D18" s="1840">
        <v>36103</v>
      </c>
      <c r="E18" s="1536">
        <f t="shared" ref="E18:E140" si="2">IF(D18&lt;=25000,D18,IF(D18&gt;25000,25000,0))</f>
        <v>25000</v>
      </c>
      <c r="F18" s="1925">
        <f t="shared" si="1"/>
        <v>25000</v>
      </c>
      <c r="G18" s="1789">
        <f t="shared" ref="G18:G140" si="3">IF(F18=0,0,D18-F18)</f>
        <v>11103</v>
      </c>
    </row>
    <row r="19" spans="1:8" x14ac:dyDescent="0.25">
      <c r="A19" s="1930" t="s">
        <v>2101</v>
      </c>
      <c r="B19" s="2072" t="s">
        <v>2273</v>
      </c>
      <c r="C19" s="1932" t="s">
        <v>2102</v>
      </c>
      <c r="D19" s="1840">
        <v>45941</v>
      </c>
      <c r="E19" s="1536">
        <f t="shared" si="2"/>
        <v>25000</v>
      </c>
      <c r="F19" s="1925">
        <f t="shared" si="1"/>
        <v>25000</v>
      </c>
      <c r="G19" s="1789">
        <f t="shared" si="3"/>
        <v>20941</v>
      </c>
    </row>
    <row r="20" spans="1:8" x14ac:dyDescent="0.25">
      <c r="A20" s="1930" t="s">
        <v>2103</v>
      </c>
      <c r="B20" s="2072" t="s">
        <v>2272</v>
      </c>
      <c r="C20" s="1932" t="s">
        <v>2104</v>
      </c>
      <c r="D20" s="1840">
        <v>58972</v>
      </c>
      <c r="E20" s="1536">
        <f t="shared" si="2"/>
        <v>25000</v>
      </c>
      <c r="F20" s="1925">
        <f t="shared" si="1"/>
        <v>25000</v>
      </c>
      <c r="G20" s="1789">
        <f t="shared" si="3"/>
        <v>33972</v>
      </c>
    </row>
    <row r="21" spans="1:8" x14ac:dyDescent="0.25">
      <c r="A21" s="2073" t="s">
        <v>2120</v>
      </c>
      <c r="B21" s="2072" t="s">
        <v>2121</v>
      </c>
      <c r="C21" s="2074" t="s">
        <v>2122</v>
      </c>
      <c r="D21" s="1840">
        <v>39510</v>
      </c>
      <c r="E21" s="1536">
        <f t="shared" si="2"/>
        <v>25000</v>
      </c>
      <c r="F21" s="1925">
        <f t="shared" si="1"/>
        <v>25000</v>
      </c>
      <c r="G21" s="1789">
        <f t="shared" si="3"/>
        <v>14510</v>
      </c>
    </row>
    <row r="22" spans="1:8" x14ac:dyDescent="0.25">
      <c r="A22" s="2073" t="s">
        <v>2118</v>
      </c>
      <c r="B22" s="2072" t="s">
        <v>2106</v>
      </c>
      <c r="C22" s="2074" t="s">
        <v>2119</v>
      </c>
      <c r="D22" s="1840">
        <v>63736</v>
      </c>
      <c r="E22" s="1536">
        <f t="shared" si="2"/>
        <v>25000</v>
      </c>
      <c r="F22" s="1925">
        <f t="shared" si="1"/>
        <v>25000</v>
      </c>
      <c r="G22" s="1789">
        <f t="shared" si="3"/>
        <v>38736</v>
      </c>
    </row>
    <row r="23" spans="1:8" x14ac:dyDescent="0.25">
      <c r="A23" s="2077" t="s">
        <v>2111</v>
      </c>
      <c r="B23" s="2076" t="s">
        <v>2109</v>
      </c>
      <c r="C23" s="2075" t="s">
        <v>2110</v>
      </c>
      <c r="D23" s="1840">
        <v>1716394</v>
      </c>
      <c r="E23" s="1536">
        <f t="shared" si="2"/>
        <v>25000</v>
      </c>
      <c r="F23" s="1925">
        <f t="shared" si="1"/>
        <v>25000</v>
      </c>
      <c r="G23" s="1789">
        <f t="shared" si="3"/>
        <v>1691394</v>
      </c>
    </row>
    <row r="24" spans="1:8" x14ac:dyDescent="0.25">
      <c r="A24" s="2077" t="s">
        <v>2107</v>
      </c>
      <c r="B24" s="2076" t="s">
        <v>2108</v>
      </c>
      <c r="C24" s="2075" t="s">
        <v>2105</v>
      </c>
      <c r="D24" s="1840">
        <v>51284</v>
      </c>
      <c r="E24" s="1536">
        <f t="shared" si="2"/>
        <v>25000</v>
      </c>
      <c r="F24" s="1925">
        <f t="shared" si="1"/>
        <v>25000</v>
      </c>
      <c r="G24" s="1789">
        <f t="shared" si="3"/>
        <v>26284</v>
      </c>
    </row>
    <row r="25" spans="1:8" x14ac:dyDescent="0.25">
      <c r="A25" s="2077" t="s">
        <v>2112</v>
      </c>
      <c r="B25" s="2076" t="s">
        <v>2113</v>
      </c>
      <c r="C25" s="2075" t="s">
        <v>2114</v>
      </c>
      <c r="D25" s="1840">
        <v>37460</v>
      </c>
      <c r="E25" s="1536">
        <f t="shared" si="2"/>
        <v>25000</v>
      </c>
      <c r="F25" s="1925">
        <f t="shared" si="1"/>
        <v>25000</v>
      </c>
      <c r="G25" s="1789">
        <f t="shared" si="3"/>
        <v>12460</v>
      </c>
    </row>
    <row r="26" spans="1:8" x14ac:dyDescent="0.25">
      <c r="A26" s="2077" t="s">
        <v>2115</v>
      </c>
      <c r="B26" s="2076" t="s">
        <v>2116</v>
      </c>
      <c r="C26" s="2075" t="s">
        <v>2117</v>
      </c>
      <c r="D26" s="1840">
        <v>114775</v>
      </c>
      <c r="E26" s="1536">
        <f t="shared" si="2"/>
        <v>25000</v>
      </c>
      <c r="F26" s="1925">
        <f t="shared" si="1"/>
        <v>25000</v>
      </c>
      <c r="G26" s="1789">
        <f t="shared" si="3"/>
        <v>89775</v>
      </c>
    </row>
    <row r="27" spans="1:8" x14ac:dyDescent="0.25">
      <c r="A27" s="1930"/>
      <c r="B27" s="1931"/>
      <c r="C27" s="1932"/>
      <c r="D27" s="1840"/>
      <c r="E27" s="1536">
        <f t="shared" si="2"/>
        <v>0</v>
      </c>
      <c r="F27" s="1925">
        <f t="shared" si="1"/>
        <v>0</v>
      </c>
      <c r="G27" s="1789">
        <f t="shared" si="3"/>
        <v>0</v>
      </c>
    </row>
    <row r="28" spans="1:8" x14ac:dyDescent="0.25">
      <c r="A28" s="2077"/>
      <c r="B28" s="2076"/>
      <c r="C28" s="2075"/>
      <c r="D28" s="1840"/>
      <c r="E28" s="1536">
        <f t="shared" si="2"/>
        <v>0</v>
      </c>
      <c r="F28" s="1925">
        <f t="shared" si="1"/>
        <v>0</v>
      </c>
      <c r="G28" s="1789">
        <f t="shared" si="3"/>
        <v>0</v>
      </c>
    </row>
    <row r="29" spans="1:8" x14ac:dyDescent="0.25">
      <c r="A29" s="1930"/>
      <c r="B29" s="1931"/>
      <c r="C29" s="1932"/>
      <c r="D29" s="1840"/>
      <c r="E29" s="1536">
        <f t="shared" si="2"/>
        <v>0</v>
      </c>
      <c r="F29" s="1925">
        <f t="shared" si="1"/>
        <v>0</v>
      </c>
      <c r="G29" s="1789">
        <f t="shared" si="3"/>
        <v>0</v>
      </c>
    </row>
    <row r="30" spans="1:8" x14ac:dyDescent="0.25">
      <c r="A30" s="1930"/>
      <c r="B30" s="1931"/>
      <c r="C30" s="1932"/>
      <c r="D30" s="1840"/>
      <c r="E30" s="1536">
        <f t="shared" si="2"/>
        <v>0</v>
      </c>
      <c r="F30" s="1925">
        <f t="shared" si="1"/>
        <v>0</v>
      </c>
      <c r="G30" s="1789">
        <f t="shared" si="3"/>
        <v>0</v>
      </c>
    </row>
    <row r="31" spans="1:8" x14ac:dyDescent="0.25">
      <c r="A31" s="2077"/>
      <c r="B31" s="1931"/>
      <c r="C31" s="1932"/>
      <c r="D31" s="1840"/>
      <c r="E31" s="1536">
        <f t="shared" si="2"/>
        <v>0</v>
      </c>
      <c r="F31" s="1925">
        <f t="shared" si="1"/>
        <v>0</v>
      </c>
      <c r="G31" s="1789">
        <f t="shared" si="3"/>
        <v>0</v>
      </c>
    </row>
    <row r="32" spans="1:8" x14ac:dyDescent="0.25">
      <c r="A32" s="2077"/>
      <c r="B32" s="2076"/>
      <c r="C32" s="1932"/>
      <c r="D32" s="1840"/>
      <c r="E32" s="1536">
        <f t="shared" si="2"/>
        <v>0</v>
      </c>
      <c r="F32" s="1925">
        <f t="shared" si="1"/>
        <v>0</v>
      </c>
      <c r="G32" s="1789">
        <f t="shared" si="3"/>
        <v>0</v>
      </c>
    </row>
    <row r="33" spans="1:7" x14ac:dyDescent="0.25">
      <c r="A33" s="2077"/>
      <c r="B33" s="2076"/>
      <c r="C33" s="2075"/>
      <c r="D33" s="1840"/>
      <c r="E33" s="1536">
        <f t="shared" si="2"/>
        <v>0</v>
      </c>
      <c r="F33" s="1925">
        <f t="shared" si="1"/>
        <v>0</v>
      </c>
      <c r="G33" s="1789">
        <f t="shared" si="3"/>
        <v>0</v>
      </c>
    </row>
    <row r="34" spans="1:7" x14ac:dyDescent="0.25">
      <c r="A34" s="2073"/>
      <c r="B34" s="2072"/>
      <c r="C34" s="2074"/>
      <c r="D34" s="1840"/>
      <c r="E34" s="1536">
        <f t="shared" si="2"/>
        <v>0</v>
      </c>
      <c r="F34" s="1925">
        <f t="shared" si="1"/>
        <v>0</v>
      </c>
      <c r="G34" s="1789">
        <f t="shared" si="3"/>
        <v>0</v>
      </c>
    </row>
    <row r="35" spans="1:7" x14ac:dyDescent="0.25">
      <c r="A35" s="2073"/>
      <c r="B35" s="2072"/>
      <c r="C35" s="2074"/>
      <c r="D35" s="1840"/>
      <c r="E35" s="1536">
        <f t="shared" si="2"/>
        <v>0</v>
      </c>
      <c r="F35" s="1925">
        <f t="shared" si="1"/>
        <v>0</v>
      </c>
      <c r="G35" s="1789">
        <f t="shared" si="3"/>
        <v>0</v>
      </c>
    </row>
    <row r="36" spans="1:7" x14ac:dyDescent="0.25">
      <c r="A36" s="2073"/>
      <c r="B36" s="2072"/>
      <c r="C36" s="2074"/>
      <c r="D36" s="1840"/>
      <c r="E36" s="1536">
        <f t="shared" si="2"/>
        <v>0</v>
      </c>
      <c r="F36" s="1925">
        <f t="shared" si="1"/>
        <v>0</v>
      </c>
      <c r="G36" s="1789">
        <f t="shared" si="3"/>
        <v>0</v>
      </c>
    </row>
    <row r="37" spans="1:7" x14ac:dyDescent="0.25">
      <c r="A37" s="1649"/>
      <c r="B37" s="1927"/>
      <c r="C37" s="1650"/>
      <c r="D37" s="1840"/>
      <c r="E37" s="1536">
        <f t="shared" si="2"/>
        <v>0</v>
      </c>
      <c r="F37" s="1925">
        <f t="shared" si="1"/>
        <v>0</v>
      </c>
      <c r="G37" s="1789">
        <f t="shared" si="3"/>
        <v>0</v>
      </c>
    </row>
    <row r="38" spans="1:7" x14ac:dyDescent="0.25">
      <c r="A38" s="1649"/>
      <c r="B38" s="1928"/>
      <c r="C38" s="1650"/>
      <c r="D38" s="1840"/>
      <c r="E38" s="1536">
        <f t="shared" si="2"/>
        <v>0</v>
      </c>
      <c r="F38" s="1925">
        <f t="shared" si="1"/>
        <v>0</v>
      </c>
      <c r="G38" s="1789">
        <f t="shared" si="3"/>
        <v>0</v>
      </c>
    </row>
    <row r="39" spans="1:7" x14ac:dyDescent="0.25">
      <c r="A39" s="1649"/>
      <c r="B39" s="1928"/>
      <c r="C39" s="1650"/>
      <c r="D39" s="1840"/>
      <c r="E39" s="1536">
        <f t="shared" si="2"/>
        <v>0</v>
      </c>
      <c r="F39" s="1925">
        <f t="shared" si="1"/>
        <v>0</v>
      </c>
      <c r="G39" s="1789">
        <f t="shared" si="3"/>
        <v>0</v>
      </c>
    </row>
    <row r="40" spans="1:7" x14ac:dyDescent="0.25">
      <c r="A40" s="1649"/>
      <c r="B40" s="1928"/>
      <c r="C40" s="1650"/>
      <c r="D40" s="1840"/>
      <c r="E40" s="1536">
        <f t="shared" si="2"/>
        <v>0</v>
      </c>
      <c r="F40" s="1925">
        <f t="shared" si="1"/>
        <v>0</v>
      </c>
      <c r="G40" s="1789">
        <f t="shared" si="3"/>
        <v>0</v>
      </c>
    </row>
    <row r="41" spans="1:7" x14ac:dyDescent="0.25">
      <c r="A41" s="1649"/>
      <c r="B41" s="1928"/>
      <c r="C41" s="1650"/>
      <c r="D41" s="1840"/>
      <c r="E41" s="1536">
        <f t="shared" si="2"/>
        <v>0</v>
      </c>
      <c r="F41" s="1925">
        <f t="shared" si="1"/>
        <v>0</v>
      </c>
      <c r="G41" s="1789">
        <f t="shared" si="3"/>
        <v>0</v>
      </c>
    </row>
    <row r="42" spans="1:7" x14ac:dyDescent="0.25">
      <c r="A42" s="1649"/>
      <c r="B42" s="1928"/>
      <c r="C42" s="1650"/>
      <c r="D42" s="1840"/>
      <c r="E42" s="1536">
        <f t="shared" si="2"/>
        <v>0</v>
      </c>
      <c r="F42" s="1925">
        <f t="shared" si="1"/>
        <v>0</v>
      </c>
      <c r="G42" s="1789">
        <f t="shared" si="3"/>
        <v>0</v>
      </c>
    </row>
    <row r="43" spans="1:7" x14ac:dyDescent="0.25">
      <c r="A43" s="1649"/>
      <c r="B43" s="1928"/>
      <c r="C43" s="1650"/>
      <c r="D43" s="1840"/>
      <c r="E43" s="1536">
        <f t="shared" si="2"/>
        <v>0</v>
      </c>
      <c r="F43" s="1925">
        <f t="shared" si="1"/>
        <v>0</v>
      </c>
      <c r="G43" s="1789">
        <f t="shared" si="3"/>
        <v>0</v>
      </c>
    </row>
    <row r="44" spans="1:7" x14ac:dyDescent="0.25">
      <c r="A44" s="1649"/>
      <c r="B44" s="1928"/>
      <c r="C44" s="1650"/>
      <c r="D44" s="1840"/>
      <c r="E44" s="1536">
        <f t="shared" si="2"/>
        <v>0</v>
      </c>
      <c r="F44" s="1925">
        <f t="shared" si="1"/>
        <v>0</v>
      </c>
      <c r="G44" s="1789">
        <f t="shared" si="3"/>
        <v>0</v>
      </c>
    </row>
    <row r="45" spans="1:7" x14ac:dyDescent="0.25">
      <c r="A45" s="1649"/>
      <c r="B45" s="1928"/>
      <c r="C45" s="1650"/>
      <c r="D45" s="1840"/>
      <c r="E45" s="1536">
        <f t="shared" si="2"/>
        <v>0</v>
      </c>
      <c r="F45" s="1925">
        <f t="shared" si="1"/>
        <v>0</v>
      </c>
      <c r="G45" s="1789">
        <f t="shared" si="3"/>
        <v>0</v>
      </c>
    </row>
    <row r="46" spans="1:7" x14ac:dyDescent="0.25">
      <c r="A46" s="1649"/>
      <c r="B46" s="1663"/>
      <c r="C46" s="1650"/>
      <c r="D46" s="1840"/>
      <c r="E46" s="1536">
        <f t="shared" si="2"/>
        <v>0</v>
      </c>
      <c r="F46" s="1925">
        <f t="shared" si="1"/>
        <v>0</v>
      </c>
      <c r="G46" s="1789">
        <f t="shared" si="3"/>
        <v>0</v>
      </c>
    </row>
    <row r="47" spans="1:7" x14ac:dyDescent="0.25">
      <c r="A47" s="1649"/>
      <c r="B47" s="1663"/>
      <c r="C47" s="1650"/>
      <c r="D47" s="1840"/>
      <c r="E47" s="1536">
        <f t="shared" si="2"/>
        <v>0</v>
      </c>
      <c r="F47" s="1925">
        <f t="shared" si="1"/>
        <v>0</v>
      </c>
      <c r="G47" s="1789">
        <f t="shared" si="3"/>
        <v>0</v>
      </c>
    </row>
    <row r="48" spans="1:7" x14ac:dyDescent="0.25">
      <c r="A48" s="1649"/>
      <c r="B48" s="1663"/>
      <c r="C48" s="1650"/>
      <c r="D48" s="1840"/>
      <c r="E48" s="1536">
        <f t="shared" si="2"/>
        <v>0</v>
      </c>
      <c r="F48" s="1925">
        <f t="shared" si="1"/>
        <v>0</v>
      </c>
      <c r="G48" s="1789">
        <f t="shared" si="3"/>
        <v>0</v>
      </c>
    </row>
    <row r="49" spans="1:7" x14ac:dyDescent="0.25">
      <c r="A49" s="1649"/>
      <c r="B49" s="1663"/>
      <c r="C49" s="1650"/>
      <c r="D49" s="1840"/>
      <c r="E49" s="1536">
        <f t="shared" si="2"/>
        <v>0</v>
      </c>
      <c r="F49" s="1925">
        <f t="shared" si="1"/>
        <v>0</v>
      </c>
      <c r="G49" s="1789">
        <f t="shared" si="3"/>
        <v>0</v>
      </c>
    </row>
    <row r="50" spans="1:7" x14ac:dyDescent="0.25">
      <c r="A50" s="1649"/>
      <c r="B50" s="1663"/>
      <c r="C50" s="1650"/>
      <c r="D50" s="1840"/>
      <c r="E50" s="1536">
        <f t="shared" si="2"/>
        <v>0</v>
      </c>
      <c r="F50" s="1925">
        <f t="shared" si="1"/>
        <v>0</v>
      </c>
      <c r="G50" s="1789">
        <f t="shared" si="3"/>
        <v>0</v>
      </c>
    </row>
    <row r="51" spans="1:7" x14ac:dyDescent="0.25">
      <c r="A51" s="1649"/>
      <c r="B51" s="1663"/>
      <c r="C51" s="1650"/>
      <c r="D51" s="1840"/>
      <c r="E51" s="1536">
        <f t="shared" si="2"/>
        <v>0</v>
      </c>
      <c r="F51" s="1925">
        <f t="shared" si="1"/>
        <v>0</v>
      </c>
      <c r="G51" s="1789">
        <f t="shared" si="3"/>
        <v>0</v>
      </c>
    </row>
    <row r="52" spans="1:7" x14ac:dyDescent="0.25">
      <c r="A52" s="1649"/>
      <c r="B52" s="1663"/>
      <c r="C52" s="1650"/>
      <c r="D52" s="1840"/>
      <c r="E52" s="1536">
        <f t="shared" si="2"/>
        <v>0</v>
      </c>
      <c r="F52" s="1925">
        <f t="shared" si="1"/>
        <v>0</v>
      </c>
      <c r="G52" s="1789">
        <f t="shared" si="3"/>
        <v>0</v>
      </c>
    </row>
    <row r="53" spans="1:7" x14ac:dyDescent="0.25">
      <c r="A53" s="1649"/>
      <c r="B53" s="1663"/>
      <c r="C53" s="1650"/>
      <c r="D53" s="1840"/>
      <c r="E53" s="1536">
        <f t="shared" si="2"/>
        <v>0</v>
      </c>
      <c r="F53" s="1925">
        <f t="shared" si="1"/>
        <v>0</v>
      </c>
      <c r="G53" s="1789">
        <f t="shared" si="3"/>
        <v>0</v>
      </c>
    </row>
    <row r="54" spans="1:7" x14ac:dyDescent="0.25">
      <c r="A54" s="1649"/>
      <c r="B54" s="1663"/>
      <c r="C54" s="1650"/>
      <c r="D54" s="1840"/>
      <c r="E54" s="1536">
        <f t="shared" si="2"/>
        <v>0</v>
      </c>
      <c r="F54" s="1925">
        <f t="shared" si="1"/>
        <v>0</v>
      </c>
      <c r="G54" s="1789">
        <f t="shared" si="3"/>
        <v>0</v>
      </c>
    </row>
    <row r="55" spans="1:7" x14ac:dyDescent="0.25">
      <c r="A55" s="1649"/>
      <c r="B55" s="1663"/>
      <c r="C55" s="1650"/>
      <c r="D55" s="1840"/>
      <c r="E55" s="1536">
        <f t="shared" si="2"/>
        <v>0</v>
      </c>
      <c r="F55" s="1925">
        <f t="shared" si="1"/>
        <v>0</v>
      </c>
      <c r="G55" s="1789">
        <f t="shared" si="3"/>
        <v>0</v>
      </c>
    </row>
    <row r="56" spans="1:7" x14ac:dyDescent="0.25">
      <c r="A56" s="1649"/>
      <c r="B56" s="1663"/>
      <c r="C56" s="1650"/>
      <c r="D56" s="1840"/>
      <c r="E56" s="1536">
        <f t="shared" si="2"/>
        <v>0</v>
      </c>
      <c r="F56" s="1925">
        <f t="shared" si="1"/>
        <v>0</v>
      </c>
      <c r="G56" s="1789">
        <f t="shared" si="3"/>
        <v>0</v>
      </c>
    </row>
    <row r="57" spans="1:7" x14ac:dyDescent="0.25">
      <c r="A57" s="1649"/>
      <c r="B57" s="1663"/>
      <c r="C57" s="1650"/>
      <c r="D57" s="1840"/>
      <c r="E57" s="1536">
        <f t="shared" si="2"/>
        <v>0</v>
      </c>
      <c r="F57" s="1925">
        <f t="shared" si="1"/>
        <v>0</v>
      </c>
      <c r="G57" s="1789">
        <f t="shared" si="3"/>
        <v>0</v>
      </c>
    </row>
    <row r="58" spans="1:7" x14ac:dyDescent="0.25">
      <c r="A58" s="1649"/>
      <c r="B58" s="1663"/>
      <c r="C58" s="1650"/>
      <c r="D58" s="1840"/>
      <c r="E58" s="1536">
        <f t="shared" si="2"/>
        <v>0</v>
      </c>
      <c r="F58" s="1925">
        <f t="shared" si="1"/>
        <v>0</v>
      </c>
      <c r="G58" s="1789">
        <f t="shared" si="3"/>
        <v>0</v>
      </c>
    </row>
    <row r="59" spans="1:7" x14ac:dyDescent="0.25">
      <c r="A59" s="1649"/>
      <c r="B59" s="1663"/>
      <c r="C59" s="1650"/>
      <c r="D59" s="1840"/>
      <c r="E59" s="1536">
        <f t="shared" si="2"/>
        <v>0</v>
      </c>
      <c r="F59" s="1925">
        <f t="shared" si="1"/>
        <v>0</v>
      </c>
      <c r="G59" s="1789">
        <f t="shared" si="3"/>
        <v>0</v>
      </c>
    </row>
    <row r="60" spans="1:7" x14ac:dyDescent="0.25">
      <c r="A60" s="1649"/>
      <c r="B60" s="1663"/>
      <c r="C60" s="1650"/>
      <c r="D60" s="1840"/>
      <c r="E60" s="1536">
        <f t="shared" si="2"/>
        <v>0</v>
      </c>
      <c r="F60" s="1925">
        <f t="shared" si="1"/>
        <v>0</v>
      </c>
      <c r="G60" s="1789">
        <f t="shared" si="3"/>
        <v>0</v>
      </c>
    </row>
    <row r="61" spans="1:7" x14ac:dyDescent="0.25">
      <c r="A61" s="1649"/>
      <c r="B61" s="1663"/>
      <c r="C61" s="1650"/>
      <c r="D61" s="1840"/>
      <c r="E61" s="1536">
        <f t="shared" si="2"/>
        <v>0</v>
      </c>
      <c r="F61" s="1925">
        <f t="shared" si="1"/>
        <v>0</v>
      </c>
      <c r="G61" s="1789">
        <f t="shared" si="3"/>
        <v>0</v>
      </c>
    </row>
    <row r="62" spans="1:7" x14ac:dyDescent="0.25">
      <c r="A62" s="1649"/>
      <c r="B62" s="1663"/>
      <c r="C62" s="1650"/>
      <c r="D62" s="1840"/>
      <c r="E62" s="1536">
        <f t="shared" si="2"/>
        <v>0</v>
      </c>
      <c r="F62" s="1925">
        <f t="shared" si="1"/>
        <v>0</v>
      </c>
      <c r="G62" s="1789">
        <f t="shared" si="3"/>
        <v>0</v>
      </c>
    </row>
    <row r="63" spans="1:7" x14ac:dyDescent="0.25">
      <c r="A63" s="1649"/>
      <c r="B63" s="1663"/>
      <c r="C63" s="1650"/>
      <c r="D63" s="1840"/>
      <c r="E63" s="1536">
        <f t="shared" si="2"/>
        <v>0</v>
      </c>
      <c r="F63" s="1925">
        <f t="shared" si="1"/>
        <v>0</v>
      </c>
      <c r="G63" s="1789">
        <f t="shared" si="3"/>
        <v>0</v>
      </c>
    </row>
    <row r="64" spans="1:7" x14ac:dyDescent="0.25">
      <c r="A64" s="1651"/>
      <c r="B64" s="1663"/>
      <c r="C64" s="1652"/>
      <c r="D64" s="1840"/>
      <c r="E64" s="1536">
        <f t="shared" si="2"/>
        <v>0</v>
      </c>
      <c r="F64" s="1925">
        <f t="shared" si="1"/>
        <v>0</v>
      </c>
      <c r="G64" s="1789">
        <f t="shared" si="3"/>
        <v>0</v>
      </c>
    </row>
    <row r="65" spans="1:7" x14ac:dyDescent="0.25">
      <c r="A65" s="1649"/>
      <c r="B65" s="1663"/>
      <c r="C65" s="1650"/>
      <c r="D65" s="1840"/>
      <c r="E65" s="1536">
        <f t="shared" si="2"/>
        <v>0</v>
      </c>
      <c r="F65" s="1925">
        <f t="shared" si="1"/>
        <v>0</v>
      </c>
      <c r="G65" s="1789">
        <f t="shared" si="3"/>
        <v>0</v>
      </c>
    </row>
    <row r="66" spans="1:7" x14ac:dyDescent="0.25">
      <c r="A66" s="1649"/>
      <c r="B66" s="1663"/>
      <c r="C66" s="1650"/>
      <c r="D66" s="1840"/>
      <c r="E66" s="1536">
        <f t="shared" si="2"/>
        <v>0</v>
      </c>
      <c r="F66" s="1925">
        <f t="shared" si="1"/>
        <v>0</v>
      </c>
      <c r="G66" s="1789">
        <f t="shared" si="3"/>
        <v>0</v>
      </c>
    </row>
    <row r="67" spans="1:7" x14ac:dyDescent="0.25">
      <c r="A67" s="1649"/>
      <c r="B67" s="1663"/>
      <c r="C67" s="1650"/>
      <c r="D67" s="1840"/>
      <c r="E67" s="1536">
        <f t="shared" si="2"/>
        <v>0</v>
      </c>
      <c r="F67" s="1925">
        <f t="shared" si="1"/>
        <v>0</v>
      </c>
      <c r="G67" s="1789">
        <f t="shared" si="3"/>
        <v>0</v>
      </c>
    </row>
    <row r="68" spans="1:7" x14ac:dyDescent="0.25">
      <c r="A68" s="1649"/>
      <c r="B68" s="1663"/>
      <c r="C68" s="1650"/>
      <c r="D68" s="1840"/>
      <c r="E68" s="1536">
        <f t="shared" si="2"/>
        <v>0</v>
      </c>
      <c r="F68" s="1925">
        <f t="shared" si="1"/>
        <v>0</v>
      </c>
      <c r="G68" s="1789">
        <f t="shared" si="3"/>
        <v>0</v>
      </c>
    </row>
    <row r="69" spans="1:7" x14ac:dyDescent="0.25">
      <c r="A69" s="1649"/>
      <c r="B69" s="1663"/>
      <c r="C69" s="1650"/>
      <c r="D69" s="1840"/>
      <c r="E69" s="1536">
        <f t="shared" si="2"/>
        <v>0</v>
      </c>
      <c r="F69" s="1925">
        <f t="shared" si="1"/>
        <v>0</v>
      </c>
      <c r="G69" s="1789">
        <f t="shared" si="3"/>
        <v>0</v>
      </c>
    </row>
    <row r="70" spans="1:7" x14ac:dyDescent="0.25">
      <c r="A70" s="1649"/>
      <c r="B70" s="1663"/>
      <c r="C70" s="1650"/>
      <c r="D70" s="1840"/>
      <c r="E70" s="1536">
        <f t="shared" si="2"/>
        <v>0</v>
      </c>
      <c r="F70" s="1925">
        <f t="shared" si="1"/>
        <v>0</v>
      </c>
      <c r="G70" s="1789">
        <f t="shared" si="3"/>
        <v>0</v>
      </c>
    </row>
    <row r="71" spans="1:7" x14ac:dyDescent="0.25">
      <c r="A71" s="1649"/>
      <c r="B71" s="1663"/>
      <c r="C71" s="1650"/>
      <c r="D71" s="1840"/>
      <c r="E71" s="1536">
        <f t="shared" si="2"/>
        <v>0</v>
      </c>
      <c r="F71" s="1925">
        <f t="shared" si="1"/>
        <v>0</v>
      </c>
      <c r="G71" s="1789">
        <f t="shared" si="3"/>
        <v>0</v>
      </c>
    </row>
    <row r="72" spans="1:7" x14ac:dyDescent="0.25">
      <c r="A72" s="1649"/>
      <c r="B72" s="1663"/>
      <c r="C72" s="1650"/>
      <c r="D72" s="1840"/>
      <c r="E72" s="1536">
        <f t="shared" si="2"/>
        <v>0</v>
      </c>
      <c r="F72" s="1925">
        <f t="shared" si="1"/>
        <v>0</v>
      </c>
      <c r="G72" s="1789">
        <f t="shared" si="3"/>
        <v>0</v>
      </c>
    </row>
    <row r="73" spans="1:7" x14ac:dyDescent="0.25">
      <c r="A73" s="1649"/>
      <c r="B73" s="1663"/>
      <c r="C73" s="1650"/>
      <c r="D73" s="1840"/>
      <c r="E73" s="1536">
        <f t="shared" ref="E73:E84" si="4">IF(D73&lt;=25000,D73,IF(D73&gt;25000,25000,0))</f>
        <v>0</v>
      </c>
      <c r="F73" s="1925">
        <f t="shared" si="1"/>
        <v>0</v>
      </c>
      <c r="G73" s="1789">
        <f t="shared" ref="G73:G84" si="5">IF(F73=0,0,D73-F73)</f>
        <v>0</v>
      </c>
    </row>
    <row r="74" spans="1:7" x14ac:dyDescent="0.25">
      <c r="A74" s="1649"/>
      <c r="B74" s="1663"/>
      <c r="C74" s="1650"/>
      <c r="D74" s="1840"/>
      <c r="E74" s="1536">
        <f t="shared" si="4"/>
        <v>0</v>
      </c>
      <c r="F74" s="1925">
        <f t="shared" si="1"/>
        <v>0</v>
      </c>
      <c r="G74" s="1789">
        <f t="shared" si="5"/>
        <v>0</v>
      </c>
    </row>
    <row r="75" spans="1:7" x14ac:dyDescent="0.25">
      <c r="A75" s="1649"/>
      <c r="B75" s="1663"/>
      <c r="C75" s="1650"/>
      <c r="D75" s="1840"/>
      <c r="E75" s="1536">
        <f t="shared" si="4"/>
        <v>0</v>
      </c>
      <c r="F75" s="1925">
        <f t="shared" si="1"/>
        <v>0</v>
      </c>
      <c r="G75" s="1789">
        <f t="shared" si="5"/>
        <v>0</v>
      </c>
    </row>
    <row r="76" spans="1:7" x14ac:dyDescent="0.25">
      <c r="A76" s="1649"/>
      <c r="B76" s="1663"/>
      <c r="C76" s="1650"/>
      <c r="D76" s="1840"/>
      <c r="E76" s="1536">
        <f t="shared" si="4"/>
        <v>0</v>
      </c>
      <c r="F76" s="1925">
        <f t="shared" si="1"/>
        <v>0</v>
      </c>
      <c r="G76" s="1789">
        <f t="shared" si="5"/>
        <v>0</v>
      </c>
    </row>
    <row r="77" spans="1:7" x14ac:dyDescent="0.25">
      <c r="A77" s="1649"/>
      <c r="B77" s="1663"/>
      <c r="C77" s="1650"/>
      <c r="D77" s="1840"/>
      <c r="E77" s="1536">
        <f t="shared" si="4"/>
        <v>0</v>
      </c>
      <c r="F77" s="1925">
        <f t="shared" si="1"/>
        <v>0</v>
      </c>
      <c r="G77" s="1789">
        <f t="shared" si="5"/>
        <v>0</v>
      </c>
    </row>
    <row r="78" spans="1:7" x14ac:dyDescent="0.25">
      <c r="A78" s="1649"/>
      <c r="B78" s="1663"/>
      <c r="C78" s="1650"/>
      <c r="D78" s="1840"/>
      <c r="E78" s="1536">
        <f t="shared" si="4"/>
        <v>0</v>
      </c>
      <c r="F78" s="1925">
        <f t="shared" si="1"/>
        <v>0</v>
      </c>
      <c r="G78" s="1789">
        <f t="shared" si="5"/>
        <v>0</v>
      </c>
    </row>
    <row r="79" spans="1:7" x14ac:dyDescent="0.25">
      <c r="A79" s="1649"/>
      <c r="B79" s="1663"/>
      <c r="C79" s="1650"/>
      <c r="D79" s="1840"/>
      <c r="E79" s="1536">
        <f t="shared" si="4"/>
        <v>0</v>
      </c>
      <c r="F79" s="1925">
        <f t="shared" si="1"/>
        <v>0</v>
      </c>
      <c r="G79" s="1789">
        <f t="shared" si="5"/>
        <v>0</v>
      </c>
    </row>
    <row r="80" spans="1:7" x14ac:dyDescent="0.25">
      <c r="A80" s="1649"/>
      <c r="B80" s="1663"/>
      <c r="C80" s="1650"/>
      <c r="D80" s="1840"/>
      <c r="E80" s="1536">
        <f t="shared" si="4"/>
        <v>0</v>
      </c>
      <c r="F80" s="1925">
        <f t="shared" si="1"/>
        <v>0</v>
      </c>
      <c r="G80" s="1789">
        <f t="shared" si="5"/>
        <v>0</v>
      </c>
    </row>
    <row r="81" spans="1:7" x14ac:dyDescent="0.25">
      <c r="A81" s="1649"/>
      <c r="B81" s="1663"/>
      <c r="C81" s="1650"/>
      <c r="D81" s="1840"/>
      <c r="E81" s="1536">
        <f t="shared" si="4"/>
        <v>0</v>
      </c>
      <c r="F81" s="192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5">
        <f t="shared" si="6"/>
        <v>0</v>
      </c>
      <c r="G82" s="1789">
        <f t="shared" si="5"/>
        <v>0</v>
      </c>
    </row>
    <row r="83" spans="1:7" x14ac:dyDescent="0.25">
      <c r="A83" s="1649"/>
      <c r="B83" s="1663"/>
      <c r="C83" s="1650"/>
      <c r="D83" s="1840"/>
      <c r="E83" s="1536">
        <f t="shared" si="4"/>
        <v>0</v>
      </c>
      <c r="F83" s="1925">
        <f t="shared" si="6"/>
        <v>0</v>
      </c>
      <c r="G83" s="1789">
        <f t="shared" si="5"/>
        <v>0</v>
      </c>
    </row>
    <row r="84" spans="1:7" x14ac:dyDescent="0.25">
      <c r="A84" s="1649"/>
      <c r="B84" s="1663"/>
      <c r="C84" s="1650"/>
      <c r="D84" s="1840"/>
      <c r="E84" s="1536">
        <f t="shared" si="4"/>
        <v>0</v>
      </c>
      <c r="F84" s="1925">
        <f t="shared" si="6"/>
        <v>0</v>
      </c>
      <c r="G84" s="1789">
        <f t="shared" si="5"/>
        <v>0</v>
      </c>
    </row>
    <row r="85" spans="1:7" x14ac:dyDescent="0.25">
      <c r="A85" s="1649"/>
      <c r="B85" s="1663"/>
      <c r="C85" s="1650"/>
      <c r="D85" s="1840"/>
      <c r="E85" s="1536">
        <f t="shared" si="2"/>
        <v>0</v>
      </c>
      <c r="F85" s="1925">
        <f t="shared" si="6"/>
        <v>0</v>
      </c>
      <c r="G85" s="1789">
        <f t="shared" si="3"/>
        <v>0</v>
      </c>
    </row>
    <row r="86" spans="1:7" x14ac:dyDescent="0.25">
      <c r="A86" s="1649"/>
      <c r="B86" s="1663"/>
      <c r="C86" s="1650"/>
      <c r="D86" s="1840"/>
      <c r="E86" s="1536">
        <f t="shared" si="2"/>
        <v>0</v>
      </c>
      <c r="F86" s="1925">
        <f t="shared" si="6"/>
        <v>0</v>
      </c>
      <c r="G86" s="1789">
        <f t="shared" si="3"/>
        <v>0</v>
      </c>
    </row>
    <row r="87" spans="1:7" x14ac:dyDescent="0.25">
      <c r="A87" s="1649"/>
      <c r="B87" s="1663"/>
      <c r="C87" s="1650"/>
      <c r="D87" s="1840"/>
      <c r="E87" s="1536">
        <f t="shared" si="2"/>
        <v>0</v>
      </c>
      <c r="F87" s="1925">
        <f t="shared" si="6"/>
        <v>0</v>
      </c>
      <c r="G87" s="1789">
        <f t="shared" si="3"/>
        <v>0</v>
      </c>
    </row>
    <row r="88" spans="1:7" x14ac:dyDescent="0.25">
      <c r="A88" s="1649"/>
      <c r="B88" s="1663"/>
      <c r="C88" s="1650"/>
      <c r="D88" s="1840"/>
      <c r="E88" s="1536">
        <f t="shared" si="2"/>
        <v>0</v>
      </c>
      <c r="F88" s="1925">
        <f t="shared" si="6"/>
        <v>0</v>
      </c>
      <c r="G88" s="1789">
        <f t="shared" si="3"/>
        <v>0</v>
      </c>
    </row>
    <row r="89" spans="1:7" x14ac:dyDescent="0.25">
      <c r="A89" s="1649"/>
      <c r="B89" s="1663"/>
      <c r="C89" s="1650"/>
      <c r="D89" s="1840"/>
      <c r="E89" s="1536">
        <f t="shared" si="2"/>
        <v>0</v>
      </c>
      <c r="F89" s="1925">
        <f t="shared" si="6"/>
        <v>0</v>
      </c>
      <c r="G89" s="1789">
        <f t="shared" si="3"/>
        <v>0</v>
      </c>
    </row>
    <row r="90" spans="1:7" x14ac:dyDescent="0.25">
      <c r="A90" s="1649"/>
      <c r="B90" s="1663"/>
      <c r="C90" s="1650"/>
      <c r="D90" s="1840"/>
      <c r="E90" s="1536">
        <f t="shared" si="2"/>
        <v>0</v>
      </c>
      <c r="F90" s="1925">
        <f t="shared" si="6"/>
        <v>0</v>
      </c>
      <c r="G90" s="1789">
        <f t="shared" si="3"/>
        <v>0</v>
      </c>
    </row>
    <row r="91" spans="1:7" x14ac:dyDescent="0.25">
      <c r="A91" s="1649"/>
      <c r="B91" s="1663"/>
      <c r="C91" s="1650"/>
      <c r="D91" s="1840"/>
      <c r="E91" s="1536">
        <f t="shared" si="2"/>
        <v>0</v>
      </c>
      <c r="F91" s="1925">
        <f t="shared" si="6"/>
        <v>0</v>
      </c>
      <c r="G91" s="1789">
        <f t="shared" si="3"/>
        <v>0</v>
      </c>
    </row>
    <row r="92" spans="1:7" x14ac:dyDescent="0.25">
      <c r="A92" s="1649"/>
      <c r="B92" s="1663"/>
      <c r="C92" s="1650"/>
      <c r="D92" s="1840"/>
      <c r="E92" s="1536">
        <f t="shared" si="2"/>
        <v>0</v>
      </c>
      <c r="F92" s="1925">
        <f t="shared" si="6"/>
        <v>0</v>
      </c>
      <c r="G92" s="1789">
        <f t="shared" si="3"/>
        <v>0</v>
      </c>
    </row>
    <row r="93" spans="1:7" x14ac:dyDescent="0.25">
      <c r="A93" s="1649"/>
      <c r="B93" s="1663"/>
      <c r="C93" s="1650"/>
      <c r="D93" s="1840"/>
      <c r="E93" s="1536">
        <f t="shared" ref="E93" si="7">IF(D93&lt;=25000,D93,IF(D93&gt;25000,25000,0))</f>
        <v>0</v>
      </c>
      <c r="F93" s="1925">
        <f t="shared" si="6"/>
        <v>0</v>
      </c>
      <c r="G93" s="1789">
        <f t="shared" ref="G93" si="8">IF(F93=0,0,D93-F93)</f>
        <v>0</v>
      </c>
    </row>
    <row r="94" spans="1:7" x14ac:dyDescent="0.25">
      <c r="A94" s="1649"/>
      <c r="B94" s="1663"/>
      <c r="C94" s="1650"/>
      <c r="D94" s="1840"/>
      <c r="E94" s="1536">
        <f t="shared" si="2"/>
        <v>0</v>
      </c>
      <c r="F94" s="1925">
        <f t="shared" si="6"/>
        <v>0</v>
      </c>
      <c r="G94" s="1789">
        <f t="shared" si="3"/>
        <v>0</v>
      </c>
    </row>
    <row r="95" spans="1:7" x14ac:dyDescent="0.25">
      <c r="A95" s="1649"/>
      <c r="B95" s="1663"/>
      <c r="C95" s="1650"/>
      <c r="D95" s="1840"/>
      <c r="E95" s="1536">
        <f t="shared" ref="E95:E98" si="9">IF(D95&lt;=25000,D95,IF(D95&gt;25000,25000,0))</f>
        <v>0</v>
      </c>
      <c r="F95" s="1925">
        <f t="shared" si="6"/>
        <v>0</v>
      </c>
      <c r="G95" s="1789">
        <f t="shared" ref="G95:G98" si="10">IF(F95=0,0,D95-F95)</f>
        <v>0</v>
      </c>
    </row>
    <row r="96" spans="1:7" x14ac:dyDescent="0.25">
      <c r="A96" s="1649"/>
      <c r="B96" s="1663"/>
      <c r="C96" s="1650"/>
      <c r="D96" s="1840"/>
      <c r="E96" s="1536">
        <f t="shared" si="9"/>
        <v>0</v>
      </c>
      <c r="F96" s="1925">
        <f t="shared" si="6"/>
        <v>0</v>
      </c>
      <c r="G96" s="1789">
        <f t="shared" si="10"/>
        <v>0</v>
      </c>
    </row>
    <row r="97" spans="1:7" x14ac:dyDescent="0.25">
      <c r="A97" s="1649"/>
      <c r="B97" s="1663"/>
      <c r="C97" s="1650"/>
      <c r="D97" s="1840"/>
      <c r="E97" s="1536">
        <f t="shared" si="9"/>
        <v>0</v>
      </c>
      <c r="F97" s="1925">
        <f t="shared" si="6"/>
        <v>0</v>
      </c>
      <c r="G97" s="1789">
        <f t="shared" si="10"/>
        <v>0</v>
      </c>
    </row>
    <row r="98" spans="1:7" x14ac:dyDescent="0.25">
      <c r="A98" s="1649"/>
      <c r="B98" s="1663"/>
      <c r="C98" s="1650"/>
      <c r="D98" s="1840"/>
      <c r="E98" s="1536">
        <f t="shared" si="9"/>
        <v>0</v>
      </c>
      <c r="F98" s="1925">
        <f t="shared" si="6"/>
        <v>0</v>
      </c>
      <c r="G98" s="1789">
        <f t="shared" si="10"/>
        <v>0</v>
      </c>
    </row>
    <row r="99" spans="1:7" x14ac:dyDescent="0.25">
      <c r="A99" s="1649"/>
      <c r="B99" s="1663"/>
      <c r="C99" s="1650"/>
      <c r="D99" s="1840"/>
      <c r="E99" s="1536">
        <f t="shared" ref="E99" si="11">IF(D99&lt;=25000,D99,IF(D99&gt;25000,25000,0))</f>
        <v>0</v>
      </c>
      <c r="F99" s="1925">
        <f t="shared" si="6"/>
        <v>0</v>
      </c>
      <c r="G99" s="1789">
        <f t="shared" ref="G99" si="12">IF(F99=0,0,D99-F99)</f>
        <v>0</v>
      </c>
    </row>
    <row r="100" spans="1:7" x14ac:dyDescent="0.25">
      <c r="A100" s="1649"/>
      <c r="B100" s="1663"/>
      <c r="C100" s="1650"/>
      <c r="D100" s="1840"/>
      <c r="E100" s="1536">
        <f t="shared" ref="E100:E112" si="13">IF(D100&lt;=25000,D100,IF(D100&gt;25000,25000,0))</f>
        <v>0</v>
      </c>
      <c r="F100" s="1925">
        <f t="shared" si="6"/>
        <v>0</v>
      </c>
      <c r="G100" s="1789">
        <f t="shared" ref="G100:G112" si="14">IF(F100=0,0,D100-F100)</f>
        <v>0</v>
      </c>
    </row>
    <row r="101" spans="1:7" x14ac:dyDescent="0.25">
      <c r="A101" s="1649"/>
      <c r="B101" s="1663"/>
      <c r="C101" s="1650"/>
      <c r="D101" s="1840"/>
      <c r="E101" s="1536">
        <f t="shared" si="13"/>
        <v>0</v>
      </c>
      <c r="F101" s="1925">
        <f t="shared" si="6"/>
        <v>0</v>
      </c>
      <c r="G101" s="1789">
        <f t="shared" si="14"/>
        <v>0</v>
      </c>
    </row>
    <row r="102" spans="1:7" x14ac:dyDescent="0.25">
      <c r="A102" s="1649"/>
      <c r="B102" s="1663"/>
      <c r="C102" s="1650"/>
      <c r="D102" s="1840"/>
      <c r="E102" s="1536">
        <f t="shared" si="13"/>
        <v>0</v>
      </c>
      <c r="F102" s="1925">
        <f t="shared" si="6"/>
        <v>0</v>
      </c>
      <c r="G102" s="1789">
        <f t="shared" si="14"/>
        <v>0</v>
      </c>
    </row>
    <row r="103" spans="1:7" x14ac:dyDescent="0.25">
      <c r="A103" s="1649"/>
      <c r="B103" s="1663"/>
      <c r="C103" s="1650"/>
      <c r="D103" s="1840"/>
      <c r="E103" s="1536">
        <f t="shared" si="13"/>
        <v>0</v>
      </c>
      <c r="F103" s="1925">
        <f t="shared" si="6"/>
        <v>0</v>
      </c>
      <c r="G103" s="1789">
        <f t="shared" si="14"/>
        <v>0</v>
      </c>
    </row>
    <row r="104" spans="1:7" x14ac:dyDescent="0.25">
      <c r="A104" s="1649"/>
      <c r="B104" s="1663"/>
      <c r="C104" s="1650"/>
      <c r="D104" s="1840"/>
      <c r="E104" s="1536">
        <f t="shared" si="13"/>
        <v>0</v>
      </c>
      <c r="F104" s="1925">
        <f t="shared" si="6"/>
        <v>0</v>
      </c>
      <c r="G104" s="1789">
        <f t="shared" si="14"/>
        <v>0</v>
      </c>
    </row>
    <row r="105" spans="1:7" x14ac:dyDescent="0.25">
      <c r="A105" s="1649"/>
      <c r="B105" s="1663"/>
      <c r="C105" s="1650"/>
      <c r="D105" s="1840"/>
      <c r="E105" s="1536">
        <f t="shared" si="13"/>
        <v>0</v>
      </c>
      <c r="F105" s="1925">
        <f t="shared" si="6"/>
        <v>0</v>
      </c>
      <c r="G105" s="1789">
        <f t="shared" si="14"/>
        <v>0</v>
      </c>
    </row>
    <row r="106" spans="1:7" x14ac:dyDescent="0.25">
      <c r="A106" s="1649"/>
      <c r="B106" s="1663"/>
      <c r="C106" s="1650"/>
      <c r="D106" s="1840"/>
      <c r="E106" s="1536">
        <f t="shared" si="13"/>
        <v>0</v>
      </c>
      <c r="F106" s="1925">
        <f t="shared" si="6"/>
        <v>0</v>
      </c>
      <c r="G106" s="1789">
        <f t="shared" si="14"/>
        <v>0</v>
      </c>
    </row>
    <row r="107" spans="1:7" x14ac:dyDescent="0.25">
      <c r="A107" s="1649"/>
      <c r="B107" s="1663"/>
      <c r="C107" s="1650"/>
      <c r="D107" s="1840"/>
      <c r="E107" s="1536">
        <f t="shared" si="13"/>
        <v>0</v>
      </c>
      <c r="F107" s="1925">
        <f t="shared" si="6"/>
        <v>0</v>
      </c>
      <c r="G107" s="1789">
        <f t="shared" si="14"/>
        <v>0</v>
      </c>
    </row>
    <row r="108" spans="1:7" x14ac:dyDescent="0.25">
      <c r="A108" s="1649"/>
      <c r="B108" s="1663"/>
      <c r="C108" s="1650"/>
      <c r="D108" s="1840"/>
      <c r="E108" s="1536">
        <f t="shared" si="13"/>
        <v>0</v>
      </c>
      <c r="F108" s="1925">
        <f t="shared" si="6"/>
        <v>0</v>
      </c>
      <c r="G108" s="1789">
        <f t="shared" si="14"/>
        <v>0</v>
      </c>
    </row>
    <row r="109" spans="1:7" x14ac:dyDescent="0.25">
      <c r="A109" s="1649"/>
      <c r="B109" s="1663"/>
      <c r="C109" s="1650"/>
      <c r="D109" s="1840"/>
      <c r="E109" s="1536">
        <f t="shared" si="13"/>
        <v>0</v>
      </c>
      <c r="F109" s="1925">
        <f t="shared" si="6"/>
        <v>0</v>
      </c>
      <c r="G109" s="1789">
        <f t="shared" si="14"/>
        <v>0</v>
      </c>
    </row>
    <row r="110" spans="1:7" x14ac:dyDescent="0.25">
      <c r="A110" s="1649"/>
      <c r="B110" s="1663"/>
      <c r="C110" s="1650"/>
      <c r="D110" s="1840"/>
      <c r="E110" s="1536">
        <f t="shared" si="13"/>
        <v>0</v>
      </c>
      <c r="F110" s="1925">
        <f t="shared" si="6"/>
        <v>0</v>
      </c>
      <c r="G110" s="1789">
        <f t="shared" si="14"/>
        <v>0</v>
      </c>
    </row>
    <row r="111" spans="1:7" x14ac:dyDescent="0.25">
      <c r="A111" s="1649"/>
      <c r="B111" s="1663"/>
      <c r="C111" s="1650"/>
      <c r="D111" s="1840"/>
      <c r="E111" s="1536">
        <f t="shared" si="13"/>
        <v>0</v>
      </c>
      <c r="F111" s="1925">
        <f t="shared" si="6"/>
        <v>0</v>
      </c>
      <c r="G111" s="1789">
        <f t="shared" si="14"/>
        <v>0</v>
      </c>
    </row>
    <row r="112" spans="1:7" x14ac:dyDescent="0.25">
      <c r="A112" s="1649"/>
      <c r="B112" s="1663"/>
      <c r="C112" s="1650"/>
      <c r="D112" s="1840"/>
      <c r="E112" s="1536">
        <f t="shared" si="13"/>
        <v>0</v>
      </c>
      <c r="F112" s="1925">
        <f t="shared" si="6"/>
        <v>0</v>
      </c>
      <c r="G112" s="1789">
        <f t="shared" si="14"/>
        <v>0</v>
      </c>
    </row>
    <row r="113" spans="1:7" x14ac:dyDescent="0.25">
      <c r="A113" s="1649"/>
      <c r="B113" s="1663"/>
      <c r="C113" s="1650"/>
      <c r="D113" s="1840"/>
      <c r="E113" s="1536">
        <f t="shared" ref="E113:E125" si="15">IF(D113&lt;=25000,D113,IF(D113&gt;25000,25000,0))</f>
        <v>0</v>
      </c>
      <c r="F113" s="1925">
        <f t="shared" si="6"/>
        <v>0</v>
      </c>
      <c r="G113" s="1789">
        <f t="shared" ref="G113:G125" si="16">IF(F113=0,0,D113-F113)</f>
        <v>0</v>
      </c>
    </row>
    <row r="114" spans="1:7" x14ac:dyDescent="0.25">
      <c r="A114" s="1649"/>
      <c r="B114" s="1663"/>
      <c r="C114" s="1650"/>
      <c r="D114" s="1840"/>
      <c r="E114" s="1536">
        <f t="shared" si="15"/>
        <v>0</v>
      </c>
      <c r="F114" s="1925">
        <f t="shared" si="6"/>
        <v>0</v>
      </c>
      <c r="G114" s="1789">
        <f t="shared" si="16"/>
        <v>0</v>
      </c>
    </row>
    <row r="115" spans="1:7" x14ac:dyDescent="0.25">
      <c r="A115" s="1649"/>
      <c r="B115" s="1663"/>
      <c r="C115" s="1650"/>
      <c r="D115" s="1840"/>
      <c r="E115" s="1536">
        <f t="shared" si="15"/>
        <v>0</v>
      </c>
      <c r="F115" s="1925">
        <f t="shared" si="6"/>
        <v>0</v>
      </c>
      <c r="G115" s="1789">
        <f t="shared" si="16"/>
        <v>0</v>
      </c>
    </row>
    <row r="116" spans="1:7" x14ac:dyDescent="0.25">
      <c r="A116" s="1649"/>
      <c r="B116" s="1663"/>
      <c r="C116" s="1650"/>
      <c r="D116" s="1840"/>
      <c r="E116" s="1536">
        <f t="shared" si="15"/>
        <v>0</v>
      </c>
      <c r="F116" s="1925">
        <f t="shared" si="6"/>
        <v>0</v>
      </c>
      <c r="G116" s="1789">
        <f t="shared" si="16"/>
        <v>0</v>
      </c>
    </row>
    <row r="117" spans="1:7" x14ac:dyDescent="0.25">
      <c r="A117" s="1649"/>
      <c r="B117" s="1663"/>
      <c r="C117" s="1650"/>
      <c r="D117" s="1840"/>
      <c r="E117" s="1536">
        <f t="shared" si="15"/>
        <v>0</v>
      </c>
      <c r="F117" s="1925">
        <f t="shared" si="6"/>
        <v>0</v>
      </c>
      <c r="G117" s="1789">
        <f t="shared" si="16"/>
        <v>0</v>
      </c>
    </row>
    <row r="118" spans="1:7" x14ac:dyDescent="0.25">
      <c r="A118" s="1649"/>
      <c r="B118" s="1663"/>
      <c r="C118" s="1650"/>
      <c r="D118" s="1840"/>
      <c r="E118" s="1536">
        <f t="shared" si="15"/>
        <v>0</v>
      </c>
      <c r="F118" s="1925">
        <f t="shared" si="6"/>
        <v>0</v>
      </c>
      <c r="G118" s="1789">
        <f t="shared" si="16"/>
        <v>0</v>
      </c>
    </row>
    <row r="119" spans="1:7" x14ac:dyDescent="0.25">
      <c r="A119" s="1649"/>
      <c r="B119" s="1663"/>
      <c r="C119" s="1650"/>
      <c r="D119" s="1840"/>
      <c r="E119" s="1536">
        <f t="shared" si="15"/>
        <v>0</v>
      </c>
      <c r="F119" s="1925">
        <f t="shared" si="6"/>
        <v>0</v>
      </c>
      <c r="G119" s="1789">
        <f t="shared" si="16"/>
        <v>0</v>
      </c>
    </row>
    <row r="120" spans="1:7" x14ac:dyDescent="0.25">
      <c r="A120" s="1649"/>
      <c r="B120" s="1663"/>
      <c r="C120" s="1650"/>
      <c r="D120" s="1840"/>
      <c r="E120" s="1536">
        <f t="shared" si="15"/>
        <v>0</v>
      </c>
      <c r="F120" s="1925">
        <f t="shared" si="6"/>
        <v>0</v>
      </c>
      <c r="G120" s="1789">
        <f t="shared" si="16"/>
        <v>0</v>
      </c>
    </row>
    <row r="121" spans="1:7" x14ac:dyDescent="0.25">
      <c r="A121" s="1649"/>
      <c r="B121" s="1663"/>
      <c r="C121" s="1650"/>
      <c r="D121" s="1840"/>
      <c r="E121" s="1536">
        <f t="shared" si="15"/>
        <v>0</v>
      </c>
      <c r="F121" s="1925">
        <f t="shared" si="6"/>
        <v>0</v>
      </c>
      <c r="G121" s="1789">
        <f t="shared" si="16"/>
        <v>0</v>
      </c>
    </row>
    <row r="122" spans="1:7" x14ac:dyDescent="0.25">
      <c r="A122" s="1649"/>
      <c r="B122" s="1663"/>
      <c r="C122" s="1650"/>
      <c r="D122" s="1840"/>
      <c r="E122" s="1536">
        <f t="shared" si="15"/>
        <v>0</v>
      </c>
      <c r="F122" s="1925">
        <f t="shared" si="6"/>
        <v>0</v>
      </c>
      <c r="G122" s="1789">
        <f t="shared" si="16"/>
        <v>0</v>
      </c>
    </row>
    <row r="123" spans="1:7" x14ac:dyDescent="0.25">
      <c r="A123" s="1649"/>
      <c r="B123" s="1663"/>
      <c r="C123" s="1650"/>
      <c r="D123" s="1840"/>
      <c r="E123" s="1536">
        <f t="shared" si="15"/>
        <v>0</v>
      </c>
      <c r="F123" s="1925">
        <f t="shared" si="6"/>
        <v>0</v>
      </c>
      <c r="G123" s="1789">
        <f t="shared" si="16"/>
        <v>0</v>
      </c>
    </row>
    <row r="124" spans="1:7" x14ac:dyDescent="0.25">
      <c r="A124" s="1649"/>
      <c r="B124" s="1663"/>
      <c r="C124" s="1650"/>
      <c r="D124" s="1840"/>
      <c r="E124" s="1536">
        <f t="shared" si="15"/>
        <v>0</v>
      </c>
      <c r="F124" s="1925">
        <f t="shared" si="6"/>
        <v>0</v>
      </c>
      <c r="G124" s="1789">
        <f t="shared" si="16"/>
        <v>0</v>
      </c>
    </row>
    <row r="125" spans="1:7" x14ac:dyDescent="0.25">
      <c r="A125" s="1649"/>
      <c r="B125" s="1663"/>
      <c r="C125" s="1650"/>
      <c r="D125" s="1840"/>
      <c r="E125" s="1536">
        <f t="shared" si="15"/>
        <v>0</v>
      </c>
      <c r="F125" s="1925">
        <f t="shared" si="6"/>
        <v>0</v>
      </c>
      <c r="G125" s="1789">
        <f t="shared" si="16"/>
        <v>0</v>
      </c>
    </row>
    <row r="126" spans="1:7" x14ac:dyDescent="0.25">
      <c r="A126" s="1649"/>
      <c r="B126" s="1663"/>
      <c r="C126" s="1650"/>
      <c r="D126" s="1840"/>
      <c r="E126" s="1536">
        <f t="shared" ref="E126:E134" si="17">IF(D126&lt;=25000,D126,IF(D126&gt;25000,25000,0))</f>
        <v>0</v>
      </c>
      <c r="F126" s="1925">
        <f t="shared" si="6"/>
        <v>0</v>
      </c>
      <c r="G126" s="1789">
        <f t="shared" ref="G126:G134" si="18">IF(F126=0,0,D126-F126)</f>
        <v>0</v>
      </c>
    </row>
    <row r="127" spans="1:7" x14ac:dyDescent="0.25">
      <c r="A127" s="1649"/>
      <c r="B127" s="1663"/>
      <c r="C127" s="1650"/>
      <c r="D127" s="1840"/>
      <c r="E127" s="1536">
        <f t="shared" si="17"/>
        <v>0</v>
      </c>
      <c r="F127" s="1925">
        <f t="shared" si="6"/>
        <v>0</v>
      </c>
      <c r="G127" s="1789">
        <f t="shared" si="18"/>
        <v>0</v>
      </c>
    </row>
    <row r="128" spans="1:7" x14ac:dyDescent="0.25">
      <c r="A128" s="1649"/>
      <c r="B128" s="1663"/>
      <c r="C128" s="1650"/>
      <c r="D128" s="1840"/>
      <c r="E128" s="1536">
        <f t="shared" si="17"/>
        <v>0</v>
      </c>
      <c r="F128" s="1925">
        <f t="shared" si="6"/>
        <v>0</v>
      </c>
      <c r="G128" s="1789">
        <f t="shared" si="18"/>
        <v>0</v>
      </c>
    </row>
    <row r="129" spans="1:7" x14ac:dyDescent="0.25">
      <c r="A129" s="1649"/>
      <c r="B129" s="1663"/>
      <c r="C129" s="1650"/>
      <c r="D129" s="1840"/>
      <c r="E129" s="1536">
        <f t="shared" si="17"/>
        <v>0</v>
      </c>
      <c r="F129" s="1925">
        <f t="shared" si="6"/>
        <v>0</v>
      </c>
      <c r="G129" s="1789">
        <f t="shared" si="18"/>
        <v>0</v>
      </c>
    </row>
    <row r="130" spans="1:7" x14ac:dyDescent="0.25">
      <c r="A130" s="1649"/>
      <c r="B130" s="1663"/>
      <c r="C130" s="1650"/>
      <c r="D130" s="1840"/>
      <c r="E130" s="1536">
        <f t="shared" si="17"/>
        <v>0</v>
      </c>
      <c r="F130" s="1925">
        <f t="shared" si="6"/>
        <v>0</v>
      </c>
      <c r="G130" s="1789">
        <f t="shared" si="18"/>
        <v>0</v>
      </c>
    </row>
    <row r="131" spans="1:7" x14ac:dyDescent="0.25">
      <c r="A131" s="1649"/>
      <c r="B131" s="1833"/>
      <c r="C131" s="1650"/>
      <c r="D131" s="1840"/>
      <c r="E131" s="1536">
        <f t="shared" si="17"/>
        <v>0</v>
      </c>
      <c r="F131" s="1925">
        <f t="shared" si="6"/>
        <v>0</v>
      </c>
      <c r="G131" s="1789">
        <f t="shared" si="18"/>
        <v>0</v>
      </c>
    </row>
    <row r="132" spans="1:7" x14ac:dyDescent="0.25">
      <c r="A132" s="1649"/>
      <c r="B132" s="1833"/>
      <c r="C132" s="1650"/>
      <c r="D132" s="1840"/>
      <c r="E132" s="1536">
        <f t="shared" si="17"/>
        <v>0</v>
      </c>
      <c r="F132" s="1925">
        <f t="shared" si="6"/>
        <v>0</v>
      </c>
      <c r="G132" s="1789">
        <f t="shared" si="18"/>
        <v>0</v>
      </c>
    </row>
    <row r="133" spans="1:7" x14ac:dyDescent="0.25">
      <c r="A133" s="1649"/>
      <c r="B133" s="1663"/>
      <c r="C133" s="1650"/>
      <c r="D133" s="1840"/>
      <c r="E133" s="1536">
        <f t="shared" si="17"/>
        <v>0</v>
      </c>
      <c r="F133" s="1925">
        <f t="shared" si="6"/>
        <v>0</v>
      </c>
      <c r="G133" s="1789">
        <f t="shared" si="18"/>
        <v>0</v>
      </c>
    </row>
    <row r="134" spans="1:7" x14ac:dyDescent="0.25">
      <c r="A134" s="1649"/>
      <c r="B134" s="1663"/>
      <c r="C134" s="1650"/>
      <c r="D134" s="1840"/>
      <c r="E134" s="1536">
        <f t="shared" si="17"/>
        <v>0</v>
      </c>
      <c r="F134" s="1925">
        <f t="shared" si="6"/>
        <v>0</v>
      </c>
      <c r="G134" s="1789">
        <f t="shared" si="18"/>
        <v>0</v>
      </c>
    </row>
    <row r="135" spans="1:7" x14ac:dyDescent="0.25">
      <c r="A135" s="1649"/>
      <c r="B135" s="1663"/>
      <c r="C135" s="1650"/>
      <c r="D135" s="1840"/>
      <c r="E135" s="1536">
        <f t="shared" ref="E135:E139" si="19">IF(D135&lt;=25000,D135,IF(D135&gt;25000,25000,0))</f>
        <v>0</v>
      </c>
      <c r="F135" s="1925">
        <f t="shared" si="6"/>
        <v>0</v>
      </c>
      <c r="G135" s="1789">
        <f t="shared" ref="G135:G139" si="20">IF(F135=0,0,D135-F135)</f>
        <v>0</v>
      </c>
    </row>
    <row r="136" spans="1:7" x14ac:dyDescent="0.25">
      <c r="A136" s="1649"/>
      <c r="B136" s="1663"/>
      <c r="C136" s="1650"/>
      <c r="D136" s="1840"/>
      <c r="E136" s="1536">
        <f t="shared" si="19"/>
        <v>0</v>
      </c>
      <c r="F136" s="1925">
        <f t="shared" si="6"/>
        <v>0</v>
      </c>
      <c r="G136" s="1789">
        <f t="shared" si="20"/>
        <v>0</v>
      </c>
    </row>
    <row r="137" spans="1:7" x14ac:dyDescent="0.25">
      <c r="A137" s="1649"/>
      <c r="B137" s="1663"/>
      <c r="C137" s="1650"/>
      <c r="D137" s="1840"/>
      <c r="E137" s="1536">
        <f t="shared" si="19"/>
        <v>0</v>
      </c>
      <c r="F137" s="1925">
        <f t="shared" si="6"/>
        <v>0</v>
      </c>
      <c r="G137" s="1789">
        <f t="shared" si="20"/>
        <v>0</v>
      </c>
    </row>
    <row r="138" spans="1:7" x14ac:dyDescent="0.25">
      <c r="A138" s="1649"/>
      <c r="B138" s="1663"/>
      <c r="C138" s="1650"/>
      <c r="D138" s="1840"/>
      <c r="E138" s="1536">
        <f t="shared" si="19"/>
        <v>0</v>
      </c>
      <c r="F138" s="1925">
        <f t="shared" si="6"/>
        <v>0</v>
      </c>
      <c r="G138" s="1789">
        <f t="shared" si="20"/>
        <v>0</v>
      </c>
    </row>
    <row r="139" spans="1:7" x14ac:dyDescent="0.25">
      <c r="A139" s="1649"/>
      <c r="B139" s="1663"/>
      <c r="C139" s="1650"/>
      <c r="D139" s="1840"/>
      <c r="E139" s="1536">
        <f t="shared" si="19"/>
        <v>0</v>
      </c>
      <c r="F139" s="1925">
        <f t="shared" si="6"/>
        <v>0</v>
      </c>
      <c r="G139" s="1789">
        <f t="shared" si="20"/>
        <v>0</v>
      </c>
    </row>
    <row r="140" spans="1:7" x14ac:dyDescent="0.25">
      <c r="A140" s="1649"/>
      <c r="B140" s="1662"/>
      <c r="C140" s="1650"/>
      <c r="D140" s="1840"/>
      <c r="E140" s="1536">
        <f t="shared" si="2"/>
        <v>0</v>
      </c>
      <c r="F140" s="1925">
        <f t="shared" si="6"/>
        <v>0</v>
      </c>
      <c r="G140" s="1789">
        <f t="shared" si="3"/>
        <v>0</v>
      </c>
    </row>
    <row r="141" spans="1:7" x14ac:dyDescent="0.25">
      <c r="A141" s="1792" t="s">
        <v>156</v>
      </c>
      <c r="B141" s="1793"/>
      <c r="C141" s="1794"/>
      <c r="D141" s="1790">
        <f>SUM(D17:D140)</f>
        <v>2246784</v>
      </c>
      <c r="E141" s="1537">
        <f t="shared" si="0"/>
        <v>25000</v>
      </c>
      <c r="F141" s="1926">
        <f>SUM(F17:F140)</f>
        <v>250000</v>
      </c>
      <c r="G141" s="1791">
        <f>SUM(G17:G140)</f>
        <v>1996784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19" t="s">
        <v>1678</v>
      </c>
      <c r="B5" s="2420"/>
      <c r="C5" s="2420"/>
      <c r="D5" s="2420"/>
      <c r="E5" s="2420"/>
      <c r="F5" s="2420"/>
      <c r="G5" s="2421"/>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1929</v>
      </c>
      <c r="B10" s="968"/>
      <c r="C10" s="973"/>
      <c r="D10" s="969"/>
      <c r="E10" s="970">
        <v>534989</v>
      </c>
      <c r="F10" s="971"/>
      <c r="G10" s="972"/>
      <c r="H10" s="162"/>
      <c r="I10" s="162"/>
    </row>
    <row r="11" spans="1:9" s="665" customFormat="1" ht="22.5" customHeight="1" x14ac:dyDescent="0.2">
      <c r="A11" s="2424" t="s">
        <v>1973</v>
      </c>
      <c r="B11" s="2425"/>
      <c r="C11" s="2425"/>
      <c r="D11" s="2426"/>
      <c r="E11" s="974">
        <v>84865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10532366</v>
      </c>
      <c r="F19" s="1795"/>
      <c r="G19" s="1797">
        <f>'Expenditures 15-22'!K33-SUM('Expenditures 15-22'!G33,'Expenditures 15-22'!I33)+'Expenditures 15-22'!D229</f>
        <v>10532366</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646489</v>
      </c>
      <c r="F21" s="1798"/>
      <c r="G21" s="1801">
        <f>'Expenditures 15-22'!K42-SUM('Expenditures 15-22'!G42,'Expenditures 15-22'!I42)+'Expenditures 15-22'!K120-SUM('Expenditures 15-22'!G120,'Expenditures 15-22'!I120)+'Expenditures 15-22'!K180-SUM('Expenditures 15-22'!G180,'Expenditures 15-22'!I180)+'Expenditures 15-22'!D238</f>
        <v>646489</v>
      </c>
      <c r="H21" s="984"/>
      <c r="I21" s="162"/>
    </row>
    <row r="22" spans="1:9" s="665" customFormat="1" ht="12" customHeight="1" x14ac:dyDescent="0.2">
      <c r="A22" s="991" t="s">
        <v>564</v>
      </c>
      <c r="B22" s="992"/>
      <c r="C22" s="990">
        <v>2200</v>
      </c>
      <c r="D22" s="1798"/>
      <c r="E22" s="1800">
        <f>'Expenditures 15-22'!K47-SUM('Expenditures 15-22'!G47,'Expenditures 15-22'!I47)+'Expenditures 15-22'!D243</f>
        <v>874511</v>
      </c>
      <c r="F22" s="1798"/>
      <c r="G22" s="1801">
        <f>'Expenditures 15-22'!K47-SUM('Expenditures 15-22'!G47,'Expenditures 15-22'!I47)+'Expenditures 15-22'!D243</f>
        <v>874511</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1061441</v>
      </c>
      <c r="F23" s="1798"/>
      <c r="G23" s="1800">
        <f>'Expenditures 15-22'!K53-SUM('Expenditures 15-22'!G53,'Expenditures 15-22'!I53)+'Expenditures 15-22'!D257+'Expenditures 15-22'!K330-SUM('Expenditures 15-22'!G330,'Expenditures 15-22'!I330)</f>
        <v>1061441</v>
      </c>
      <c r="H23" s="984"/>
      <c r="I23" s="162"/>
    </row>
    <row r="24" spans="1:9" s="665" customFormat="1" ht="12" customHeight="1" x14ac:dyDescent="0.2">
      <c r="A24" s="991" t="s">
        <v>566</v>
      </c>
      <c r="B24" s="992"/>
      <c r="C24" s="990">
        <v>2400</v>
      </c>
      <c r="D24" s="1798"/>
      <c r="E24" s="1800">
        <f>'Expenditures 15-22'!K57-SUM('Expenditures 15-22'!G57,'Expenditures 15-22'!I57)+'Expenditures 15-22'!D261</f>
        <v>1387130</v>
      </c>
      <c r="F24" s="1798"/>
      <c r="G24" s="1801">
        <f>'Expenditures 15-22'!K57-SUM('Expenditures 15-22'!G57,'Expenditures 15-22'!I57)+'Expenditures 15-22'!D261</f>
        <v>1387130</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456284</v>
      </c>
      <c r="E27" s="1800">
        <f>E8</f>
        <v>0</v>
      </c>
      <c r="F27" s="1800">
        <f>'Expenditures 15-22'!K60-SUM('Expenditures 15-22'!G60,'Expenditures 15-22'!I60)+'Expenditures 15-22'!D264-E8</f>
        <v>456284</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2133127</v>
      </c>
      <c r="F28" s="1802">
        <f>'Expenditures 15-22'!K61-SUM('Expenditures 15-22'!G61,'Expenditures 15-22'!I61)+'Expenditures 15-22'!K124-SUM('Expenditures 15-22'!G124,'Expenditures 15-22'!I124)+'Expenditures 15-22'!D266-E9</f>
        <v>2133127</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1961794</v>
      </c>
      <c r="F29" s="1798"/>
      <c r="G29" s="1801">
        <f>'Expenditures 15-22'!K62-SUM('Expenditures 15-22'!G62,'Expenditures 15-22'!I62)+'Expenditures 15-22'!K125-SUM('Expenditures 15-22'!G125,'Expenditures 15-22'!I125)+'Expenditures 15-22'!K182-SUM('Expenditures 15-22'!G182,'Expenditures 15-22'!I182)+'Expenditures 15-22'!D267</f>
        <v>1961794</v>
      </c>
      <c r="H29" s="982"/>
    </row>
    <row r="30" spans="1:9" ht="12" customHeight="1" x14ac:dyDescent="0.2">
      <c r="A30" s="991" t="s">
        <v>100</v>
      </c>
      <c r="B30" s="994"/>
      <c r="C30" s="990">
        <v>2560</v>
      </c>
      <c r="D30" s="1798"/>
      <c r="E30" s="1800">
        <f>'Expenditures 15-22'!K63-SUM('Expenditures 15-22'!G63,'Expenditures 15-22'!I63)+'Expenditures 15-22'!D268-E10</f>
        <v>600239</v>
      </c>
      <c r="F30" s="1798"/>
      <c r="G30" s="1800">
        <f>'Expenditures 15-22'!K63-SUM('Expenditures 15-22'!G63,'Expenditures 15-22'!I63)+'Expenditures 15-22'!D268-E10</f>
        <v>600239</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25565</v>
      </c>
      <c r="F35" s="1798"/>
      <c r="G35" s="1800">
        <f>'Expenditures 15-22'!K69-SUM('Expenditures 15-22'!G69,'Expenditures 15-22'!I69)+'Expenditures 15-22'!D274</f>
        <v>25565</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58627</v>
      </c>
      <c r="E37" s="1800">
        <f>E14</f>
        <v>0</v>
      </c>
      <c r="F37" s="1800">
        <f>'Expenditures 15-22'!K71-SUM('Expenditures 15-22'!G71,'Expenditures 15-22'!I71)+'Expenditures 15-22'!D276-E14</f>
        <v>58627</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77482</v>
      </c>
      <c r="F38" s="1798"/>
      <c r="G38" s="1800">
        <f>'Expenditures 15-22'!K73-SUM('Expenditures 15-22'!G73,'Expenditures 15-22'!I73)+'Expenditures 15-22'!K128-SUM('Expenditures 15-22'!G128,'Expenditures 15-22'!I128)+'Expenditures 15-22'!K183-SUM('Expenditures 15-22'!G183,'Expenditures 15-22'!I183)+'Expenditures 15-22'!D278</f>
        <v>77482</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168061</v>
      </c>
      <c r="F39" s="1798"/>
      <c r="G39" s="1800">
        <f>'Expenditures 15-22'!K75-SUM('Expenditures 15-22'!G75,'Expenditures 15-22'!I75)+'Expenditures 15-22'!K130-SUM('Expenditures 15-22'!G130,'Expenditures 15-22'!I130)+'Expenditures 15-22'!K185-SUM('Expenditures 15-22'!G185,'Expenditures 15-22'!I185)+'Expenditures 15-22'!D280</f>
        <v>168061</v>
      </c>
    </row>
    <row r="40" spans="1:7" ht="12" customHeight="1" x14ac:dyDescent="0.2">
      <c r="A40" s="987" t="s">
        <v>1819</v>
      </c>
      <c r="B40" s="988"/>
      <c r="C40" s="990"/>
      <c r="D40" s="1798"/>
      <c r="E40" s="1802">
        <f>-'Contracts Paid in CY 29'!G141</f>
        <v>-1996784</v>
      </c>
      <c r="F40" s="1798"/>
      <c r="G40" s="1802">
        <f>-'Contracts Paid in CY 29'!G141</f>
        <v>-1996784</v>
      </c>
    </row>
    <row r="41" spans="1:7" ht="12" customHeight="1" x14ac:dyDescent="0.2">
      <c r="A41" s="995" t="s">
        <v>156</v>
      </c>
      <c r="B41" s="996"/>
      <c r="C41" s="997"/>
      <c r="D41" s="1802">
        <f>SUM(D19:D39)</f>
        <v>514911</v>
      </c>
      <c r="E41" s="1802">
        <f>SUM(E19:E40)</f>
        <v>17471421</v>
      </c>
      <c r="F41" s="1802">
        <f>SUM(F19:F39)</f>
        <v>2648038</v>
      </c>
      <c r="G41" s="1802">
        <f>SUM(G19:G40)</f>
        <v>15338294</v>
      </c>
    </row>
    <row r="42" spans="1:7" x14ac:dyDescent="0.2">
      <c r="A42" s="984"/>
      <c r="B42" s="162"/>
      <c r="C42" s="998"/>
      <c r="D42" s="2422" t="s">
        <v>522</v>
      </c>
      <c r="E42" s="2423"/>
      <c r="F42" s="999" t="s">
        <v>523</v>
      </c>
      <c r="G42" s="1000"/>
    </row>
    <row r="43" spans="1:7" ht="12" customHeight="1" x14ac:dyDescent="0.2">
      <c r="A43" s="984"/>
      <c r="B43" s="162"/>
      <c r="C43" s="998"/>
      <c r="D43" s="1803" t="s">
        <v>473</v>
      </c>
      <c r="E43" s="1804">
        <f>D41</f>
        <v>514911</v>
      </c>
      <c r="F43" s="1803" t="s">
        <v>473</v>
      </c>
      <c r="G43" s="1804">
        <f>F41</f>
        <v>2648038</v>
      </c>
    </row>
    <row r="44" spans="1:7" ht="12" customHeight="1" x14ac:dyDescent="0.2">
      <c r="A44" s="984"/>
      <c r="B44" s="162"/>
      <c r="C44" s="998"/>
      <c r="D44" s="1803" t="s">
        <v>474</v>
      </c>
      <c r="E44" s="1804">
        <f>E41</f>
        <v>17471421</v>
      </c>
      <c r="F44" s="1803" t="s">
        <v>474</v>
      </c>
      <c r="G44" s="1804">
        <f>G41</f>
        <v>15338294</v>
      </c>
    </row>
    <row r="45" spans="1:7" ht="12" customHeight="1" x14ac:dyDescent="0.2">
      <c r="A45" s="984"/>
      <c r="B45" s="162"/>
      <c r="C45" s="162"/>
      <c r="D45" s="1805" t="s">
        <v>1006</v>
      </c>
      <c r="E45" s="1806">
        <f>(E43/E44)</f>
        <v>2.9471615388353356E-2</v>
      </c>
      <c r="F45" s="1805" t="s">
        <v>1006</v>
      </c>
      <c r="G45" s="1806">
        <f>(G43/G44)</f>
        <v>0.17264227690511083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441" t="s">
        <v>1379</v>
      </c>
      <c r="B1" s="2441"/>
      <c r="C1" s="2441"/>
      <c r="D1" s="2441"/>
      <c r="E1" s="2441"/>
      <c r="F1" s="2441"/>
    </row>
    <row r="2" spans="1:10" x14ac:dyDescent="0.2">
      <c r="A2" s="1881" t="s">
        <v>1908</v>
      </c>
      <c r="B2" s="1842"/>
      <c r="C2" s="1881"/>
      <c r="D2" s="1842"/>
      <c r="E2" s="1842"/>
      <c r="F2" s="1843"/>
    </row>
    <row r="3" spans="1:10" x14ac:dyDescent="0.2">
      <c r="A3" s="1881" t="s">
        <v>1974</v>
      </c>
      <c r="B3" s="1842"/>
      <c r="C3" s="1881"/>
      <c r="D3" s="1842"/>
      <c r="E3" s="1842"/>
      <c r="F3" s="1843"/>
    </row>
    <row r="4" spans="1:10" ht="3.75" customHeight="1" x14ac:dyDescent="0.2">
      <c r="A4" s="1842"/>
      <c r="B4" s="1842"/>
      <c r="C4" s="1842"/>
      <c r="D4" s="1842"/>
      <c r="E4" s="1842"/>
      <c r="F4" s="1843"/>
    </row>
    <row r="5" spans="1:10" ht="15" x14ac:dyDescent="0.25">
      <c r="A5" s="2442" t="s">
        <v>1546</v>
      </c>
      <c r="B5" s="2443"/>
      <c r="C5" s="2444"/>
      <c r="D5" s="2444"/>
      <c r="E5" s="2444"/>
      <c r="F5" s="2444"/>
    </row>
    <row r="6" spans="1:10" ht="12" customHeight="1" x14ac:dyDescent="0.25">
      <c r="A6" s="1844"/>
      <c r="B6" s="1845"/>
      <c r="C6" s="2445" t="str">
        <f>COVER!A17</f>
        <v>Geneseo CUSD 228</v>
      </c>
      <c r="D6" s="2445"/>
      <c r="E6" s="2445"/>
      <c r="F6" s="1846"/>
    </row>
    <row r="7" spans="1:10" ht="11.25" customHeight="1" thickBot="1" x14ac:dyDescent="0.3">
      <c r="A7" s="1844"/>
      <c r="B7" s="1845"/>
      <c r="C7" s="2446">
        <f>COVER!A13</f>
        <v>28037228026</v>
      </c>
      <c r="D7" s="2446"/>
      <c r="E7" s="2446"/>
      <c r="F7" s="1846"/>
    </row>
    <row r="8" spans="1:10" ht="25.5" customHeight="1" thickBot="1" x14ac:dyDescent="0.25">
      <c r="A8" s="1887" t="s">
        <v>1904</v>
      </c>
      <c r="B8" s="1847"/>
      <c r="C8" s="1883" t="s">
        <v>1680</v>
      </c>
      <c r="D8" s="1882" t="s">
        <v>1681</v>
      </c>
      <c r="E8" s="1884" t="s">
        <v>1380</v>
      </c>
      <c r="F8" s="1882" t="s">
        <v>1682</v>
      </c>
      <c r="H8" s="1848" t="b">
        <v>0</v>
      </c>
    </row>
    <row r="9" spans="1:10" ht="15.75" customHeight="1" x14ac:dyDescent="0.2">
      <c r="A9" s="1849" t="s">
        <v>1542</v>
      </c>
      <c r="B9" s="1850"/>
      <c r="C9" s="1851"/>
      <c r="D9" s="1851"/>
      <c r="E9" s="1852"/>
      <c r="F9" s="1853"/>
    </row>
    <row r="10" spans="1:10" ht="27.75" customHeight="1" x14ac:dyDescent="0.2">
      <c r="A10" s="1854" t="s">
        <v>1679</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t="s">
        <v>2066</v>
      </c>
      <c r="D13" s="1859" t="s">
        <v>2066</v>
      </c>
      <c r="E13" s="1862"/>
      <c r="F13" s="1861" t="s">
        <v>2097</v>
      </c>
      <c r="H13" s="1872">
        <f t="shared" si="0"/>
        <v>5</v>
      </c>
      <c r="I13" s="1872">
        <f t="shared" si="1"/>
        <v>5</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t="s">
        <v>2066</v>
      </c>
      <c r="D15" s="1859" t="s">
        <v>2066</v>
      </c>
      <c r="E15" s="1862"/>
      <c r="F15" s="1861" t="s">
        <v>2096</v>
      </c>
      <c r="H15" s="1872">
        <f t="shared" si="0"/>
        <v>5</v>
      </c>
      <c r="I15" s="1872">
        <f t="shared" si="1"/>
        <v>5</v>
      </c>
      <c r="J15" s="1872">
        <f t="shared" si="2"/>
        <v>0</v>
      </c>
    </row>
    <row r="16" spans="1:10" ht="12" customHeight="1" x14ac:dyDescent="0.2">
      <c r="A16" s="1857" t="s">
        <v>1388</v>
      </c>
      <c r="B16" s="1858"/>
      <c r="C16" s="1859"/>
      <c r="D16" s="1859"/>
      <c r="E16" s="1862"/>
      <c r="F16" s="1861"/>
      <c r="H16" s="1872">
        <f t="shared" si="0"/>
        <v>0</v>
      </c>
      <c r="I16" s="1872">
        <f t="shared" si="1"/>
        <v>0</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t="s">
        <v>2066</v>
      </c>
      <c r="D19" s="1859" t="s">
        <v>2066</v>
      </c>
      <c r="E19" s="1862"/>
      <c r="F19" s="1861" t="s">
        <v>2095</v>
      </c>
      <c r="H19" s="1872">
        <f t="shared" si="0"/>
        <v>5</v>
      </c>
      <c r="I19" s="1872">
        <f t="shared" si="1"/>
        <v>5</v>
      </c>
      <c r="J19" s="1872">
        <f t="shared" si="2"/>
        <v>0</v>
      </c>
    </row>
    <row r="20" spans="1:12" ht="12" customHeight="1" x14ac:dyDescent="0.2">
      <c r="A20" s="1857" t="s">
        <v>1528</v>
      </c>
      <c r="B20" s="1858"/>
      <c r="C20" s="1859" t="s">
        <v>2066</v>
      </c>
      <c r="D20" s="1859" t="s">
        <v>2066</v>
      </c>
      <c r="E20" s="1862"/>
      <c r="F20" s="1861" t="s">
        <v>2094</v>
      </c>
      <c r="H20" s="1872">
        <f t="shared" si="0"/>
        <v>5</v>
      </c>
      <c r="I20" s="1872">
        <f t="shared" si="1"/>
        <v>5</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t="s">
        <v>2066</v>
      </c>
      <c r="D23" s="1859" t="s">
        <v>2066</v>
      </c>
      <c r="E23" s="1862"/>
      <c r="F23" s="1861" t="s">
        <v>2093</v>
      </c>
      <c r="H23" s="1872">
        <f t="shared" si="0"/>
        <v>5</v>
      </c>
      <c r="I23" s="1872">
        <f t="shared" si="1"/>
        <v>5</v>
      </c>
      <c r="J23" s="1872">
        <f t="shared" si="2"/>
        <v>0</v>
      </c>
    </row>
    <row r="24" spans="1:12" ht="12" customHeight="1" x14ac:dyDescent="0.2">
      <c r="A24" s="1857" t="s">
        <v>1532</v>
      </c>
      <c r="B24" s="1858"/>
      <c r="C24" s="1859" t="s">
        <v>2066</v>
      </c>
      <c r="D24" s="1859" t="s">
        <v>2066</v>
      </c>
      <c r="E24" s="1862"/>
      <c r="F24" s="1861" t="s">
        <v>2092</v>
      </c>
      <c r="H24" s="1872">
        <f t="shared" si="0"/>
        <v>5</v>
      </c>
      <c r="I24" s="1872">
        <f t="shared" si="1"/>
        <v>5</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t="s">
        <v>2066</v>
      </c>
      <c r="D26" s="1859" t="s">
        <v>2066</v>
      </c>
      <c r="E26" s="1862"/>
      <c r="F26" s="1861" t="s">
        <v>2091</v>
      </c>
      <c r="H26" s="1872">
        <f t="shared" si="0"/>
        <v>5</v>
      </c>
      <c r="I26" s="1872">
        <f t="shared" si="1"/>
        <v>5</v>
      </c>
      <c r="J26" s="1872">
        <f t="shared" si="2"/>
        <v>0</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t="s">
        <v>2066</v>
      </c>
      <c r="D28" s="1859" t="s">
        <v>2066</v>
      </c>
      <c r="E28" s="1862"/>
      <c r="F28" s="1861" t="s">
        <v>2090</v>
      </c>
      <c r="H28" s="1872">
        <f t="shared" si="0"/>
        <v>5</v>
      </c>
      <c r="I28" s="1872">
        <f t="shared" si="1"/>
        <v>5</v>
      </c>
      <c r="J28" s="1872">
        <f t="shared" si="2"/>
        <v>0</v>
      </c>
    </row>
    <row r="29" spans="1:12" ht="12" customHeight="1" x14ac:dyDescent="0.2">
      <c r="A29" s="1857" t="s">
        <v>1537</v>
      </c>
      <c r="B29" s="1858"/>
      <c r="C29" s="1859"/>
      <c r="D29" s="1859"/>
      <c r="E29" s="1862"/>
      <c r="F29" s="1861"/>
      <c r="H29" s="1872">
        <f t="shared" si="0"/>
        <v>0</v>
      </c>
      <c r="I29" s="1872">
        <f t="shared" si="1"/>
        <v>0</v>
      </c>
      <c r="J29" s="1872">
        <f t="shared" si="2"/>
        <v>0</v>
      </c>
    </row>
    <row r="30" spans="1:12" ht="12" customHeight="1" x14ac:dyDescent="0.2">
      <c r="A30" s="1857" t="s">
        <v>1538</v>
      </c>
      <c r="B30" s="1858"/>
      <c r="C30" s="1859"/>
      <c r="D30" s="1859"/>
      <c r="E30" s="1862"/>
      <c r="F30" s="1861"/>
      <c r="H30" s="1872">
        <f t="shared" si="0"/>
        <v>0</v>
      </c>
      <c r="I30" s="1872">
        <f t="shared" si="1"/>
        <v>0</v>
      </c>
      <c r="J30" s="1872">
        <f t="shared" si="2"/>
        <v>0</v>
      </c>
    </row>
    <row r="31" spans="1:12" ht="12" customHeight="1" x14ac:dyDescent="0.2">
      <c r="A31" s="1857" t="s">
        <v>1539</v>
      </c>
      <c r="B31" s="1858"/>
      <c r="C31" s="1859" t="s">
        <v>2066</v>
      </c>
      <c r="D31" s="1859" t="s">
        <v>2066</v>
      </c>
      <c r="E31" s="1862"/>
      <c r="F31" s="1861" t="s">
        <v>2089</v>
      </c>
      <c r="H31" s="1872">
        <f t="shared" si="0"/>
        <v>5</v>
      </c>
      <c r="I31" s="1872">
        <f t="shared" si="1"/>
        <v>5</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45</v>
      </c>
      <c r="I34" s="1872">
        <f>SUM(I11:I32)</f>
        <v>45</v>
      </c>
      <c r="J34" s="1872">
        <f>SUM(J11:J32)</f>
        <v>0</v>
      </c>
      <c r="K34" s="1872">
        <f>SUM(H34:J34)</f>
        <v>90</v>
      </c>
    </row>
    <row r="35" spans="1:11" ht="12" customHeight="1" x14ac:dyDescent="0.2">
      <c r="A35" s="1865" t="s">
        <v>1392</v>
      </c>
      <c r="B35" s="1866"/>
      <c r="C35" s="2447"/>
      <c r="D35" s="2447"/>
      <c r="E35" s="2447"/>
      <c r="F35" s="2448"/>
    </row>
    <row r="36" spans="1:11" ht="12" customHeight="1" x14ac:dyDescent="0.2">
      <c r="A36" s="2430"/>
      <c r="B36" s="2431"/>
      <c r="C36" s="2431"/>
      <c r="D36" s="2431"/>
      <c r="E36" s="2431"/>
      <c r="F36" s="2432"/>
    </row>
    <row r="37" spans="1:11" ht="12" customHeight="1" x14ac:dyDescent="0.2">
      <c r="A37" s="2430"/>
      <c r="B37" s="2431"/>
      <c r="C37" s="2431"/>
      <c r="D37" s="2431"/>
      <c r="E37" s="2431"/>
      <c r="F37" s="2432"/>
    </row>
    <row r="38" spans="1:11" ht="12" customHeight="1" x14ac:dyDescent="0.2">
      <c r="A38" s="2433"/>
      <c r="B38" s="2434"/>
      <c r="C38" s="2434"/>
      <c r="D38" s="2434"/>
      <c r="E38" s="2434"/>
      <c r="F38" s="2435"/>
    </row>
    <row r="39" spans="1:11" ht="4.5" hidden="1" customHeight="1" x14ac:dyDescent="0.2">
      <c r="A39" s="1867"/>
      <c r="B39" s="1867"/>
      <c r="C39" s="1867"/>
      <c r="D39" s="1867"/>
      <c r="E39" s="1867"/>
      <c r="F39" s="1867"/>
    </row>
    <row r="40" spans="1:11" s="1864" customFormat="1" ht="12" customHeight="1" x14ac:dyDescent="0.25">
      <c r="A40" s="1868" t="s">
        <v>1391</v>
      </c>
      <c r="B40" s="1869"/>
      <c r="C40" s="2436"/>
      <c r="D40" s="2436"/>
      <c r="E40" s="2436"/>
      <c r="F40" s="2437"/>
      <c r="H40" s="1873"/>
      <c r="I40" s="1873"/>
      <c r="J40" s="1873"/>
      <c r="K40" s="1873"/>
    </row>
    <row r="41" spans="1:11" s="1864" customFormat="1" ht="12" customHeight="1" x14ac:dyDescent="0.25">
      <c r="A41" s="2438"/>
      <c r="B41" s="2439"/>
      <c r="C41" s="2439"/>
      <c r="D41" s="2439"/>
      <c r="E41" s="2439"/>
      <c r="F41" s="2440"/>
      <c r="H41" s="1873"/>
      <c r="I41" s="1873"/>
      <c r="J41" s="1873"/>
      <c r="K41" s="1873"/>
    </row>
    <row r="42" spans="1:11" s="1864" customFormat="1" ht="12" customHeight="1" x14ac:dyDescent="0.25">
      <c r="A42" s="2438"/>
      <c r="B42" s="2439"/>
      <c r="C42" s="2439"/>
      <c r="D42" s="2439"/>
      <c r="E42" s="2439"/>
      <c r="F42" s="2440"/>
      <c r="H42" s="1873"/>
      <c r="I42" s="1873"/>
      <c r="J42" s="1873"/>
      <c r="K42" s="1873"/>
    </row>
    <row r="43" spans="1:11" s="1864" customFormat="1" ht="15" x14ac:dyDescent="0.25">
      <c r="A43" s="2427"/>
      <c r="B43" s="2428"/>
      <c r="C43" s="2428"/>
      <c r="D43" s="2428"/>
      <c r="E43" s="2428"/>
      <c r="F43" s="2429"/>
      <c r="H43" s="1873"/>
      <c r="I43" s="1873"/>
      <c r="J43" s="1873"/>
      <c r="K43" s="1873"/>
    </row>
    <row r="44" spans="1:11" s="1864" customFormat="1" ht="12" hidden="1" customHeight="1" x14ac:dyDescent="0.25">
      <c r="A44" s="2427"/>
      <c r="B44" s="2428"/>
      <c r="C44" s="2428"/>
      <c r="D44" s="2428"/>
      <c r="E44" s="2428"/>
      <c r="F44" s="2429"/>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8" t="s">
        <v>672</v>
      </c>
      <c r="B6" s="1638"/>
      <c r="C6" s="1638"/>
      <c r="D6" s="1638"/>
      <c r="E6" s="1639"/>
      <c r="F6" s="1012"/>
      <c r="G6" s="1006"/>
      <c r="H6" s="1013" t="s">
        <v>1028</v>
      </c>
      <c r="I6" s="2454" t="str">
        <f>COVER!A17</f>
        <v>Geneseo CUSD 228</v>
      </c>
      <c r="J6" s="2455"/>
      <c r="Q6" s="1660"/>
    </row>
    <row r="7" spans="1:17" x14ac:dyDescent="0.2">
      <c r="A7" s="2456" t="s">
        <v>869</v>
      </c>
      <c r="B7" s="2457"/>
      <c r="C7" s="2457"/>
      <c r="D7" s="2457"/>
      <c r="E7" s="2458"/>
      <c r="F7" s="1014"/>
      <c r="G7" s="1006"/>
      <c r="H7" s="1013" t="s">
        <v>372</v>
      </c>
      <c r="I7" s="2459">
        <f>COVER!A13</f>
        <v>28037228026</v>
      </c>
      <c r="J7" s="2459"/>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89" t="s">
        <v>1975</v>
      </c>
      <c r="F9" s="1020"/>
      <c r="G9" s="1020"/>
      <c r="H9" s="1890" t="s">
        <v>1976</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60" t="s">
        <v>481</v>
      </c>
      <c r="B11" s="2461"/>
      <c r="C11" s="246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179492</v>
      </c>
      <c r="F12" s="1036"/>
      <c r="G12" s="1807">
        <f t="shared" ref="G12:G18" si="0">SUM(E12:F12)</f>
        <v>179492</v>
      </c>
      <c r="H12" s="1037">
        <v>188392</v>
      </c>
      <c r="I12" s="1036"/>
      <c r="J12" s="1807">
        <f t="shared" ref="J12:J18" si="1">SUM(H12:I12)</f>
        <v>188392</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463" t="s">
        <v>7</v>
      </c>
      <c r="C18" s="2464"/>
      <c r="D18" s="2465"/>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179492</v>
      </c>
      <c r="F19" s="1809">
        <f t="shared" si="2"/>
        <v>0</v>
      </c>
      <c r="G19" s="1809">
        <f t="shared" si="2"/>
        <v>179492</v>
      </c>
      <c r="H19" s="1809">
        <f t="shared" si="2"/>
        <v>188392</v>
      </c>
      <c r="I19" s="1809">
        <f t="shared" si="2"/>
        <v>0</v>
      </c>
      <c r="J19" s="1809">
        <f t="shared" si="2"/>
        <v>188392</v>
      </c>
    </row>
    <row r="20" spans="1:10" ht="13.5" thickTop="1" x14ac:dyDescent="0.2">
      <c r="A20" s="1032">
        <v>9</v>
      </c>
      <c r="B20" s="2466" t="s">
        <v>1977</v>
      </c>
      <c r="C20" s="2466"/>
      <c r="D20" s="2467"/>
      <c r="E20" s="1043"/>
      <c r="F20" s="1043"/>
      <c r="G20" s="1043"/>
      <c r="H20" s="1043"/>
      <c r="I20" s="1043"/>
      <c r="J20" s="1810">
        <f>IF(AND(G19&gt;0,J19&gt;0),(((J19-G19)/G19)),"Enter Budget Data")</f>
        <v>4.958438259086756E-2</v>
      </c>
    </row>
    <row r="21" spans="1:10" ht="9" customHeight="1" x14ac:dyDescent="0.2">
      <c r="B21" s="1044"/>
    </row>
    <row r="22" spans="1:10" x14ac:dyDescent="0.2">
      <c r="A22" s="1045" t="s">
        <v>133</v>
      </c>
      <c r="B22" s="1044"/>
    </row>
    <row r="23" spans="1:10" x14ac:dyDescent="0.2">
      <c r="A23" s="1008" t="s">
        <v>1978</v>
      </c>
      <c r="B23" s="1044"/>
    </row>
    <row r="24" spans="1:10" x14ac:dyDescent="0.2">
      <c r="A24" s="1008" t="s">
        <v>1991</v>
      </c>
      <c r="B24" s="1044"/>
    </row>
    <row r="25" spans="1:10" x14ac:dyDescent="0.2">
      <c r="A25" s="1046"/>
      <c r="B25" s="1044"/>
    </row>
    <row r="26" spans="1:10" ht="20.100000000000001" customHeight="1" x14ac:dyDescent="0.2">
      <c r="B26" s="1044"/>
      <c r="C26" s="2472"/>
      <c r="D26" s="2472"/>
      <c r="E26" s="1047"/>
      <c r="F26" s="2471"/>
      <c r="G26" s="2471"/>
    </row>
    <row r="27" spans="1:10" x14ac:dyDescent="0.2">
      <c r="B27" s="1044"/>
      <c r="C27" s="1048" t="s">
        <v>1033</v>
      </c>
      <c r="D27" s="1049"/>
      <c r="E27" s="1050"/>
      <c r="F27" s="2468" t="s">
        <v>1509</v>
      </c>
      <c r="G27" s="2468"/>
    </row>
    <row r="28" spans="1:10" ht="28.5" customHeight="1" x14ac:dyDescent="0.2">
      <c r="B28" s="1044"/>
      <c r="C28" s="2470"/>
      <c r="D28" s="2470"/>
      <c r="E28" s="1051"/>
      <c r="F28" s="2470"/>
      <c r="G28" s="2470"/>
    </row>
    <row r="29" spans="1:10" x14ac:dyDescent="0.2">
      <c r="B29" s="1044"/>
      <c r="C29" s="1052" t="s">
        <v>1560</v>
      </c>
      <c r="E29" s="1053"/>
      <c r="F29" s="2469" t="s">
        <v>1510</v>
      </c>
      <c r="G29" s="246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51" t="s">
        <v>132</v>
      </c>
      <c r="D33" s="2452"/>
      <c r="E33" s="2452"/>
      <c r="F33" s="2452"/>
      <c r="G33" s="2452"/>
      <c r="H33" s="2452"/>
      <c r="I33" s="2452"/>
    </row>
    <row r="34" spans="1:10" ht="10.35" customHeight="1" x14ac:dyDescent="0.2">
      <c r="C34" s="2452"/>
      <c r="D34" s="2452"/>
      <c r="E34" s="2452"/>
      <c r="F34" s="2452"/>
      <c r="G34" s="2452"/>
      <c r="H34" s="2452"/>
      <c r="I34" s="2452"/>
    </row>
    <row r="35" spans="1:10" ht="7.5" customHeight="1" x14ac:dyDescent="0.2">
      <c r="C35" s="1059"/>
    </row>
    <row r="36" spans="1:10" ht="13.5" customHeight="1" x14ac:dyDescent="0.2">
      <c r="B36" s="1058"/>
      <c r="C36" s="2453" t="s">
        <v>1979</v>
      </c>
      <c r="D36" s="2452"/>
      <c r="E36" s="2452"/>
      <c r="F36" s="2452"/>
      <c r="G36" s="2452"/>
      <c r="H36" s="2452"/>
      <c r="I36" s="2452"/>
      <c r="J36" s="1060"/>
    </row>
    <row r="37" spans="1:10" ht="22.5" customHeight="1" x14ac:dyDescent="0.2">
      <c r="C37" s="2452"/>
      <c r="D37" s="2452"/>
      <c r="E37" s="2452"/>
      <c r="F37" s="2452"/>
      <c r="G37" s="2452"/>
      <c r="H37" s="2452"/>
      <c r="I37" s="2452"/>
      <c r="J37" s="1060"/>
    </row>
    <row r="38" spans="1:10" ht="7.5" customHeight="1" x14ac:dyDescent="0.2">
      <c r="C38" s="1059"/>
      <c r="D38" s="1061"/>
      <c r="E38" s="1062"/>
      <c r="F38" s="1063"/>
      <c r="G38" s="1062"/>
    </row>
    <row r="39" spans="1:10" ht="13.5" customHeight="1" x14ac:dyDescent="0.2">
      <c r="B39" s="1058"/>
      <c r="C39" s="2449" t="s">
        <v>882</v>
      </c>
      <c r="D39" s="2450"/>
      <c r="E39" s="2450"/>
      <c r="F39" s="2450"/>
      <c r="G39" s="2450"/>
      <c r="H39" s="2450"/>
      <c r="I39" s="245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2274</v>
      </c>
    </row>
    <row r="6" spans="1:2" x14ac:dyDescent="0.2">
      <c r="A6" s="1065">
        <v>2</v>
      </c>
      <c r="B6" s="329" t="s">
        <v>2275</v>
      </c>
    </row>
    <row r="7" spans="1:2" x14ac:dyDescent="0.2">
      <c r="A7" s="1065">
        <v>3</v>
      </c>
      <c r="B7" s="329" t="s">
        <v>2276</v>
      </c>
    </row>
    <row r="8" spans="1:2" x14ac:dyDescent="0.2">
      <c r="A8" s="1065">
        <v>4</v>
      </c>
      <c r="B8" s="329" t="s">
        <v>2277</v>
      </c>
    </row>
    <row r="9" spans="1:2" x14ac:dyDescent="0.2">
      <c r="A9" s="1066"/>
      <c r="B9" s="329" t="s">
        <v>2278</v>
      </c>
    </row>
    <row r="10" spans="1:2" x14ac:dyDescent="0.2">
      <c r="A10" s="1066"/>
      <c r="B10" s="329" t="s">
        <v>2279</v>
      </c>
    </row>
    <row r="11" spans="1:2" x14ac:dyDescent="0.2">
      <c r="A11" s="1066"/>
      <c r="B11" s="329" t="s">
        <v>2280</v>
      </c>
    </row>
    <row r="12" spans="1:2" x14ac:dyDescent="0.2">
      <c r="A12" s="1066">
        <v>5</v>
      </c>
      <c r="B12" s="329" t="s">
        <v>2281</v>
      </c>
    </row>
    <row r="13" spans="1:2" x14ac:dyDescent="0.2">
      <c r="A13" s="1066">
        <v>6</v>
      </c>
      <c r="B13" s="329" t="s">
        <v>2282</v>
      </c>
    </row>
    <row r="14" spans="1:2" x14ac:dyDescent="0.2">
      <c r="A14" s="1066">
        <v>7</v>
      </c>
      <c r="B14" s="329" t="s">
        <v>2283</v>
      </c>
    </row>
    <row r="15" spans="1:2" x14ac:dyDescent="0.2">
      <c r="A15" s="1066">
        <v>8</v>
      </c>
      <c r="B15" s="329" t="s">
        <v>2286</v>
      </c>
    </row>
    <row r="16" spans="1:2" x14ac:dyDescent="0.2">
      <c r="A16" s="1066">
        <v>9</v>
      </c>
      <c r="B16" s="329" t="s">
        <v>2287</v>
      </c>
    </row>
    <row r="17" spans="1:2" x14ac:dyDescent="0.2">
      <c r="A17" s="1066">
        <v>10</v>
      </c>
      <c r="B17" s="329" t="s">
        <v>2284</v>
      </c>
    </row>
    <row r="18" spans="1:2" x14ac:dyDescent="0.2">
      <c r="A18" s="1066">
        <v>11</v>
      </c>
      <c r="B18" s="329" t="s">
        <v>2285</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Geneseo CUSD 228</v>
      </c>
    </row>
    <row r="65" spans="2:2" x14ac:dyDescent="0.2">
      <c r="B65" s="1067">
        <f>COVER!A13</f>
        <v>28037228026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1609</v>
      </c>
    </row>
    <row r="22" spans="1:5" x14ac:dyDescent="0.2">
      <c r="A22" s="168"/>
      <c r="B22" s="162" t="s">
        <v>1852</v>
      </c>
      <c r="C22" s="162" t="s">
        <v>1169</v>
      </c>
      <c r="D22" s="167" t="s">
        <v>1854</v>
      </c>
      <c r="E22" s="1832" t="s">
        <v>1610</v>
      </c>
    </row>
    <row r="23" spans="1:5" x14ac:dyDescent="0.2">
      <c r="A23" s="168"/>
      <c r="B23" s="162" t="s">
        <v>1853</v>
      </c>
      <c r="D23" s="167" t="s">
        <v>637</v>
      </c>
      <c r="E23" s="1832" t="s">
        <v>959</v>
      </c>
    </row>
    <row r="24" spans="1:5" x14ac:dyDescent="0.2">
      <c r="A24" s="168" t="s">
        <v>1608</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90" t="s">
        <v>1065</v>
      </c>
      <c r="B35" s="2190"/>
      <c r="C35" s="2190"/>
      <c r="D35" s="2190"/>
      <c r="E35" s="21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87" t="s">
        <v>691</v>
      </c>
      <c r="B40" s="2187"/>
      <c r="C40" s="2187"/>
      <c r="D40" s="2187"/>
      <c r="E40" s="2187"/>
    </row>
    <row r="41" spans="1:5" x14ac:dyDescent="0.2">
      <c r="A41" s="2188" t="s">
        <v>1607</v>
      </c>
      <c r="B41" s="2188"/>
      <c r="C41" s="2188"/>
      <c r="D41" s="2188"/>
      <c r="E41" s="2188"/>
    </row>
    <row r="42" spans="1:5" ht="12.75" customHeight="1" x14ac:dyDescent="0.2">
      <c r="A42" s="2189" t="s">
        <v>1022</v>
      </c>
      <c r="B42" s="2189"/>
      <c r="C42" s="2189"/>
      <c r="D42" s="2189"/>
      <c r="E42" s="2189"/>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1" t="s">
        <v>1772</v>
      </c>
    </row>
    <row r="60" spans="1:3" x14ac:dyDescent="0.2">
      <c r="A60" s="196"/>
      <c r="B60" s="1481"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3"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2"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7"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1683</v>
      </c>
    </row>
    <row r="17" spans="1:2" ht="6" customHeight="1" x14ac:dyDescent="0.2"/>
    <row r="18" spans="1:2" ht="24.75" customHeight="1" x14ac:dyDescent="0.2">
      <c r="A18" s="2473" t="s">
        <v>1684</v>
      </c>
      <c r="B18" s="247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74" t="s">
        <v>1689</v>
      </c>
      <c r="B1" s="2475"/>
      <c r="C1" s="2475"/>
      <c r="D1" s="2475"/>
      <c r="E1" s="2475"/>
      <c r="F1" s="2476"/>
    </row>
    <row r="2" spans="1:8" ht="45" customHeight="1" x14ac:dyDescent="0.2">
      <c r="A2" s="2484" t="s">
        <v>1983</v>
      </c>
      <c r="B2" s="2485"/>
      <c r="C2" s="2485"/>
      <c r="D2" s="2485"/>
      <c r="E2" s="2485"/>
      <c r="F2" s="2486"/>
      <c r="G2" s="1071"/>
      <c r="H2" s="1071"/>
    </row>
    <row r="3" spans="1:8" ht="57" customHeight="1" x14ac:dyDescent="0.2">
      <c r="A3" s="2487" t="s">
        <v>1685</v>
      </c>
      <c r="B3" s="2488"/>
      <c r="C3" s="2488"/>
      <c r="D3" s="2488"/>
      <c r="E3" s="2488"/>
      <c r="F3" s="2489"/>
      <c r="G3" s="1071"/>
      <c r="H3" s="1071"/>
    </row>
    <row r="4" spans="1:8" ht="14.25" customHeight="1" x14ac:dyDescent="0.2">
      <c r="A4" s="2493" t="s">
        <v>1984</v>
      </c>
      <c r="B4" s="2494"/>
      <c r="C4" s="2494"/>
      <c r="D4" s="2494"/>
      <c r="E4" s="2494"/>
      <c r="F4" s="2495"/>
      <c r="G4" s="1071"/>
      <c r="H4" s="1071"/>
    </row>
    <row r="5" spans="1:8" ht="14.25" customHeight="1" x14ac:dyDescent="0.2">
      <c r="A5" s="2496" t="s">
        <v>1980</v>
      </c>
      <c r="B5" s="2497"/>
      <c r="C5" s="2497"/>
      <c r="D5" s="2497"/>
      <c r="E5" s="2497"/>
      <c r="F5" s="2498"/>
      <c r="G5" s="1071"/>
      <c r="H5" s="1071"/>
    </row>
    <row r="6" spans="1:8" s="1072" customFormat="1" ht="41.25" customHeight="1" x14ac:dyDescent="0.2">
      <c r="A6" s="2490" t="s">
        <v>1690</v>
      </c>
      <c r="B6" s="2491"/>
      <c r="C6" s="2491"/>
      <c r="D6" s="2491"/>
      <c r="E6" s="2491"/>
      <c r="F6" s="249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1">
        <f>'Acct Summary 7-8'!C8</f>
        <v>16887886</v>
      </c>
      <c r="C8" s="1811">
        <f>'Acct Summary 7-8'!D8</f>
        <v>1871356</v>
      </c>
      <c r="D8" s="1811">
        <f>'Acct Summary 7-8'!F8</f>
        <v>1924549</v>
      </c>
      <c r="E8" s="1811">
        <f>'Acct Summary 7-8'!I8</f>
        <v>233432</v>
      </c>
      <c r="F8" s="1811">
        <f>SUM(B8:E8)</f>
        <v>20917223</v>
      </c>
    </row>
    <row r="9" spans="1:8" s="1076" customFormat="1" ht="14.25" customHeight="1" thickBot="1" x14ac:dyDescent="0.25">
      <c r="A9" s="1075" t="s">
        <v>1369</v>
      </c>
      <c r="B9" s="1812">
        <f>'Acct Summary 7-8'!C17</f>
        <v>16664056</v>
      </c>
      <c r="C9" s="1812">
        <f>'Acct Summary 7-8'!D17</f>
        <v>1982540</v>
      </c>
      <c r="D9" s="1812">
        <f>'Acct Summary 7-8'!F17</f>
        <v>1896124</v>
      </c>
      <c r="E9" s="1811"/>
      <c r="F9" s="1811">
        <f>SUM(B9:E9)</f>
        <v>20542720</v>
      </c>
    </row>
    <row r="10" spans="1:8" s="1076" customFormat="1" ht="14.25" thickTop="1" thickBot="1" x14ac:dyDescent="0.25">
      <c r="A10" s="1077" t="s">
        <v>1370</v>
      </c>
      <c r="B10" s="1813">
        <f>(B8-B9)</f>
        <v>223830</v>
      </c>
      <c r="C10" s="1813">
        <f>(C8-C9)</f>
        <v>-111184</v>
      </c>
      <c r="D10" s="1813">
        <f>(D8-D9)</f>
        <v>28425</v>
      </c>
      <c r="E10" s="1812">
        <f>(E8-E9)</f>
        <v>233432</v>
      </c>
      <c r="F10" s="1814">
        <f>SUM(F8-F9)</f>
        <v>374503</v>
      </c>
    </row>
    <row r="11" spans="1:8" s="1076" customFormat="1" ht="14.25" thickTop="1" thickBot="1" x14ac:dyDescent="0.25">
      <c r="A11" s="1078" t="s">
        <v>1981</v>
      </c>
      <c r="B11" s="1815">
        <f>'Acct Summary 7-8'!C81</f>
        <v>6114147</v>
      </c>
      <c r="C11" s="1815">
        <f>'Acct Summary 7-8'!D81</f>
        <v>2487059</v>
      </c>
      <c r="D11" s="1815">
        <f>'Acct Summary 7-8'!F81</f>
        <v>1400245</v>
      </c>
      <c r="E11" s="1815">
        <f>'Acct Summary 7-8'!I81</f>
        <v>4845027</v>
      </c>
      <c r="F11" s="1816">
        <f>SUM(B11:E11)</f>
        <v>14846478</v>
      </c>
    </row>
    <row r="12" spans="1:8" ht="16.5" customHeight="1" thickTop="1" x14ac:dyDescent="0.2">
      <c r="A12" s="1079"/>
      <c r="B12" s="1080"/>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1081"/>
      <c r="B13" s="1082"/>
      <c r="C13" s="2478"/>
      <c r="D13" s="2479"/>
      <c r="E13" s="2479"/>
      <c r="F13" s="2480"/>
      <c r="H13" s="1071"/>
    </row>
    <row r="14" spans="1:8" ht="19.5" customHeight="1" x14ac:dyDescent="0.2">
      <c r="A14" s="1081"/>
      <c r="B14" s="1082"/>
      <c r="C14" s="2478"/>
      <c r="D14" s="2479"/>
      <c r="E14" s="2479"/>
      <c r="F14" s="2480"/>
      <c r="H14" s="1071"/>
    </row>
    <row r="15" spans="1:8" ht="17.25" customHeight="1" x14ac:dyDescent="0.2">
      <c r="A15" s="1081"/>
      <c r="B15" s="1082"/>
      <c r="C15" s="2481"/>
      <c r="D15" s="2482"/>
      <c r="E15" s="2482"/>
      <c r="F15" s="2483"/>
      <c r="H15" s="1071"/>
    </row>
    <row r="16" spans="1:8" s="310" customFormat="1" ht="51.75" hidden="1" customHeight="1" x14ac:dyDescent="0.2">
      <c r="A16" s="2477" t="s">
        <v>1686</v>
      </c>
      <c r="B16" s="2477"/>
      <c r="C16" s="2477"/>
      <c r="D16" s="2477"/>
      <c r="E16" s="2477"/>
      <c r="F16" s="310" t="s">
        <v>1371</v>
      </c>
    </row>
    <row r="17" spans="1:6" hidden="1" x14ac:dyDescent="0.2">
      <c r="A17" s="316" t="s">
        <v>1687</v>
      </c>
      <c r="F17" s="1083"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1"/>
      <c r="B2" s="1892"/>
      <c r="C2" s="1893"/>
      <c r="D2" s="1894"/>
    </row>
    <row r="3" spans="1:4" ht="36" customHeight="1" x14ac:dyDescent="0.2">
      <c r="A3" s="2499" t="s">
        <v>665</v>
      </c>
      <c r="B3" s="2500"/>
      <c r="C3" s="2500"/>
      <c r="D3" s="2501"/>
    </row>
    <row r="4" spans="1:4" x14ac:dyDescent="0.2">
      <c r="A4" s="1149" t="s">
        <v>1691</v>
      </c>
      <c r="B4" s="1150"/>
      <c r="C4" s="1151"/>
      <c r="D4" s="1152"/>
    </row>
    <row r="5" spans="1:4" ht="21" customHeight="1" x14ac:dyDescent="0.2">
      <c r="A5" s="1145"/>
      <c r="B5" s="1146">
        <v>1</v>
      </c>
      <c r="C5" s="1147" t="s">
        <v>1831</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10" t="s">
        <v>1504</v>
      </c>
      <c r="D7" s="2511"/>
    </row>
    <row r="8" spans="1:4" s="665" customFormat="1" ht="12.75" x14ac:dyDescent="0.2">
      <c r="A8" s="1135"/>
      <c r="B8" s="1090"/>
      <c r="C8" s="1093" t="s">
        <v>1503</v>
      </c>
      <c r="D8" s="1094"/>
    </row>
    <row r="9" spans="1:4" s="665" customFormat="1" ht="14.25" customHeight="1" x14ac:dyDescent="0.2">
      <c r="A9" s="1135"/>
      <c r="B9" s="1090">
        <f>B7+1</f>
        <v>4</v>
      </c>
      <c r="C9" s="1091" t="s">
        <v>1909</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02" t="s">
        <v>1008</v>
      </c>
      <c r="B15" s="2503"/>
      <c r="C15" s="2503"/>
      <c r="D15" s="2504"/>
    </row>
    <row r="16" spans="1:4" s="665" customFormat="1" ht="24" customHeight="1" x14ac:dyDescent="0.2">
      <c r="A16" s="2505" t="s">
        <v>663</v>
      </c>
      <c r="B16" s="2506"/>
      <c r="C16" s="2506"/>
      <c r="D16" s="2507"/>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710</v>
      </c>
    </row>
    <row r="21" spans="1:10" x14ac:dyDescent="0.2">
      <c r="A21" s="1095"/>
      <c r="B21" s="1096">
        <v>1</v>
      </c>
      <c r="C21" s="2514" t="s">
        <v>314</v>
      </c>
      <c r="D21" s="2515"/>
    </row>
    <row r="22" spans="1:10" ht="12.75" x14ac:dyDescent="0.2">
      <c r="A22" s="1136"/>
      <c r="B22" s="1137">
        <v>2</v>
      </c>
      <c r="C22" s="2512" t="s">
        <v>1524</v>
      </c>
      <c r="D22" s="251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16" t="s">
        <v>536</v>
      </c>
      <c r="D43" s="251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08" t="s">
        <v>784</v>
      </c>
      <c r="D56" s="250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1021</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508" t="s">
        <v>1695</v>
      </c>
      <c r="D70" s="250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28037228026</v>
      </c>
    </row>
    <row r="3" spans="1:2" x14ac:dyDescent="0.2">
      <c r="A3" t="s">
        <v>956</v>
      </c>
      <c r="B3" s="138" t="str">
        <f>COVER!A15</f>
        <v>Henry</v>
      </c>
    </row>
    <row r="4" spans="1:2" x14ac:dyDescent="0.2">
      <c r="A4" t="s">
        <v>1007</v>
      </c>
      <c r="B4" s="138" t="str">
        <f>COVER!A17</f>
        <v>Geneseo CUSD 228</v>
      </c>
    </row>
    <row r="5" spans="1:2" x14ac:dyDescent="0.2">
      <c r="A5" t="s">
        <v>704</v>
      </c>
      <c r="B5" s="138" t="str">
        <f>COVER!A38</f>
        <v>Dr. Adam Brumbaugh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6114147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6049152</v>
      </c>
      <c r="D92" s="2" t="str">
        <f t="shared" si="0"/>
        <v>Error?</v>
      </c>
    </row>
    <row r="93" spans="1:4" x14ac:dyDescent="0.2">
      <c r="A93" s="5">
        <v>32</v>
      </c>
      <c r="B93" s="138">
        <f>'Assets-Liab 5-6'!C41</f>
        <v>6114147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2487059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2487059</v>
      </c>
      <c r="D123" s="2" t="str">
        <f t="shared" si="0"/>
        <v>Error?</v>
      </c>
    </row>
    <row r="124" spans="1:4" x14ac:dyDescent="0.2">
      <c r="A124" s="5">
        <v>63</v>
      </c>
      <c r="B124" s="138">
        <f>'Assets-Liab 5-6'!D41</f>
        <v>2487059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1708175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1708175</v>
      </c>
      <c r="D140" s="2" t="str">
        <f t="shared" si="1"/>
        <v>Error?</v>
      </c>
    </row>
    <row r="141" spans="1:4" x14ac:dyDescent="0.2">
      <c r="A141" s="5">
        <v>80</v>
      </c>
      <c r="B141" s="138">
        <f>'Assets-Liab 5-6'!E41</f>
        <v>1708175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1400245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1400245</v>
      </c>
      <c r="D170" s="2" t="str">
        <f t="shared" si="1"/>
        <v>Error?</v>
      </c>
    </row>
    <row r="171" spans="1:4" x14ac:dyDescent="0.2">
      <c r="A171" s="5">
        <v>110</v>
      </c>
      <c r="B171" s="138">
        <f>'Assets-Liab 5-6'!F41</f>
        <v>1400245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951065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478086</v>
      </c>
      <c r="D189" s="2" t="str">
        <f t="shared" si="1"/>
        <v>Error?</v>
      </c>
    </row>
    <row r="190" spans="1:4" x14ac:dyDescent="0.2">
      <c r="A190" s="5">
        <v>129</v>
      </c>
      <c r="B190" s="138">
        <f>'Assets-Liab 5-6'!G41</f>
        <v>951065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1456412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1190070</v>
      </c>
      <c r="D212" s="2" t="str">
        <f t="shared" si="2"/>
        <v>Error?</v>
      </c>
    </row>
    <row r="213" spans="1:4" x14ac:dyDescent="0.2">
      <c r="A213" s="12">
        <v>152</v>
      </c>
      <c r="B213" s="138">
        <f>'Assets-Liab 5-6'!H41</f>
        <v>1456412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542305</v>
      </c>
      <c r="D273" s="2" t="str">
        <f t="shared" si="3"/>
        <v>Error?</v>
      </c>
    </row>
    <row r="274" spans="1:4" x14ac:dyDescent="0.2">
      <c r="A274" s="5">
        <v>213</v>
      </c>
      <c r="B274" s="138">
        <f>'Assets-Liab 5-6'!M17</f>
        <v>60216745</v>
      </c>
      <c r="D274" s="2" t="str">
        <f t="shared" si="3"/>
        <v>Error?</v>
      </c>
    </row>
    <row r="275" spans="1:4" x14ac:dyDescent="0.2">
      <c r="A275" s="5">
        <v>214</v>
      </c>
      <c r="B275" s="138">
        <f>'Assets-Liab 5-6'!M18</f>
        <v>1395895</v>
      </c>
      <c r="D275" s="2" t="str">
        <f t="shared" si="3"/>
        <v>Error?</v>
      </c>
    </row>
    <row r="276" spans="1:4" x14ac:dyDescent="0.2">
      <c r="A276" s="5">
        <v>215</v>
      </c>
      <c r="B276" s="138">
        <f>'Assets-Liab 5-6'!M19</f>
        <v>2519762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64674707</v>
      </c>
      <c r="C279" s="2" t="s">
        <v>573</v>
      </c>
      <c r="D279" s="2" t="str">
        <f t="shared" si="3"/>
        <v>Error?</v>
      </c>
    </row>
    <row r="280" spans="1:4" x14ac:dyDescent="0.2">
      <c r="A280" s="5">
        <v>219</v>
      </c>
      <c r="B280" s="138">
        <f>'Assets-Liab 5-6'!M40</f>
        <v>64674707</v>
      </c>
      <c r="D280" s="2" t="str">
        <f t="shared" si="3"/>
        <v>Error?</v>
      </c>
    </row>
    <row r="281" spans="1:4" x14ac:dyDescent="0.2">
      <c r="A281" s="5">
        <v>220</v>
      </c>
      <c r="B281" s="138">
        <f>'Assets-Liab 5-6'!M41</f>
        <v>64674707</v>
      </c>
      <c r="C281" s="2" t="s">
        <v>573</v>
      </c>
      <c r="D281" s="2" t="str">
        <f t="shared" si="3"/>
        <v>Error?</v>
      </c>
    </row>
    <row r="282" spans="1:4" x14ac:dyDescent="0.2">
      <c r="A282" s="5">
        <v>221</v>
      </c>
      <c r="B282" s="138">
        <f>'Assets-Liab 5-6'!N21</f>
        <v>1708175</v>
      </c>
      <c r="D282" s="2" t="str">
        <f t="shared" si="3"/>
        <v>Error?</v>
      </c>
    </row>
    <row r="283" spans="1:4" x14ac:dyDescent="0.2">
      <c r="A283" s="5">
        <v>222</v>
      </c>
      <c r="B283" s="138">
        <f>'Assets-Liab 5-6'!N22</f>
        <v>34520112</v>
      </c>
      <c r="D283" s="2" t="str">
        <f t="shared" si="3"/>
        <v>Error?</v>
      </c>
    </row>
    <row r="284" spans="1:4" x14ac:dyDescent="0.2">
      <c r="A284" s="5">
        <v>223</v>
      </c>
      <c r="B284" s="138">
        <f>'Assets-Liab 5-6'!N23</f>
        <v>36228287</v>
      </c>
      <c r="C284" s="2" t="s">
        <v>573</v>
      </c>
      <c r="D284" s="2" t="str">
        <f t="shared" si="3"/>
        <v>Error?</v>
      </c>
    </row>
    <row r="285" spans="1:4" x14ac:dyDescent="0.2">
      <c r="A285" s="5">
        <v>224</v>
      </c>
      <c r="B285" s="138">
        <f>'Assets-Liab 5-6'!N36</f>
        <v>36228287</v>
      </c>
      <c r="D285" s="2" t="str">
        <f t="shared" si="3"/>
        <v>Error?</v>
      </c>
    </row>
    <row r="286" spans="1:4" x14ac:dyDescent="0.2">
      <c r="A286" s="10">
        <v>225</v>
      </c>
      <c r="D286" s="2" t="str">
        <f t="shared" si="3"/>
        <v>OK</v>
      </c>
    </row>
    <row r="287" spans="1:4" x14ac:dyDescent="0.2">
      <c r="A287" s="5">
        <v>226</v>
      </c>
      <c r="B287" s="138">
        <f>'Assets-Liab 5-6'!N37</f>
        <v>36228287</v>
      </c>
      <c r="C287" s="2" t="s">
        <v>573</v>
      </c>
      <c r="D287" s="2" t="str">
        <f t="shared" si="3"/>
        <v>Error?</v>
      </c>
    </row>
    <row r="288" spans="1:4" x14ac:dyDescent="0.2">
      <c r="A288" s="5">
        <v>227</v>
      </c>
      <c r="B288" s="138">
        <f>'Assets-Liab 5-6'!N41</f>
        <v>36228287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6953743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256078</v>
      </c>
      <c r="D717" s="2" t="str">
        <f t="shared" si="10"/>
        <v>Error?</v>
      </c>
    </row>
    <row r="718" spans="1:4" x14ac:dyDescent="0.2">
      <c r="A718" s="5">
        <v>657</v>
      </c>
      <c r="B718" s="138">
        <f>'Expenditures 15-22'!C14</f>
        <v>477408</v>
      </c>
      <c r="D718" s="2" t="str">
        <f t="shared" si="10"/>
        <v>Error?</v>
      </c>
    </row>
    <row r="719" spans="1:4" x14ac:dyDescent="0.2">
      <c r="A719" s="5">
        <v>658</v>
      </c>
      <c r="B719" s="138">
        <f>'Expenditures 15-22'!C15</f>
        <v>322</v>
      </c>
      <c r="D719" s="2" t="str">
        <f t="shared" si="10"/>
        <v>Error?</v>
      </c>
    </row>
    <row r="720" spans="1:4" x14ac:dyDescent="0.2">
      <c r="A720" s="5">
        <v>659</v>
      </c>
      <c r="B720" s="138">
        <f>'Expenditures 15-22'!C33</f>
        <v>8696964</v>
      </c>
      <c r="C720" s="2" t="s">
        <v>573</v>
      </c>
      <c r="D720" s="2" t="str">
        <f t="shared" si="10"/>
        <v>Error?</v>
      </c>
    </row>
    <row r="721" spans="1:4" x14ac:dyDescent="0.2">
      <c r="A721" s="5">
        <v>660</v>
      </c>
      <c r="B721" s="138">
        <f>'Expenditures 15-22'!C36</f>
        <v>149199</v>
      </c>
      <c r="D721" s="2" t="str">
        <f t="shared" si="10"/>
        <v>Error?</v>
      </c>
    </row>
    <row r="722" spans="1:4" x14ac:dyDescent="0.2">
      <c r="A722" s="5">
        <v>661</v>
      </c>
      <c r="B722" s="138">
        <f>'Expenditures 15-22'!C37</f>
        <v>287584</v>
      </c>
      <c r="D722" s="2" t="str">
        <f t="shared" si="10"/>
        <v>Error?</v>
      </c>
    </row>
    <row r="723" spans="1:4" x14ac:dyDescent="0.2">
      <c r="A723" s="5">
        <v>662</v>
      </c>
      <c r="B723" s="138">
        <f>'Expenditures 15-22'!C38</f>
        <v>89247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526030</v>
      </c>
      <c r="C727" s="2" t="s">
        <v>573</v>
      </c>
      <c r="D727" s="2" t="str">
        <f t="shared" si="10"/>
        <v>Error?</v>
      </c>
    </row>
    <row r="728" spans="1:4" x14ac:dyDescent="0.2">
      <c r="A728" s="5">
        <v>667</v>
      </c>
      <c r="B728" s="138">
        <f>'Expenditures 15-22'!C44</f>
        <v>103849</v>
      </c>
      <c r="D728" s="2" t="str">
        <f t="shared" si="10"/>
        <v>Error?</v>
      </c>
    </row>
    <row r="729" spans="1:4" x14ac:dyDescent="0.2">
      <c r="A729" s="5">
        <v>668</v>
      </c>
      <c r="B729" s="138">
        <f>'Expenditures 15-22'!C45</f>
        <v>275938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379787</v>
      </c>
      <c r="C731" s="2" t="s">
        <v>573</v>
      </c>
      <c r="D731" s="2" t="str">
        <f t="shared" si="10"/>
        <v>Error?</v>
      </c>
    </row>
    <row r="732" spans="1:4" x14ac:dyDescent="0.2">
      <c r="A732" s="5">
        <v>671</v>
      </c>
      <c r="B732" s="138">
        <f>'Expenditures 15-22'!C49</f>
        <v>2200</v>
      </c>
      <c r="D732" s="2" t="str">
        <f t="shared" si="10"/>
        <v>Error?</v>
      </c>
    </row>
    <row r="733" spans="1:4" x14ac:dyDescent="0.2">
      <c r="A733" s="5">
        <v>672</v>
      </c>
      <c r="B733" s="138">
        <f>'Expenditures 15-22'!C50</f>
        <v>137596</v>
      </c>
      <c r="D733" s="2" t="str">
        <f t="shared" si="10"/>
        <v>Error?</v>
      </c>
    </row>
    <row r="734" spans="1:4" x14ac:dyDescent="0.2">
      <c r="A734" s="5">
        <v>673</v>
      </c>
      <c r="B734" s="138">
        <f>'Expenditures 15-22'!C53</f>
        <v>139796</v>
      </c>
      <c r="C734" s="2" t="s">
        <v>573</v>
      </c>
      <c r="D734" s="2" t="str">
        <f t="shared" si="10"/>
        <v>Error?</v>
      </c>
    </row>
    <row r="735" spans="1:4" x14ac:dyDescent="0.2">
      <c r="A735" s="5">
        <v>674</v>
      </c>
      <c r="B735" s="138">
        <f>'Expenditures 15-22'!C55</f>
        <v>1001920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1001920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259544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396939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656483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67462</v>
      </c>
      <c r="D754" s="2" t="str">
        <f t="shared" si="10"/>
        <v>Error?</v>
      </c>
    </row>
    <row r="755" spans="1:4" x14ac:dyDescent="0.2">
      <c r="A755" s="5">
        <v>694</v>
      </c>
      <c r="B755" s="138">
        <f>'Expenditures 15-22'!C74</f>
        <v>2771478</v>
      </c>
      <c r="C755" s="2" t="s">
        <v>573</v>
      </c>
      <c r="D755" s="2" t="str">
        <f t="shared" si="10"/>
        <v>Error?</v>
      </c>
    </row>
    <row r="756" spans="1:4" x14ac:dyDescent="0.2">
      <c r="A756" s="5">
        <v>695</v>
      </c>
      <c r="B756" s="138">
        <f>'Expenditures 15-22'!C75</f>
        <v>121139</v>
      </c>
      <c r="D756" s="2" t="str">
        <f t="shared" si="10"/>
        <v>Error?</v>
      </c>
    </row>
    <row r="757" spans="1:4" x14ac:dyDescent="0.2">
      <c r="A757" s="5">
        <v>696</v>
      </c>
      <c r="B757" s="138">
        <f>'Expenditures 15-22'!C114</f>
        <v>11589581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967872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34863</v>
      </c>
      <c r="D775" s="2" t="str">
        <f t="shared" si="11"/>
        <v>Error?</v>
      </c>
    </row>
    <row r="776" spans="1:4" x14ac:dyDescent="0.2">
      <c r="A776" s="5">
        <v>715</v>
      </c>
      <c r="B776" s="138">
        <f>'Expenditures 15-22'!D14</f>
        <v>7093</v>
      </c>
      <c r="D776" s="2" t="str">
        <f t="shared" si="11"/>
        <v>Error?</v>
      </c>
    </row>
    <row r="777" spans="1:4" x14ac:dyDescent="0.2">
      <c r="A777" s="5">
        <v>716</v>
      </c>
      <c r="B777" s="138">
        <f>'Expenditures 15-22'!D15</f>
        <v>5</v>
      </c>
      <c r="D777" s="2" t="str">
        <f t="shared" si="11"/>
        <v>Error?</v>
      </c>
    </row>
    <row r="778" spans="1:4" x14ac:dyDescent="0.2">
      <c r="A778" s="5">
        <v>717</v>
      </c>
      <c r="B778" s="138">
        <f>'Expenditures 15-22'!D33</f>
        <v>1163813</v>
      </c>
      <c r="C778" s="2" t="s">
        <v>573</v>
      </c>
      <c r="D778" s="2" t="str">
        <f t="shared" si="11"/>
        <v>Error?</v>
      </c>
    </row>
    <row r="779" spans="1:4" x14ac:dyDescent="0.2">
      <c r="A779" s="5">
        <v>718</v>
      </c>
      <c r="B779" s="138">
        <f>'Expenditures 15-22'!D36</f>
        <v>30068</v>
      </c>
      <c r="D779" s="2" t="str">
        <f t="shared" si="11"/>
        <v>Error?</v>
      </c>
    </row>
    <row r="780" spans="1:4" x14ac:dyDescent="0.2">
      <c r="A780" s="5">
        <v>719</v>
      </c>
      <c r="B780" s="138">
        <f>'Expenditures 15-22'!D37</f>
        <v>25749</v>
      </c>
      <c r="D780" s="2" t="str">
        <f t="shared" si="11"/>
        <v>Error?</v>
      </c>
    </row>
    <row r="781" spans="1:4" x14ac:dyDescent="0.2">
      <c r="A781" s="5">
        <v>720</v>
      </c>
      <c r="B781" s="138">
        <f>'Expenditures 15-22'!D38</f>
        <v>31743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87560</v>
      </c>
      <c r="C785" s="2" t="s">
        <v>573</v>
      </c>
      <c r="D785" s="2" t="str">
        <f t="shared" si="11"/>
        <v>Error?</v>
      </c>
    </row>
    <row r="786" spans="1:4" x14ac:dyDescent="0.2">
      <c r="A786" s="5">
        <v>725</v>
      </c>
      <c r="B786" s="138">
        <f>'Expenditures 15-22'!D44</f>
        <v>15783</v>
      </c>
      <c r="D786" s="2" t="str">
        <f t="shared" si="11"/>
        <v>Error?</v>
      </c>
    </row>
    <row r="787" spans="1:4" x14ac:dyDescent="0.2">
      <c r="A787" s="5">
        <v>726</v>
      </c>
      <c r="B787" s="138">
        <f>'Expenditures 15-22'!D45</f>
        <v>46697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62480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30254</v>
      </c>
      <c r="D791" s="2" t="str">
        <f t="shared" si="11"/>
        <v>Error?</v>
      </c>
    </row>
    <row r="792" spans="1:4" x14ac:dyDescent="0.2">
      <c r="A792" s="5">
        <v>731</v>
      </c>
      <c r="B792" s="138">
        <f>'Expenditures 15-22'!D53</f>
        <v>30254</v>
      </c>
      <c r="C792" s="2" t="s">
        <v>573</v>
      </c>
      <c r="D792" s="2" t="str">
        <f t="shared" si="11"/>
        <v>Error?</v>
      </c>
    </row>
    <row r="793" spans="1:4" x14ac:dyDescent="0.2">
      <c r="A793" s="5">
        <v>732</v>
      </c>
      <c r="B793" s="138">
        <f>'Expenditures 15-22'!D55</f>
        <v>273888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273888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50937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64440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115377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2810</v>
      </c>
      <c r="D812" s="2" t="str">
        <f t="shared" si="11"/>
        <v>Error?</v>
      </c>
    </row>
    <row r="813" spans="1:4" x14ac:dyDescent="0.2">
      <c r="A813" s="5">
        <v>752</v>
      </c>
      <c r="B813" s="138">
        <f>'Expenditures 15-22'!D74</f>
        <v>572369</v>
      </c>
      <c r="C813" s="2" t="s">
        <v>573</v>
      </c>
      <c r="D813" s="2" t="str">
        <f t="shared" si="11"/>
        <v>Error?</v>
      </c>
    </row>
    <row r="814" spans="1:4" x14ac:dyDescent="0.2">
      <c r="A814" s="5">
        <v>753</v>
      </c>
      <c r="B814" s="138">
        <f>'Expenditures 15-22'!D75</f>
        <v>12248</v>
      </c>
      <c r="D814" s="2" t="str">
        <f t="shared" si="11"/>
        <v>Error?</v>
      </c>
    </row>
    <row r="815" spans="1:4" x14ac:dyDescent="0.2">
      <c r="A815" s="5">
        <v>754</v>
      </c>
      <c r="B815" s="138">
        <f>'Expenditures 15-22'!D114</f>
        <v>1748430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48101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3250</v>
      </c>
      <c r="D833" s="2" t="str">
        <f t="shared" si="12"/>
        <v>Error?</v>
      </c>
    </row>
    <row r="834" spans="1:4" x14ac:dyDescent="0.2">
      <c r="A834" s="5">
        <v>773</v>
      </c>
      <c r="B834" s="138">
        <f>'Expenditures 15-22'!E14</f>
        <v>120399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188396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1141</v>
      </c>
      <c r="D838" s="2" t="str">
        <f t="shared" si="12"/>
        <v>Error?</v>
      </c>
    </row>
    <row r="839" spans="1:4" x14ac:dyDescent="0.2">
      <c r="A839" s="5">
        <v>778</v>
      </c>
      <c r="B839" s="138">
        <f>'Expenditures 15-22'!E38</f>
        <v>170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1311</v>
      </c>
      <c r="C843" s="2" t="s">
        <v>573</v>
      </c>
      <c r="D843" s="2" t="str">
        <f t="shared" si="12"/>
        <v>Error?</v>
      </c>
    </row>
    <row r="844" spans="1:4" x14ac:dyDescent="0.2">
      <c r="A844" s="5">
        <v>783</v>
      </c>
      <c r="B844" s="138">
        <f>'Expenditures 15-22'!E44</f>
        <v>116695</v>
      </c>
      <c r="D844" s="2" t="str">
        <f t="shared" si="12"/>
        <v>Error?</v>
      </c>
    </row>
    <row r="845" spans="1:4" x14ac:dyDescent="0.2">
      <c r="A845" s="5">
        <v>784</v>
      </c>
      <c r="B845" s="138">
        <f>'Expenditures 15-22'!E45</f>
        <v>8803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125498</v>
      </c>
      <c r="C847" s="2" t="s">
        <v>573</v>
      </c>
      <c r="D847" s="2" t="str">
        <f t="shared" si="12"/>
        <v>Error?</v>
      </c>
    </row>
    <row r="848" spans="1:4" x14ac:dyDescent="0.2">
      <c r="A848" s="5">
        <v>787</v>
      </c>
      <c r="B848" s="138">
        <f>'Expenditures 15-22'!E49</f>
        <v>96369</v>
      </c>
      <c r="D848" s="2" t="str">
        <f t="shared" si="12"/>
        <v>Error?</v>
      </c>
    </row>
    <row r="849" spans="1:4" x14ac:dyDescent="0.2">
      <c r="A849" s="5">
        <v>788</v>
      </c>
      <c r="B849" s="138">
        <f>'Expenditures 15-22'!E50</f>
        <v>1818</v>
      </c>
      <c r="D849" s="2" t="str">
        <f t="shared" si="12"/>
        <v>Error?</v>
      </c>
    </row>
    <row r="850" spans="1:4" x14ac:dyDescent="0.2">
      <c r="A850" s="5">
        <v>789</v>
      </c>
      <c r="B850" s="138">
        <f>'Expenditures 15-22'!E53</f>
        <v>98187</v>
      </c>
      <c r="C850" s="2" t="s">
        <v>573</v>
      </c>
      <c r="D850" s="2" t="str">
        <f t="shared" si="12"/>
        <v>Error?</v>
      </c>
    </row>
    <row r="851" spans="1:4" x14ac:dyDescent="0.2">
      <c r="A851" s="5">
        <v>790</v>
      </c>
      <c r="B851" s="138">
        <f>'Expenditures 15-22'!E55</f>
        <v>16515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16515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96037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62336</v>
      </c>
      <c r="D857" s="2" t="str">
        <f t="shared" si="12"/>
        <v>Error?</v>
      </c>
    </row>
    <row r="858" spans="1:4" x14ac:dyDescent="0.2">
      <c r="A858" s="5">
        <v>797</v>
      </c>
      <c r="B858" s="138">
        <f>'Expenditures 15-22'!E63</f>
        <v>20080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178453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25000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55599</v>
      </c>
      <c r="D867" s="2" t="str">
        <f t="shared" si="12"/>
        <v>Error?</v>
      </c>
    </row>
    <row r="868" spans="1:4" x14ac:dyDescent="0.2">
      <c r="A868" s="10">
        <v>807</v>
      </c>
      <c r="D868" s="2" t="str">
        <f t="shared" si="12"/>
        <v>OK</v>
      </c>
    </row>
    <row r="869" spans="1:4" x14ac:dyDescent="0.2">
      <c r="A869" s="5">
        <v>808</v>
      </c>
      <c r="B869" s="138">
        <f>'Expenditures 15-22'!E72</f>
        <v>80599</v>
      </c>
      <c r="C869" s="2" t="s">
        <v>573</v>
      </c>
      <c r="D869" s="2" t="str">
        <f t="shared" si="12"/>
        <v>Error?</v>
      </c>
    </row>
    <row r="870" spans="1:4" x14ac:dyDescent="0.2">
      <c r="A870" s="5">
        <v>809</v>
      </c>
      <c r="B870" s="138">
        <f>'Expenditures 15-22'!E73</f>
        <v>1252</v>
      </c>
      <c r="D870" s="2" t="str">
        <f t="shared" si="12"/>
        <v>Error?</v>
      </c>
    </row>
    <row r="871" spans="1:4" x14ac:dyDescent="0.2">
      <c r="A871" s="5">
        <v>810</v>
      </c>
      <c r="B871" s="138">
        <f>'Expenditures 15-22'!E74</f>
        <v>501815</v>
      </c>
      <c r="C871" s="2" t="s">
        <v>573</v>
      </c>
      <c r="D871" s="2" t="str">
        <f t="shared" si="12"/>
        <v>Error?</v>
      </c>
    </row>
    <row r="872" spans="1:4" x14ac:dyDescent="0.2">
      <c r="A872" s="5">
        <v>811</v>
      </c>
      <c r="B872" s="138">
        <f>'Expenditures 15-22'!E75</f>
        <v>6950</v>
      </c>
      <c r="D872" s="2" t="str">
        <f t="shared" si="12"/>
        <v>Error?</v>
      </c>
    </row>
    <row r="873" spans="1:4" x14ac:dyDescent="0.2">
      <c r="A873" s="5">
        <v>812</v>
      </c>
      <c r="B873" s="138">
        <f>'Expenditures 15-22'!E114</f>
        <v>697161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152217</v>
      </c>
      <c r="D879" s="2" t="str">
        <f t="shared" si="12"/>
        <v>Error?</v>
      </c>
    </row>
    <row r="880" spans="1:4" x14ac:dyDescent="0.2">
      <c r="A880" s="5">
        <v>819</v>
      </c>
      <c r="B880" s="138">
        <f>'Expenditures 15-22'!F16</f>
        <v>750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39257</v>
      </c>
      <c r="D891" s="2" t="str">
        <f t="shared" si="12"/>
        <v>Error?</v>
      </c>
    </row>
    <row r="892" spans="1:4" x14ac:dyDescent="0.2">
      <c r="A892" s="5">
        <v>831</v>
      </c>
      <c r="B892" s="138">
        <f>'Expenditures 15-22'!F14</f>
        <v>86328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291556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629</v>
      </c>
      <c r="D896" s="2" t="str">
        <f t="shared" si="13"/>
        <v>Error?</v>
      </c>
    </row>
    <row r="897" spans="1:4" x14ac:dyDescent="0.2">
      <c r="A897" s="5">
        <v>836</v>
      </c>
      <c r="B897" s="138">
        <f>'Expenditures 15-22'!F38</f>
        <v>3309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3938</v>
      </c>
      <c r="C901" s="2" t="s">
        <v>573</v>
      </c>
      <c r="D901" s="2" t="str">
        <f t="shared" si="13"/>
        <v>Error?</v>
      </c>
    </row>
    <row r="902" spans="1:4" x14ac:dyDescent="0.2">
      <c r="A902" s="5">
        <v>841</v>
      </c>
      <c r="B902" s="138">
        <f>'Expenditures 15-22'!F44</f>
        <v>9969</v>
      </c>
      <c r="D902" s="2" t="str">
        <f t="shared" si="13"/>
        <v>Error?</v>
      </c>
    </row>
    <row r="903" spans="1:4" x14ac:dyDescent="0.2">
      <c r="A903" s="5">
        <v>842</v>
      </c>
      <c r="B903" s="138">
        <f>'Expenditures 15-22'!F45</f>
        <v>264549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274518</v>
      </c>
      <c r="C905" s="2" t="s">
        <v>573</v>
      </c>
      <c r="D905" s="2" t="str">
        <f t="shared" si="13"/>
        <v>Error?</v>
      </c>
    </row>
    <row r="906" spans="1:4" x14ac:dyDescent="0.2">
      <c r="A906" s="5">
        <v>845</v>
      </c>
      <c r="B906" s="138">
        <f>'Expenditures 15-22'!F49</f>
        <v>2706</v>
      </c>
      <c r="D906" s="2" t="str">
        <f t="shared" si="13"/>
        <v>Error?</v>
      </c>
    </row>
    <row r="907" spans="1:4" x14ac:dyDescent="0.2">
      <c r="A907" s="5">
        <v>846</v>
      </c>
      <c r="B907" s="138">
        <f>'Expenditures 15-22'!F50</f>
        <v>784</v>
      </c>
      <c r="D907" s="2" t="str">
        <f t="shared" si="13"/>
        <v>Error?</v>
      </c>
    </row>
    <row r="908" spans="1:4" x14ac:dyDescent="0.2">
      <c r="A908" s="5">
        <v>847</v>
      </c>
      <c r="B908" s="138">
        <f>'Expenditures 15-22'!F53</f>
        <v>3490</v>
      </c>
      <c r="C908" s="2" t="s">
        <v>573</v>
      </c>
      <c r="D908" s="2" t="str">
        <f t="shared" si="13"/>
        <v>Error?</v>
      </c>
    </row>
    <row r="909" spans="1:4" x14ac:dyDescent="0.2">
      <c r="A909" s="5">
        <v>848</v>
      </c>
      <c r="B909" s="138">
        <f>'Expenditures 15-22'!F55</f>
        <v>23538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18675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581727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600402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565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3028</v>
      </c>
      <c r="D925" s="2" t="str">
        <f t="shared" si="13"/>
        <v>Error?</v>
      </c>
    </row>
    <row r="926" spans="1:4" x14ac:dyDescent="0.2">
      <c r="A926" s="10">
        <v>865</v>
      </c>
      <c r="D926" s="2" t="str">
        <f t="shared" si="13"/>
        <v>OK</v>
      </c>
    </row>
    <row r="927" spans="1:4" x14ac:dyDescent="0.2">
      <c r="A927" s="5">
        <v>866</v>
      </c>
      <c r="B927" s="138">
        <f>'Expenditures 15-22'!F72</f>
        <v>3593</v>
      </c>
      <c r="C927" s="2" t="s">
        <v>573</v>
      </c>
      <c r="D927" s="2" t="str">
        <f t="shared" si="13"/>
        <v>Error?</v>
      </c>
    </row>
    <row r="928" spans="1:4" x14ac:dyDescent="0.2">
      <c r="A928" s="5">
        <v>867</v>
      </c>
      <c r="B928" s="138">
        <f>'Expenditures 15-22'!F73</f>
        <v>5023</v>
      </c>
      <c r="D928" s="2" t="str">
        <f t="shared" si="13"/>
        <v>Error?</v>
      </c>
    </row>
    <row r="929" spans="1:4" x14ac:dyDescent="0.2">
      <c r="A929" s="5">
        <v>868</v>
      </c>
      <c r="B929" s="138">
        <f>'Expenditures 15-22'!F74</f>
        <v>914502</v>
      </c>
      <c r="C929" s="2" t="s">
        <v>573</v>
      </c>
      <c r="D929" s="2" t="str">
        <f t="shared" si="13"/>
        <v>Error?</v>
      </c>
    </row>
    <row r="930" spans="1:4" x14ac:dyDescent="0.2">
      <c r="A930" s="5">
        <v>869</v>
      </c>
      <c r="B930" s="138">
        <f>'Expenditures 15-22'!F75</f>
        <v>11414</v>
      </c>
      <c r="D930" s="2" t="str">
        <f t="shared" si="13"/>
        <v>Error?</v>
      </c>
    </row>
    <row r="931" spans="1:4" x14ac:dyDescent="0.2">
      <c r="A931" s="5">
        <v>870</v>
      </c>
      <c r="B931" s="138">
        <f>'Expenditures 15-22'!F114</f>
        <v>1217472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829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829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14153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14153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14153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24824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28869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980</v>
      </c>
      <c r="D1022" s="2" t="str">
        <f t="shared" si="14"/>
        <v>Error?</v>
      </c>
    </row>
    <row r="1023" spans="1:4" x14ac:dyDescent="0.2">
      <c r="A1023" s="5">
        <v>962</v>
      </c>
      <c r="B1023" s="138">
        <f>'Expenditures 15-22'!H50</f>
        <v>9040</v>
      </c>
      <c r="D1023" s="2" t="str">
        <f t="shared" ref="D1023:D1086" si="15">IF(ISBLANK(B1023),"OK",IF(A1023-B1023=0,"OK","Error?"))</f>
        <v>Error?</v>
      </c>
    </row>
    <row r="1024" spans="1:4" x14ac:dyDescent="0.2">
      <c r="A1024" s="5">
        <v>963</v>
      </c>
      <c r="B1024" s="138">
        <f>'Expenditures 15-22'!H53</f>
        <v>10020</v>
      </c>
      <c r="C1024" s="2" t="s">
        <v>573</v>
      </c>
      <c r="D1024" s="2" t="str">
        <f t="shared" si="15"/>
        <v>Error?</v>
      </c>
    </row>
    <row r="1025" spans="1:4" x14ac:dyDescent="0.2">
      <c r="A1025" s="5">
        <v>964</v>
      </c>
      <c r="B1025" s="138">
        <f>'Expenditures 15-22'!H55</f>
        <v>4553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4553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4555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5485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20058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1290113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1339040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8121933</v>
      </c>
      <c r="C1093" s="2" t="s">
        <v>573</v>
      </c>
      <c r="D1093" s="2" t="str">
        <f t="shared" si="16"/>
        <v>Error?</v>
      </c>
    </row>
    <row r="1094" spans="1:4" x14ac:dyDescent="0.2">
      <c r="A1094" s="5">
        <v>1033</v>
      </c>
      <c r="B1094" s="138">
        <f>'Expenditures 15-22'!K16</f>
        <v>750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334277</v>
      </c>
      <c r="C1105" s="2" t="s">
        <v>573</v>
      </c>
      <c r="D1105" s="2" t="str">
        <f t="shared" si="16"/>
        <v>Error?</v>
      </c>
    </row>
    <row r="1106" spans="1:4" x14ac:dyDescent="0.2">
      <c r="A1106" s="5">
        <v>1045</v>
      </c>
      <c r="B1106" s="138">
        <f>'Expenditures 15-22'!K14</f>
        <v>716052</v>
      </c>
      <c r="C1106" s="2" t="s">
        <v>573</v>
      </c>
      <c r="D1106" s="2" t="str">
        <f t="shared" si="16"/>
        <v>Error?</v>
      </c>
    </row>
    <row r="1107" spans="1:4" x14ac:dyDescent="0.2">
      <c r="A1107" s="5">
        <v>1046</v>
      </c>
      <c r="B1107" s="138">
        <f>'Expenditures 15-22'!K15</f>
        <v>327</v>
      </c>
      <c r="C1107" s="2" t="s">
        <v>573</v>
      </c>
      <c r="D1107" s="2" t="str">
        <f t="shared" si="16"/>
        <v>Error?</v>
      </c>
    </row>
    <row r="1108" spans="1:4" x14ac:dyDescent="0.2">
      <c r="A1108" s="5">
        <v>1047</v>
      </c>
      <c r="B1108" s="138">
        <f>'Expenditures 15-22'!K33</f>
        <v>10370427</v>
      </c>
      <c r="C1108" s="2" t="s">
        <v>573</v>
      </c>
      <c r="D1108" s="2" t="str">
        <f t="shared" si="16"/>
        <v>Error?</v>
      </c>
    </row>
    <row r="1109" spans="1:4" x14ac:dyDescent="0.2">
      <c r="A1109" s="5">
        <v>1048</v>
      </c>
      <c r="B1109" s="138">
        <f>'Expenditures 15-22'!K36</f>
        <v>179267</v>
      </c>
      <c r="C1109" s="2" t="s">
        <v>573</v>
      </c>
      <c r="D1109" s="2" t="str">
        <f t="shared" si="16"/>
        <v>Error?</v>
      </c>
    </row>
    <row r="1110" spans="1:4" x14ac:dyDescent="0.2">
      <c r="A1110" s="5">
        <v>1049</v>
      </c>
      <c r="B1110" s="138">
        <f>'Expenditures 15-22'!K37</f>
        <v>315103</v>
      </c>
      <c r="C1110" s="2" t="s">
        <v>573</v>
      </c>
      <c r="D1110" s="2" t="str">
        <f t="shared" si="16"/>
        <v>Error?</v>
      </c>
    </row>
    <row r="1111" spans="1:4" x14ac:dyDescent="0.2">
      <c r="A1111" s="5">
        <v>1050</v>
      </c>
      <c r="B1111" s="138">
        <f>'Expenditures 15-22'!K38</f>
        <v>124469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618839</v>
      </c>
      <c r="C1115" s="2" t="s">
        <v>573</v>
      </c>
      <c r="D1115" s="2" t="str">
        <f t="shared" si="16"/>
        <v>Error?</v>
      </c>
    </row>
    <row r="1116" spans="1:4" x14ac:dyDescent="0.2">
      <c r="A1116" s="5">
        <v>1055</v>
      </c>
      <c r="B1116" s="138">
        <f>'Expenditures 15-22'!K44</f>
        <v>246296</v>
      </c>
      <c r="C1116" s="2" t="s">
        <v>573</v>
      </c>
      <c r="D1116" s="2" t="str">
        <f t="shared" si="16"/>
        <v>Error?</v>
      </c>
    </row>
    <row r="1117" spans="1:4" x14ac:dyDescent="0.2">
      <c r="A1117" s="5">
        <v>1056</v>
      </c>
      <c r="B1117" s="138">
        <f>'Expenditures 15-22'!K45</f>
        <v>647017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893313</v>
      </c>
      <c r="C1119" s="2" t="s">
        <v>573</v>
      </c>
      <c r="D1119" s="2" t="str">
        <f t="shared" si="16"/>
        <v>Error?</v>
      </c>
    </row>
    <row r="1120" spans="1:4" x14ac:dyDescent="0.2">
      <c r="A1120" s="5">
        <v>1059</v>
      </c>
      <c r="B1120" s="138">
        <f>'Expenditures 15-22'!K49</f>
        <v>102255</v>
      </c>
      <c r="C1120" s="2" t="s">
        <v>573</v>
      </c>
      <c r="D1120" s="2" t="str">
        <f t="shared" si="16"/>
        <v>Error?</v>
      </c>
    </row>
    <row r="1121" spans="1:4" x14ac:dyDescent="0.2">
      <c r="A1121" s="5">
        <v>1060</v>
      </c>
      <c r="B1121" s="138">
        <f>'Expenditures 15-22'!K50</f>
        <v>179492</v>
      </c>
      <c r="C1121" s="2" t="s">
        <v>573</v>
      </c>
      <c r="D1121" s="2" t="str">
        <f t="shared" si="16"/>
        <v>Error?</v>
      </c>
    </row>
    <row r="1122" spans="1:4" x14ac:dyDescent="0.2">
      <c r="A1122" s="5">
        <v>1061</v>
      </c>
      <c r="B1122" s="138">
        <f>'Expenditures 15-22'!K53</f>
        <v>281747</v>
      </c>
      <c r="C1122" s="2" t="s">
        <v>573</v>
      </c>
      <c r="D1122" s="2" t="str">
        <f t="shared" si="16"/>
        <v>Error?</v>
      </c>
    </row>
    <row r="1123" spans="1:4" x14ac:dyDescent="0.2">
      <c r="A1123" s="5">
        <v>1062</v>
      </c>
      <c r="B1123" s="138">
        <f>'Expenditures 15-22'!K55</f>
        <v>1320414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1320414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426123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62336</v>
      </c>
      <c r="C1129" s="2" t="s">
        <v>573</v>
      </c>
      <c r="D1129" s="2" t="str">
        <f t="shared" si="16"/>
        <v>Error?</v>
      </c>
    </row>
    <row r="1130" spans="1:4" x14ac:dyDescent="0.2">
      <c r="A1130" s="5">
        <v>1069</v>
      </c>
      <c r="B1130" s="138">
        <f>'Expenditures 15-22'!K63</f>
        <v>1088254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1576713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25565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58627</v>
      </c>
      <c r="C1139" s="2" t="s">
        <v>573</v>
      </c>
      <c r="D1139" s="2" t="str">
        <f t="shared" si="16"/>
        <v>Error?</v>
      </c>
    </row>
    <row r="1140" spans="1:4" x14ac:dyDescent="0.2">
      <c r="A1140" s="10">
        <v>1079</v>
      </c>
      <c r="D1140" s="2" t="str">
        <f t="shared" si="16"/>
        <v>OK</v>
      </c>
    </row>
    <row r="1141" spans="1:4" x14ac:dyDescent="0.2">
      <c r="A1141" s="5">
        <v>1080</v>
      </c>
      <c r="B1141" s="138">
        <f>'Expenditures 15-22'!K72</f>
        <v>84192</v>
      </c>
      <c r="C1141" s="2" t="s">
        <v>573</v>
      </c>
      <c r="D1141" s="2" t="str">
        <f t="shared" si="16"/>
        <v>Error?</v>
      </c>
    </row>
    <row r="1142" spans="1:4" x14ac:dyDescent="0.2">
      <c r="A1142" s="5">
        <v>1081</v>
      </c>
      <c r="B1142" s="138">
        <f>'Expenditures 15-22'!K73</f>
        <v>76547</v>
      </c>
      <c r="C1142" s="2" t="s">
        <v>573</v>
      </c>
      <c r="D1142" s="2" t="str">
        <f t="shared" si="16"/>
        <v>Error?</v>
      </c>
    </row>
    <row r="1143" spans="1:4" x14ac:dyDescent="0.2">
      <c r="A1143" s="5">
        <v>1082</v>
      </c>
      <c r="B1143" s="138">
        <f>'Expenditures 15-22'!K74</f>
        <v>4851765</v>
      </c>
      <c r="C1143" s="2" t="s">
        <v>573</v>
      </c>
      <c r="D1143" s="2" t="str">
        <f t="shared" si="16"/>
        <v>Error?</v>
      </c>
    </row>
    <row r="1144" spans="1:4" x14ac:dyDescent="0.2">
      <c r="A1144" s="5">
        <v>1083</v>
      </c>
      <c r="B1144" s="138">
        <f>'Expenditures 15-22'!K75</f>
        <v>151751</v>
      </c>
      <c r="C1144" s="2" t="s">
        <v>573</v>
      </c>
      <c r="D1144" s="2" t="str">
        <f t="shared" si="16"/>
        <v>Error?</v>
      </c>
    </row>
    <row r="1145" spans="1:4" x14ac:dyDescent="0.2">
      <c r="A1145" s="5">
        <v>1084</v>
      </c>
      <c r="B1145" s="138">
        <f>'Expenditures 15-22'!K102</f>
        <v>1290113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16664056</v>
      </c>
      <c r="C1152" s="2" t="s">
        <v>573</v>
      </c>
      <c r="D1152" s="2" t="str">
        <f t="shared" si="17"/>
        <v>Error?</v>
      </c>
    </row>
    <row r="1153" spans="1:4" x14ac:dyDescent="0.2">
      <c r="A1153" s="5">
        <v>1092</v>
      </c>
      <c r="B1153" s="138">
        <f>'Expenditures 15-22'!K115</f>
        <v>223830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903938</v>
      </c>
      <c r="D1221" s="2" t="str">
        <f t="shared" si="18"/>
        <v>Error?</v>
      </c>
    </row>
    <row r="1222" spans="1:4" x14ac:dyDescent="0.2">
      <c r="A1222" s="10">
        <v>1161</v>
      </c>
      <c r="D1222" s="2" t="str">
        <f t="shared" si="18"/>
        <v>OK</v>
      </c>
    </row>
    <row r="1223" spans="1:4" x14ac:dyDescent="0.2">
      <c r="A1223" s="5">
        <v>1162</v>
      </c>
      <c r="B1223" s="138">
        <f>'Expenditures 15-22'!C127</f>
        <v>903938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903938</v>
      </c>
      <c r="C1225" s="2" t="s">
        <v>573</v>
      </c>
      <c r="D1225" s="2" t="str">
        <f t="shared" si="18"/>
        <v>Error?</v>
      </c>
    </row>
    <row r="1226" spans="1:4" x14ac:dyDescent="0.2">
      <c r="A1226" s="5">
        <v>1165</v>
      </c>
      <c r="B1226" s="138">
        <f>'Expenditures 15-22'!C151</f>
        <v>903938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137091</v>
      </c>
      <c r="D1229" s="2" t="str">
        <f t="shared" si="18"/>
        <v>Error?</v>
      </c>
    </row>
    <row r="1230" spans="1:4" x14ac:dyDescent="0.2">
      <c r="A1230" s="10">
        <v>1169</v>
      </c>
      <c r="D1230" s="2" t="str">
        <f t="shared" si="18"/>
        <v>OK</v>
      </c>
    </row>
    <row r="1231" spans="1:4" x14ac:dyDescent="0.2">
      <c r="A1231" s="5">
        <v>1170</v>
      </c>
      <c r="B1231" s="138">
        <f>'Expenditures 15-22'!D127</f>
        <v>137091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137091</v>
      </c>
      <c r="C1233" s="2" t="s">
        <v>573</v>
      </c>
      <c r="D1233" s="2" t="str">
        <f t="shared" si="18"/>
        <v>Error?</v>
      </c>
    </row>
    <row r="1234" spans="1:4" x14ac:dyDescent="0.2">
      <c r="A1234" s="5">
        <v>1173</v>
      </c>
      <c r="B1234" s="138">
        <f>'Expenditures 15-22'!D151</f>
        <v>137091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6132</v>
      </c>
      <c r="D1236" s="2" t="str">
        <f t="shared" si="18"/>
        <v>Error?</v>
      </c>
    </row>
    <row r="1237" spans="1:4" x14ac:dyDescent="0.2">
      <c r="A1237" s="5">
        <v>1176</v>
      </c>
      <c r="B1237" s="138">
        <f>'Expenditures 15-22'!E124</f>
        <v>240539</v>
      </c>
      <c r="D1237" s="2" t="str">
        <f t="shared" si="18"/>
        <v>Error?</v>
      </c>
    </row>
    <row r="1238" spans="1:4" x14ac:dyDescent="0.2">
      <c r="A1238" s="10">
        <v>1177</v>
      </c>
      <c r="D1238" s="2" t="str">
        <f t="shared" si="18"/>
        <v>OK</v>
      </c>
    </row>
    <row r="1239" spans="1:4" x14ac:dyDescent="0.2">
      <c r="A1239" s="5">
        <v>1178</v>
      </c>
      <c r="B1239" s="138">
        <f>'Expenditures 15-22'!E127</f>
        <v>246671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246671</v>
      </c>
      <c r="C1241" s="2" t="s">
        <v>573</v>
      </c>
      <c r="D1241" s="2" t="str">
        <f t="shared" si="18"/>
        <v>Error?</v>
      </c>
    </row>
    <row r="1242" spans="1:4" x14ac:dyDescent="0.2">
      <c r="A1242" s="5">
        <v>1181</v>
      </c>
      <c r="B1242" s="138">
        <f>'Expenditures 15-22'!E151</f>
        <v>246671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690005</v>
      </c>
      <c r="D1245" s="2" t="str">
        <f t="shared" si="18"/>
        <v>Error?</v>
      </c>
    </row>
    <row r="1246" spans="1:4" x14ac:dyDescent="0.2">
      <c r="A1246" s="10">
        <v>1185</v>
      </c>
      <c r="D1246" s="2" t="str">
        <f t="shared" si="18"/>
        <v>OK</v>
      </c>
    </row>
    <row r="1247" spans="1:4" x14ac:dyDescent="0.2">
      <c r="A1247" s="5">
        <v>1186</v>
      </c>
      <c r="B1247" s="138">
        <f>'Expenditures 15-22'!F127</f>
        <v>690005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690005</v>
      </c>
      <c r="C1249" s="2" t="s">
        <v>573</v>
      </c>
      <c r="D1249" s="2" t="str">
        <f t="shared" si="18"/>
        <v>Error?</v>
      </c>
    </row>
    <row r="1250" spans="1:4" x14ac:dyDescent="0.2">
      <c r="A1250" s="5">
        <v>1189</v>
      </c>
      <c r="B1250" s="138">
        <f>'Expenditures 15-22'!F151</f>
        <v>690005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1805</v>
      </c>
      <c r="C1258" s="2" t="s">
        <v>573</v>
      </c>
      <c r="D1258" s="2" t="str">
        <f t="shared" si="18"/>
        <v>Error?</v>
      </c>
    </row>
    <row r="1259" spans="1:4" x14ac:dyDescent="0.2">
      <c r="A1259" s="5">
        <v>1198</v>
      </c>
      <c r="B1259" s="138">
        <f>'Expenditures 15-22'!G151</f>
        <v>1805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6132</v>
      </c>
      <c r="C1275" s="2" t="s">
        <v>573</v>
      </c>
      <c r="D1275" s="2" t="str">
        <f t="shared" si="18"/>
        <v>Error?</v>
      </c>
    </row>
    <row r="1276" spans="1:4" x14ac:dyDescent="0.2">
      <c r="A1276" s="5">
        <v>1215</v>
      </c>
      <c r="B1276" s="138">
        <f>'Expenditures 15-22'!K124</f>
        <v>1976408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1982540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1982540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1982540</v>
      </c>
      <c r="C1288" s="2" t="s">
        <v>573</v>
      </c>
      <c r="D1288" s="2" t="str">
        <f t="shared" si="19"/>
        <v>Error?</v>
      </c>
    </row>
    <row r="1289" spans="1:4" x14ac:dyDescent="0.2">
      <c r="A1289" s="5">
        <v>1228</v>
      </c>
      <c r="B1289" s="138">
        <f>'Expenditures 15-22'!K152</f>
        <v>-111184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1461956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1884180</v>
      </c>
      <c r="D1315" s="2" t="str">
        <f t="shared" si="19"/>
        <v>Error?</v>
      </c>
    </row>
    <row r="1316" spans="1:4" x14ac:dyDescent="0.2">
      <c r="A1316" s="5">
        <v>1255</v>
      </c>
      <c r="B1316" s="138">
        <f>'Expenditures 15-22'!H171</f>
        <v>1272</v>
      </c>
      <c r="D1316" s="2" t="str">
        <f t="shared" si="19"/>
        <v>Error?</v>
      </c>
    </row>
    <row r="1317" spans="1:4" x14ac:dyDescent="0.2">
      <c r="A1317" s="5">
        <v>1256</v>
      </c>
      <c r="B1317" s="138">
        <f>'Expenditures 15-22'!H172</f>
        <v>3347408</v>
      </c>
      <c r="C1317" s="2" t="s">
        <v>573</v>
      </c>
      <c r="D1317" s="2" t="str">
        <f t="shared" si="19"/>
        <v>Error?</v>
      </c>
    </row>
    <row r="1318" spans="1:4" x14ac:dyDescent="0.2">
      <c r="A1318" s="5">
        <v>1257</v>
      </c>
      <c r="B1318" s="138">
        <f>'Expenditures 15-22'!H174</f>
        <v>3347408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1461956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1884180</v>
      </c>
      <c r="C1329" s="2" t="s">
        <v>573</v>
      </c>
      <c r="D1329" s="2" t="str">
        <f t="shared" si="19"/>
        <v>Error?</v>
      </c>
    </row>
    <row r="1330" spans="1:4" x14ac:dyDescent="0.2">
      <c r="A1330" s="5">
        <v>1269</v>
      </c>
      <c r="B1330" s="138">
        <f>'Expenditures 15-22'!K171</f>
        <v>1272</v>
      </c>
      <c r="C1330" s="2" t="s">
        <v>573</v>
      </c>
      <c r="D1330" s="2" t="str">
        <f t="shared" si="19"/>
        <v>Error?</v>
      </c>
    </row>
    <row r="1331" spans="1:4" x14ac:dyDescent="0.2">
      <c r="A1331" s="5">
        <v>1270</v>
      </c>
      <c r="B1331" s="138">
        <f>'Expenditures 15-22'!K172</f>
        <v>3347408</v>
      </c>
      <c r="C1331" s="2" t="s">
        <v>573</v>
      </c>
      <c r="D1331" s="2" t="str">
        <f t="shared" si="19"/>
        <v>Error?</v>
      </c>
    </row>
    <row r="1332" spans="1:4" x14ac:dyDescent="0.2">
      <c r="A1332" s="5">
        <v>1271</v>
      </c>
      <c r="B1332" s="138">
        <f>'Expenditures 15-22'!K174</f>
        <v>3347408</v>
      </c>
      <c r="C1332" s="2" t="s">
        <v>573</v>
      </c>
      <c r="D1332" s="2" t="str">
        <f t="shared" si="19"/>
        <v>Error?</v>
      </c>
    </row>
    <row r="1333" spans="1:4" x14ac:dyDescent="0.2">
      <c r="A1333" s="5">
        <v>1272</v>
      </c>
      <c r="B1333" s="138">
        <f>'Expenditures 15-22'!K175</f>
        <v>-55006</v>
      </c>
      <c r="C1333" s="2" t="s">
        <v>573</v>
      </c>
      <c r="D1333" s="2" t="str">
        <f t="shared" si="19"/>
        <v>Error?</v>
      </c>
    </row>
    <row r="1334" spans="1:4" x14ac:dyDescent="0.2">
      <c r="A1334" s="10">
        <v>1273</v>
      </c>
      <c r="D1334" s="2" t="str">
        <f t="shared" si="19"/>
        <v>OK</v>
      </c>
    </row>
    <row r="1335" spans="1:4" x14ac:dyDescent="0.2">
      <c r="A1335" s="5">
        <v>1274</v>
      </c>
      <c r="B1335" s="138">
        <f>'Expenditures 15-22'!C182</f>
        <v>20037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20037</v>
      </c>
      <c r="C1339" s="2" t="s">
        <v>573</v>
      </c>
      <c r="D1339" s="2" t="str">
        <f t="shared" si="19"/>
        <v>Error?</v>
      </c>
    </row>
    <row r="1340" spans="1:4" x14ac:dyDescent="0.2">
      <c r="A1340" s="5">
        <v>1279</v>
      </c>
      <c r="B1340" s="138">
        <f>'Expenditures 15-22'!C210</f>
        <v>20037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1721201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1721201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1721201</v>
      </c>
      <c r="C1353" s="2" t="s">
        <v>573</v>
      </c>
      <c r="D1353" s="2" t="str">
        <f t="shared" si="20"/>
        <v>Error?</v>
      </c>
    </row>
    <row r="1354" spans="1:4" x14ac:dyDescent="0.2">
      <c r="A1354" s="5">
        <v>1293</v>
      </c>
      <c r="B1354" s="138">
        <f>'Expenditures 15-22'!F182</f>
        <v>154886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154886</v>
      </c>
      <c r="C1358" s="2" t="s">
        <v>573</v>
      </c>
      <c r="D1358" s="2" t="str">
        <f t="shared" si="20"/>
        <v>Error?</v>
      </c>
    </row>
    <row r="1359" spans="1:4" x14ac:dyDescent="0.2">
      <c r="A1359" s="5">
        <v>1298</v>
      </c>
      <c r="B1359" s="138">
        <f>'Expenditures 15-22'!F210</f>
        <v>154886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1896124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1896124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1896124</v>
      </c>
      <c r="C1388" s="2" t="s">
        <v>573</v>
      </c>
      <c r="D1388" s="2" t="str">
        <f t="shared" si="20"/>
        <v>Error?</v>
      </c>
    </row>
    <row r="1389" spans="1:4" x14ac:dyDescent="0.2">
      <c r="A1389" s="5">
        <v>1328</v>
      </c>
      <c r="B1389" s="138">
        <f>'Expenditures 15-22'!K211</f>
        <v>28425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3547</v>
      </c>
      <c r="D1407" s="2" t="str">
        <f t="shared" ref="D1407:D1470" si="21">IF(ISBLANK(B1407),"OK",IF(A1407-B1407=0,"OK","Error?"))</f>
        <v>Error?</v>
      </c>
    </row>
    <row r="1408" spans="1:4" x14ac:dyDescent="0.2">
      <c r="A1408" s="5">
        <v>1347</v>
      </c>
      <c r="B1408" s="138">
        <f>'Expenditures 15-22'!D223</f>
        <v>13973</v>
      </c>
      <c r="D1408" s="2" t="str">
        <f t="shared" si="21"/>
        <v>Error?</v>
      </c>
    </row>
    <row r="1409" spans="1:4" x14ac:dyDescent="0.2">
      <c r="A1409" s="5">
        <v>1348</v>
      </c>
      <c r="B1409" s="138">
        <f>'Expenditures 15-22'!D224</f>
        <v>5</v>
      </c>
      <c r="D1409" s="2" t="str">
        <f t="shared" si="21"/>
        <v>Error?</v>
      </c>
    </row>
    <row r="1410" spans="1:4" x14ac:dyDescent="0.2">
      <c r="A1410" s="5">
        <v>1349</v>
      </c>
      <c r="B1410" s="138">
        <f>'Expenditures 15-22'!D229</f>
        <v>162768</v>
      </c>
      <c r="C1410" s="2" t="s">
        <v>573</v>
      </c>
      <c r="D1410" s="2" t="str">
        <f t="shared" si="21"/>
        <v>Error?</v>
      </c>
    </row>
    <row r="1411" spans="1:4" x14ac:dyDescent="0.2">
      <c r="A1411" s="5">
        <v>1350</v>
      </c>
      <c r="B1411" s="138">
        <f>'Expenditures 15-22'!D232</f>
        <v>2584</v>
      </c>
      <c r="D1411" s="2" t="str">
        <f t="shared" si="21"/>
        <v>Error?</v>
      </c>
    </row>
    <row r="1412" spans="1:4" x14ac:dyDescent="0.2">
      <c r="A1412" s="5">
        <v>1351</v>
      </c>
      <c r="B1412" s="138">
        <f>'Expenditures 15-22'!D233</f>
        <v>4063</v>
      </c>
      <c r="D1412" s="2" t="str">
        <f t="shared" si="21"/>
        <v>Error?</v>
      </c>
    </row>
    <row r="1413" spans="1:4" x14ac:dyDescent="0.2">
      <c r="A1413" s="5">
        <v>1352</v>
      </c>
      <c r="B1413" s="138">
        <f>'Expenditures 15-22'!D234</f>
        <v>21003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27650</v>
      </c>
      <c r="C1417" s="2" t="s">
        <v>573</v>
      </c>
      <c r="D1417" s="2" t="str">
        <f t="shared" si="21"/>
        <v>Error?</v>
      </c>
    </row>
    <row r="1418" spans="1:4" x14ac:dyDescent="0.2">
      <c r="A1418" s="5">
        <v>1357</v>
      </c>
      <c r="B1418" s="138">
        <f>'Expenditures 15-22'!D240</f>
        <v>9276</v>
      </c>
      <c r="D1418" s="2" t="str">
        <f t="shared" si="21"/>
        <v>Error?</v>
      </c>
    </row>
    <row r="1419" spans="1:4" x14ac:dyDescent="0.2">
      <c r="A1419" s="5">
        <v>1358</v>
      </c>
      <c r="B1419" s="138">
        <f>'Expenditures 15-22'!D241</f>
        <v>22952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32228</v>
      </c>
      <c r="C1421" s="2" t="s">
        <v>573</v>
      </c>
      <c r="D1421" s="2" t="str">
        <f t="shared" si="21"/>
        <v>Error?</v>
      </c>
    </row>
    <row r="1422" spans="1:4" x14ac:dyDescent="0.2">
      <c r="A1422" s="5">
        <v>1361</v>
      </c>
      <c r="B1422" s="138">
        <f>'Expenditures 15-22'!D245</f>
        <v>390</v>
      </c>
      <c r="D1422" s="2" t="str">
        <f t="shared" si="21"/>
        <v>Error?</v>
      </c>
    </row>
    <row r="1423" spans="1:4" x14ac:dyDescent="0.2">
      <c r="A1423" s="5">
        <v>1362</v>
      </c>
      <c r="B1423" s="138">
        <f>'Expenditures 15-22'!D246</f>
        <v>1968</v>
      </c>
      <c r="D1423" s="2" t="str">
        <f t="shared" si="21"/>
        <v>Error?</v>
      </c>
    </row>
    <row r="1424" spans="1:4" x14ac:dyDescent="0.2">
      <c r="A1424" s="5">
        <v>1363</v>
      </c>
      <c r="B1424" s="138">
        <f>'Expenditures 15-22'!D257</f>
        <v>3244</v>
      </c>
      <c r="C1424" s="2" t="s">
        <v>573</v>
      </c>
      <c r="D1424" s="2" t="str">
        <f t="shared" si="21"/>
        <v>Error?</v>
      </c>
    </row>
    <row r="1425" spans="1:4" x14ac:dyDescent="0.2">
      <c r="A1425" s="5">
        <v>1364</v>
      </c>
      <c r="B1425" s="138">
        <f>'Expenditures 15-22'!D259</f>
        <v>66716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66716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30161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161554</v>
      </c>
      <c r="D1431" s="2" t="str">
        <f t="shared" si="21"/>
        <v>Error?</v>
      </c>
    </row>
    <row r="1432" spans="1:4" x14ac:dyDescent="0.2">
      <c r="A1432" s="5">
        <v>1371</v>
      </c>
      <c r="B1432" s="138">
        <f>'Expenditures 15-22'!D267</f>
        <v>3334</v>
      </c>
      <c r="D1432" s="2" t="str">
        <f t="shared" si="21"/>
        <v>Error?</v>
      </c>
    </row>
    <row r="1433" spans="1:4" x14ac:dyDescent="0.2">
      <c r="A1433" s="5">
        <v>1372</v>
      </c>
      <c r="B1433" s="138">
        <f>'Expenditures 15-22'!D268</f>
        <v>67487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262536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935</v>
      </c>
      <c r="D1445" s="2" t="str">
        <f t="shared" si="21"/>
        <v>Error?</v>
      </c>
    </row>
    <row r="1446" spans="1:4" x14ac:dyDescent="0.2">
      <c r="A1446" s="5">
        <v>1385</v>
      </c>
      <c r="B1446" s="138">
        <f>'Expenditures 15-22'!D279</f>
        <v>393309</v>
      </c>
      <c r="C1446" s="2" t="s">
        <v>573</v>
      </c>
      <c r="D1446" s="2" t="str">
        <f t="shared" si="21"/>
        <v>Error?</v>
      </c>
    </row>
    <row r="1447" spans="1:4" x14ac:dyDescent="0.2">
      <c r="A1447" s="5">
        <v>1386</v>
      </c>
      <c r="B1447" s="138">
        <f>'Expenditures 15-22'!D280</f>
        <v>16310</v>
      </c>
      <c r="D1447" s="2" t="str">
        <f t="shared" si="21"/>
        <v>Error?</v>
      </c>
    </row>
    <row r="1448" spans="1:4" x14ac:dyDescent="0.2">
      <c r="A1448" s="5">
        <v>1387</v>
      </c>
      <c r="B1448" s="138">
        <f>'Expenditures 15-22'!D295</f>
        <v>606726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3547</v>
      </c>
      <c r="C1471" s="2" t="s">
        <v>573</v>
      </c>
      <c r="D1471" s="2" t="str">
        <f t="shared" ref="D1471:D1534" si="22">IF(ISBLANK(B1471),"OK",IF(A1471-B1471=0,"OK","Error?"))</f>
        <v>Error?</v>
      </c>
    </row>
    <row r="1472" spans="1:4" x14ac:dyDescent="0.2">
      <c r="A1472" s="5">
        <v>1411</v>
      </c>
      <c r="B1472" s="138">
        <f>'Expenditures 15-22'!K223</f>
        <v>13973</v>
      </c>
      <c r="C1472" s="2" t="s">
        <v>573</v>
      </c>
      <c r="D1472" s="2" t="str">
        <f t="shared" si="22"/>
        <v>Error?</v>
      </c>
    </row>
    <row r="1473" spans="1:4" x14ac:dyDescent="0.2">
      <c r="A1473" s="5">
        <v>1412</v>
      </c>
      <c r="B1473" s="138">
        <f>'Expenditures 15-22'!K224</f>
        <v>5</v>
      </c>
      <c r="C1473" s="2" t="s">
        <v>573</v>
      </c>
      <c r="D1473" s="2" t="str">
        <f t="shared" si="22"/>
        <v>Error?</v>
      </c>
    </row>
    <row r="1474" spans="1:4" x14ac:dyDescent="0.2">
      <c r="A1474" s="5">
        <v>1413</v>
      </c>
      <c r="B1474" s="138">
        <f>'Expenditures 15-22'!K229</f>
        <v>162768</v>
      </c>
      <c r="C1474" s="2" t="s">
        <v>573</v>
      </c>
      <c r="D1474" s="2" t="str">
        <f t="shared" si="22"/>
        <v>Error?</v>
      </c>
    </row>
    <row r="1475" spans="1:4" x14ac:dyDescent="0.2">
      <c r="A1475" s="5">
        <v>1414</v>
      </c>
      <c r="B1475" s="138">
        <f>'Expenditures 15-22'!K232</f>
        <v>2584</v>
      </c>
      <c r="C1475" s="2" t="s">
        <v>573</v>
      </c>
      <c r="D1475" s="2" t="str">
        <f t="shared" si="22"/>
        <v>Error?</v>
      </c>
    </row>
    <row r="1476" spans="1:4" x14ac:dyDescent="0.2">
      <c r="A1476" s="5">
        <v>1415</v>
      </c>
      <c r="B1476" s="138">
        <f>'Expenditures 15-22'!K233</f>
        <v>4063</v>
      </c>
      <c r="C1476" s="2" t="s">
        <v>573</v>
      </c>
      <c r="D1476" s="2" t="str">
        <f t="shared" si="22"/>
        <v>Error?</v>
      </c>
    </row>
    <row r="1477" spans="1:4" x14ac:dyDescent="0.2">
      <c r="A1477" s="5">
        <v>1416</v>
      </c>
      <c r="B1477" s="138">
        <f>'Expenditures 15-22'!K234</f>
        <v>21003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27650</v>
      </c>
      <c r="C1481" s="2" t="s">
        <v>573</v>
      </c>
      <c r="D1481" s="2" t="str">
        <f t="shared" si="22"/>
        <v>Error?</v>
      </c>
    </row>
    <row r="1482" spans="1:4" x14ac:dyDescent="0.2">
      <c r="A1482" s="5">
        <v>1421</v>
      </c>
      <c r="B1482" s="138">
        <f>'Expenditures 15-22'!K240</f>
        <v>9276</v>
      </c>
      <c r="C1482" s="2" t="s">
        <v>573</v>
      </c>
      <c r="D1482" s="2" t="str">
        <f t="shared" si="22"/>
        <v>Error?</v>
      </c>
    </row>
    <row r="1483" spans="1:4" x14ac:dyDescent="0.2">
      <c r="A1483" s="5">
        <v>1422</v>
      </c>
      <c r="B1483" s="138">
        <f>'Expenditures 15-22'!K241</f>
        <v>22952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32228</v>
      </c>
      <c r="C1485" s="2" t="s">
        <v>573</v>
      </c>
      <c r="D1485" s="2" t="str">
        <f t="shared" si="22"/>
        <v>Error?</v>
      </c>
    </row>
    <row r="1486" spans="1:4" x14ac:dyDescent="0.2">
      <c r="A1486" s="5">
        <v>1425</v>
      </c>
      <c r="B1486" s="138">
        <f>'Expenditures 15-22'!K245</f>
        <v>390</v>
      </c>
      <c r="C1486" s="2" t="s">
        <v>573</v>
      </c>
      <c r="D1486" s="2" t="str">
        <f t="shared" si="22"/>
        <v>Error?</v>
      </c>
    </row>
    <row r="1487" spans="1:4" x14ac:dyDescent="0.2">
      <c r="A1487" s="5">
        <v>1426</v>
      </c>
      <c r="B1487" s="138">
        <f>'Expenditures 15-22'!K246</f>
        <v>1968</v>
      </c>
      <c r="C1487" s="2" t="s">
        <v>573</v>
      </c>
      <c r="D1487" s="2" t="str">
        <f t="shared" si="22"/>
        <v>Error?</v>
      </c>
    </row>
    <row r="1488" spans="1:4" x14ac:dyDescent="0.2">
      <c r="A1488" s="5">
        <v>1427</v>
      </c>
      <c r="B1488" s="138">
        <f>'Expenditures 15-22'!K257</f>
        <v>3244</v>
      </c>
      <c r="C1488" s="2" t="s">
        <v>573</v>
      </c>
      <c r="D1488" s="2" t="str">
        <f t="shared" si="22"/>
        <v>Error?</v>
      </c>
    </row>
    <row r="1489" spans="1:4" x14ac:dyDescent="0.2">
      <c r="A1489" s="5">
        <v>1428</v>
      </c>
      <c r="B1489" s="138">
        <f>'Expenditures 15-22'!K259</f>
        <v>66716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66716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30161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161554</v>
      </c>
      <c r="C1495" s="2" t="s">
        <v>573</v>
      </c>
      <c r="D1495" s="2" t="str">
        <f t="shared" si="22"/>
        <v>Error?</v>
      </c>
    </row>
    <row r="1496" spans="1:4" x14ac:dyDescent="0.2">
      <c r="A1496" s="5">
        <v>1435</v>
      </c>
      <c r="B1496" s="138">
        <f>'Expenditures 15-22'!K267</f>
        <v>3334</v>
      </c>
      <c r="C1496" s="2" t="s">
        <v>573</v>
      </c>
      <c r="D1496" s="2" t="str">
        <f t="shared" si="22"/>
        <v>Error?</v>
      </c>
    </row>
    <row r="1497" spans="1:4" x14ac:dyDescent="0.2">
      <c r="A1497" s="5">
        <v>1436</v>
      </c>
      <c r="B1497" s="138">
        <f>'Expenditures 15-22'!K268</f>
        <v>67487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262536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935</v>
      </c>
      <c r="C1509" s="2" t="s">
        <v>573</v>
      </c>
      <c r="D1509" s="2" t="str">
        <f t="shared" si="22"/>
        <v>Error?</v>
      </c>
    </row>
    <row r="1510" spans="1:4" x14ac:dyDescent="0.2">
      <c r="A1510" s="5">
        <v>1449</v>
      </c>
      <c r="B1510" s="138">
        <f>'Expenditures 15-22'!K279</f>
        <v>393309</v>
      </c>
      <c r="C1510" s="2" t="s">
        <v>573</v>
      </c>
      <c r="D1510" s="2" t="str">
        <f t="shared" si="22"/>
        <v>Error?</v>
      </c>
    </row>
    <row r="1511" spans="1:4" x14ac:dyDescent="0.2">
      <c r="A1511" s="5">
        <v>1450</v>
      </c>
      <c r="B1511" s="138">
        <f>'Expenditures 15-22'!K280</f>
        <v>16310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606726</v>
      </c>
      <c r="C1517" s="2" t="s">
        <v>573</v>
      </c>
      <c r="D1517" s="2" t="str">
        <f t="shared" si="22"/>
        <v>Error?</v>
      </c>
    </row>
    <row r="1518" spans="1:4" x14ac:dyDescent="0.2">
      <c r="A1518" s="5">
        <v>1457</v>
      </c>
      <c r="B1518" s="138">
        <f>'Expenditures 15-22'!K296</f>
        <v>30069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118437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118437</v>
      </c>
      <c r="C1535" s="2" t="s">
        <v>573</v>
      </c>
      <c r="D1535" s="2" t="str">
        <f t="shared" ref="D1535:D1598" si="23">IF(ISBLANK(B1535),"OK",IF(A1535-B1535=0,"OK","Error?"))</f>
        <v>Error?</v>
      </c>
    </row>
    <row r="1536" spans="1:4" x14ac:dyDescent="0.2">
      <c r="A1536" s="5">
        <v>1475</v>
      </c>
      <c r="B1536" s="138">
        <f>'Expenditures 15-22'!E312</f>
        <v>118437</v>
      </c>
      <c r="C1536" s="2" t="s">
        <v>573</v>
      </c>
      <c r="D1536" s="2" t="str">
        <f t="shared" si="23"/>
        <v>Error?</v>
      </c>
    </row>
    <row r="1537" spans="1:4" x14ac:dyDescent="0.2">
      <c r="A1537" s="5">
        <v>1476</v>
      </c>
      <c r="B1537" s="138">
        <f>'Expenditures 15-22'!F301</f>
        <v>8648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8648</v>
      </c>
      <c r="C1541" s="2" t="s">
        <v>573</v>
      </c>
      <c r="D1541" s="2" t="str">
        <f t="shared" si="23"/>
        <v>Error?</v>
      </c>
    </row>
    <row r="1542" spans="1:4" x14ac:dyDescent="0.2">
      <c r="A1542" s="5">
        <v>1481</v>
      </c>
      <c r="B1542" s="138">
        <f>'Expenditures 15-22'!F312</f>
        <v>8648</v>
      </c>
      <c r="C1542" s="2" t="s">
        <v>573</v>
      </c>
      <c r="D1542" s="2" t="str">
        <f t="shared" si="23"/>
        <v>Error?</v>
      </c>
    </row>
    <row r="1543" spans="1:4" x14ac:dyDescent="0.2">
      <c r="A1543" s="5">
        <v>1482</v>
      </c>
      <c r="B1543" s="138">
        <f>'Expenditures 15-22'!G301</f>
        <v>2641552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2641552</v>
      </c>
      <c r="C1547" s="2" t="s">
        <v>573</v>
      </c>
      <c r="D1547" s="2" t="str">
        <f t="shared" si="23"/>
        <v>Error?</v>
      </c>
    </row>
    <row r="1548" spans="1:4" x14ac:dyDescent="0.2">
      <c r="A1548" s="5">
        <v>1487</v>
      </c>
      <c r="B1548" s="138">
        <f>'Expenditures 15-22'!G312</f>
        <v>2641552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2768637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2768637</v>
      </c>
      <c r="C1559" s="2" t="s">
        <v>573</v>
      </c>
      <c r="D1559" s="2" t="str">
        <f t="shared" si="23"/>
        <v>Error?</v>
      </c>
    </row>
    <row r="1560" spans="1:4" x14ac:dyDescent="0.2">
      <c r="A1560" s="5">
        <v>1499</v>
      </c>
      <c r="B1560" s="138">
        <f>'Expenditures 15-22'!K312</f>
        <v>2768637</v>
      </c>
      <c r="C1560" s="2" t="s">
        <v>573</v>
      </c>
      <c r="D1560" s="2" t="str">
        <f t="shared" si="23"/>
        <v>Error?</v>
      </c>
    </row>
    <row r="1561" spans="1:4" x14ac:dyDescent="0.2">
      <c r="A1561" s="5">
        <v>1500</v>
      </c>
      <c r="B1561" s="138">
        <f>'Expenditures 15-22'!K313</f>
        <v>-2104704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5440735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6114147</v>
      </c>
      <c r="C1630" s="2" t="s">
        <v>573</v>
      </c>
      <c r="D1630" s="2" t="str">
        <f t="shared" si="24"/>
        <v>Error?</v>
      </c>
    </row>
    <row r="1631" spans="1:4" x14ac:dyDescent="0.2">
      <c r="A1631" s="5">
        <v>1570</v>
      </c>
      <c r="B1631" s="138">
        <f>'Acct Summary 7-8'!D79</f>
        <v>2588667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2487059</v>
      </c>
      <c r="C1644" s="2" t="s">
        <v>573</v>
      </c>
      <c r="D1644" s="2" t="str">
        <f t="shared" si="24"/>
        <v>Error?</v>
      </c>
    </row>
    <row r="1645" spans="1:4" x14ac:dyDescent="0.2">
      <c r="A1645" s="5">
        <v>1584</v>
      </c>
      <c r="B1645" s="138">
        <f>'Acct Summary 7-8'!E79</f>
        <v>1712763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1708175</v>
      </c>
      <c r="C1658" s="2" t="s">
        <v>573</v>
      </c>
      <c r="D1658" s="2" t="str">
        <f t="shared" si="24"/>
        <v>Error?</v>
      </c>
    </row>
    <row r="1659" spans="1:4" x14ac:dyDescent="0.2">
      <c r="A1659" s="5">
        <v>1598</v>
      </c>
      <c r="B1659" s="138">
        <f>'Acct Summary 7-8'!F79</f>
        <v>1371820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1400245</v>
      </c>
      <c r="C1672" s="2" t="s">
        <v>573</v>
      </c>
      <c r="D1672" s="2" t="str">
        <f t="shared" si="25"/>
        <v>Error?</v>
      </c>
    </row>
    <row r="1673" spans="1:4" x14ac:dyDescent="0.2">
      <c r="A1673" s="5">
        <v>1612</v>
      </c>
      <c r="B1673" s="138">
        <f>'Acct Summary 7-8'!G79</f>
        <v>920996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951065</v>
      </c>
      <c r="C1686" s="2" t="s">
        <v>573</v>
      </c>
      <c r="D1686" s="2" t="str">
        <f t="shared" si="25"/>
        <v>Error?</v>
      </c>
    </row>
    <row r="1687" spans="1:4" x14ac:dyDescent="0.2">
      <c r="A1687" s="5">
        <v>1626</v>
      </c>
      <c r="B1687" s="138">
        <f>'Acct Summary 7-8'!H79</f>
        <v>3561116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1456412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8690439</v>
      </c>
      <c r="C1744" s="2" t="s">
        <v>573</v>
      </c>
      <c r="D1744" s="2" t="str">
        <f t="shared" si="26"/>
        <v>Error?</v>
      </c>
    </row>
    <row r="1745" spans="1:5" x14ac:dyDescent="0.2">
      <c r="A1745" s="5">
        <v>1684</v>
      </c>
      <c r="B1745" s="138">
        <f>'Tax Sched 23'!B5</f>
        <v>1849029</v>
      </c>
      <c r="C1745" s="2" t="s">
        <v>573</v>
      </c>
      <c r="D1745" s="2" t="str">
        <f t="shared" si="26"/>
        <v>Error?</v>
      </c>
    </row>
    <row r="1746" spans="1:5" x14ac:dyDescent="0.2">
      <c r="A1746" s="5">
        <v>1685</v>
      </c>
      <c r="B1746" s="138">
        <f>'Tax Sched 23'!B6</f>
        <v>2680919</v>
      </c>
      <c r="C1746" s="2" t="s">
        <v>573</v>
      </c>
      <c r="D1746" s="2" t="str">
        <f t="shared" si="26"/>
        <v>Error?</v>
      </c>
    </row>
    <row r="1747" spans="1:5" x14ac:dyDescent="0.2">
      <c r="A1747" s="5">
        <v>1686</v>
      </c>
      <c r="B1747" s="138">
        <f>'Tax Sched 23'!B7</f>
        <v>739613</v>
      </c>
      <c r="C1747" s="2" t="s">
        <v>573</v>
      </c>
      <c r="D1747" s="2" t="str">
        <f t="shared" si="26"/>
        <v>Error?</v>
      </c>
    </row>
    <row r="1748" spans="1:5" x14ac:dyDescent="0.2">
      <c r="A1748" s="5">
        <v>1687</v>
      </c>
      <c r="B1748" s="138">
        <f>'Tax Sched 23'!B8</f>
        <v>297433</v>
      </c>
      <c r="C1748" s="2" t="s">
        <v>573</v>
      </c>
      <c r="D1748" s="2" t="str">
        <f t="shared" si="26"/>
        <v>Error?</v>
      </c>
    </row>
    <row r="1749" spans="1:5" x14ac:dyDescent="0.2">
      <c r="A1749" s="5">
        <v>1688</v>
      </c>
      <c r="B1749" s="138">
        <f>'Tax Sched 23'!B10</f>
        <v>184903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812904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147922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15738779</v>
      </c>
      <c r="C1759" s="2" t="s">
        <v>573</v>
      </c>
      <c r="D1759" s="2" t="str">
        <f t="shared" si="26"/>
        <v>Error?</v>
      </c>
    </row>
    <row r="1760" spans="1:5" x14ac:dyDescent="0.2">
      <c r="A1760" s="5">
        <v>1699</v>
      </c>
      <c r="B1760" s="138">
        <f>'Tax Sched 23'!D4</f>
        <v>3668069</v>
      </c>
      <c r="C1760" s="2" t="s">
        <v>573</v>
      </c>
      <c r="D1760" s="2" t="str">
        <f t="shared" si="26"/>
        <v>Error?</v>
      </c>
    </row>
    <row r="1761" spans="1:5" x14ac:dyDescent="0.2">
      <c r="A1761" s="5">
        <v>1700</v>
      </c>
      <c r="B1761" s="138">
        <f>'Tax Sched 23'!D5</f>
        <v>780440</v>
      </c>
      <c r="C1761" s="2" t="s">
        <v>573</v>
      </c>
      <c r="D1761" s="2" t="str">
        <f t="shared" si="26"/>
        <v>Error?</v>
      </c>
    </row>
    <row r="1762" spans="1:5" s="8" customFormat="1" x14ac:dyDescent="0.2">
      <c r="A1762" s="5">
        <v>1701</v>
      </c>
      <c r="B1762" s="138">
        <f>'Tax Sched 23'!D6</f>
        <v>1058801</v>
      </c>
      <c r="C1762" s="2" t="s">
        <v>573</v>
      </c>
      <c r="D1762" s="2" t="str">
        <f t="shared" si="26"/>
        <v>Error?</v>
      </c>
      <c r="E1762" s="9"/>
    </row>
    <row r="1763" spans="1:5" x14ac:dyDescent="0.2">
      <c r="A1763" s="5">
        <v>1702</v>
      </c>
      <c r="B1763" s="138">
        <f>'Tax Sched 23'!D7</f>
        <v>312177</v>
      </c>
      <c r="C1763" s="2" t="s">
        <v>573</v>
      </c>
      <c r="D1763" s="2" t="str">
        <f t="shared" si="26"/>
        <v>Error?</v>
      </c>
    </row>
    <row r="1764" spans="1:5" x14ac:dyDescent="0.2">
      <c r="A1764" s="5">
        <v>1703</v>
      </c>
      <c r="B1764" s="138">
        <f>'Tax Sched 23'!D8</f>
        <v>140137</v>
      </c>
      <c r="C1764" s="2" t="s">
        <v>573</v>
      </c>
      <c r="D1764" s="2" t="str">
        <f t="shared" si="26"/>
        <v>Error?</v>
      </c>
    </row>
    <row r="1765" spans="1:5" x14ac:dyDescent="0.2">
      <c r="A1765" s="5">
        <v>1704</v>
      </c>
      <c r="B1765" s="138">
        <f>'Tax Sched 23'!D10</f>
        <v>78044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312591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62435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6585245</v>
      </c>
      <c r="C1775" s="2" t="s">
        <v>573</v>
      </c>
      <c r="D1775" s="2" t="str">
        <f t="shared" si="26"/>
        <v>Error?</v>
      </c>
    </row>
    <row r="1776" spans="1:5" x14ac:dyDescent="0.2">
      <c r="A1776" s="5">
        <v>1715</v>
      </c>
      <c r="B1776" s="138">
        <f>'Tax Sched 23'!C4</f>
        <v>5022370</v>
      </c>
      <c r="D1776" s="2" t="str">
        <f t="shared" si="26"/>
        <v>Error?</v>
      </c>
    </row>
    <row r="1777" spans="1:4" x14ac:dyDescent="0.2">
      <c r="A1777" s="5">
        <v>1716</v>
      </c>
      <c r="B1777" s="138">
        <f>'Tax Sched 23'!C5</f>
        <v>1068589</v>
      </c>
      <c r="D1777" s="2" t="str">
        <f t="shared" si="26"/>
        <v>Error?</v>
      </c>
    </row>
    <row r="1778" spans="1:4" x14ac:dyDescent="0.2">
      <c r="A1778" s="5">
        <v>1717</v>
      </c>
      <c r="B1778" s="138">
        <f>'Tax Sched 23'!C6</f>
        <v>1622118</v>
      </c>
      <c r="D1778" s="2" t="str">
        <f t="shared" si="26"/>
        <v>Error?</v>
      </c>
    </row>
    <row r="1779" spans="1:4" x14ac:dyDescent="0.2">
      <c r="A1779" s="5">
        <v>1718</v>
      </c>
      <c r="B1779" s="138">
        <f>'Tax Sched 23'!C7</f>
        <v>427436</v>
      </c>
      <c r="D1779" s="2" t="str">
        <f t="shared" si="26"/>
        <v>Error?</v>
      </c>
    </row>
    <row r="1780" spans="1:4" x14ac:dyDescent="0.2">
      <c r="A1780" s="5">
        <v>1719</v>
      </c>
      <c r="B1780" s="138">
        <f>'Tax Sched 23'!C8</f>
        <v>157296</v>
      </c>
      <c r="D1780" s="2" t="str">
        <f t="shared" si="26"/>
        <v>Error?</v>
      </c>
    </row>
    <row r="1781" spans="1:4" x14ac:dyDescent="0.2">
      <c r="A1781" s="5">
        <v>1720</v>
      </c>
      <c r="B1781" s="138">
        <f>'Tax Sched 23'!C10</f>
        <v>106859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500313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85487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9153534</v>
      </c>
      <c r="C1791" s="2" t="s">
        <v>573</v>
      </c>
      <c r="D1791" s="2" t="str">
        <f t="shared" ref="D1791:D1854" si="27">IF(ISBLANK(B1791),"OK",IF(A1791-B1791=0,"OK","Error?"))</f>
        <v>Error?</v>
      </c>
    </row>
    <row r="1792" spans="1:4" x14ac:dyDescent="0.2">
      <c r="A1792" s="5">
        <v>1731</v>
      </c>
      <c r="B1792" s="138">
        <f>'Tax Sched 23'!F4</f>
        <v>3763206</v>
      </c>
      <c r="C1792" s="2" t="s">
        <v>573</v>
      </c>
      <c r="D1792" s="2" t="str">
        <f t="shared" si="27"/>
        <v>Error?</v>
      </c>
    </row>
    <row r="1793" spans="1:4" x14ac:dyDescent="0.2">
      <c r="A1793" s="5">
        <v>1732</v>
      </c>
      <c r="B1793" s="138">
        <f>'Tax Sched 23'!F5</f>
        <v>800683</v>
      </c>
      <c r="C1793" s="2" t="s">
        <v>573</v>
      </c>
      <c r="D1793" s="2" t="str">
        <f t="shared" si="27"/>
        <v>Error?</v>
      </c>
    </row>
    <row r="1794" spans="1:4" x14ac:dyDescent="0.2">
      <c r="A1794" s="5">
        <v>1733</v>
      </c>
      <c r="B1794" s="138">
        <f>'Tax Sched 23'!F6</f>
        <v>1215436</v>
      </c>
      <c r="C1794" s="2" t="s">
        <v>573</v>
      </c>
      <c r="D1794" s="2" t="str">
        <f t="shared" si="27"/>
        <v>Error?</v>
      </c>
    </row>
    <row r="1795" spans="1:4" x14ac:dyDescent="0.2">
      <c r="A1795" s="5">
        <v>1734</v>
      </c>
      <c r="B1795" s="138">
        <f>'Tax Sched 23'!F7</f>
        <v>320273</v>
      </c>
      <c r="C1795" s="2" t="s">
        <v>573</v>
      </c>
      <c r="D1795" s="2" t="str">
        <f t="shared" si="27"/>
        <v>Error?</v>
      </c>
    </row>
    <row r="1796" spans="1:4" x14ac:dyDescent="0.2">
      <c r="A1796" s="5">
        <v>1735</v>
      </c>
      <c r="B1796" s="138">
        <f>'Tax Sched 23'!F8</f>
        <v>117861</v>
      </c>
      <c r="C1796" s="2" t="s">
        <v>573</v>
      </c>
      <c r="D1796" s="2" t="str">
        <f t="shared" si="27"/>
        <v>Error?</v>
      </c>
    </row>
    <row r="1797" spans="1:4" x14ac:dyDescent="0.2">
      <c r="A1797" s="5">
        <v>1736</v>
      </c>
      <c r="B1797" s="138">
        <f>'Tax Sched 23'!F10</f>
        <v>80068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374880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64055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6858647</v>
      </c>
      <c r="C1807" s="2" t="s">
        <v>573</v>
      </c>
      <c r="D1807" s="2" t="str">
        <f t="shared" si="27"/>
        <v>Error?</v>
      </c>
    </row>
    <row r="1808" spans="1:4" x14ac:dyDescent="0.2">
      <c r="A1808" s="5">
        <v>1747</v>
      </c>
      <c r="B1808" s="138">
        <f>'Tax Sched 23'!E4</f>
        <v>8785576</v>
      </c>
      <c r="D1808" s="2" t="str">
        <f t="shared" si="27"/>
        <v>Error?</v>
      </c>
    </row>
    <row r="1809" spans="1:4" x14ac:dyDescent="0.2">
      <c r="A1809" s="5">
        <v>1748</v>
      </c>
      <c r="B1809" s="138">
        <f>'Tax Sched 23'!E5</f>
        <v>1869272</v>
      </c>
      <c r="D1809" s="2" t="str">
        <f t="shared" si="27"/>
        <v>Error?</v>
      </c>
    </row>
    <row r="1810" spans="1:4" x14ac:dyDescent="0.2">
      <c r="A1810" s="5">
        <v>1749</v>
      </c>
      <c r="B1810" s="138">
        <f>'Tax Sched 23'!E6</f>
        <v>2837554</v>
      </c>
      <c r="D1810" s="2" t="str">
        <f t="shared" si="27"/>
        <v>Error?</v>
      </c>
    </row>
    <row r="1811" spans="1:4" x14ac:dyDescent="0.2">
      <c r="A1811" s="5">
        <v>1750</v>
      </c>
      <c r="B1811" s="138">
        <f>'Tax Sched 23'!E7</f>
        <v>747709</v>
      </c>
      <c r="D1811" s="2" t="str">
        <f t="shared" si="27"/>
        <v>Error?</v>
      </c>
    </row>
    <row r="1812" spans="1:4" x14ac:dyDescent="0.2">
      <c r="A1812" s="5">
        <v>1751</v>
      </c>
      <c r="B1812" s="138">
        <f>'Tax Sched 23'!E8</f>
        <v>275157</v>
      </c>
      <c r="D1812" s="2" t="str">
        <f t="shared" si="27"/>
        <v>Error?</v>
      </c>
    </row>
    <row r="1813" spans="1:4" x14ac:dyDescent="0.2">
      <c r="A1813" s="5">
        <v>1752</v>
      </c>
      <c r="B1813" s="138">
        <f>'Tax Sched 23'!E10</f>
        <v>186927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875193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149542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16012181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38112467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147922</v>
      </c>
      <c r="D1972" s="2" t="str">
        <f t="shared" si="29"/>
        <v>Error?</v>
      </c>
    </row>
    <row r="1973" spans="1:5" x14ac:dyDescent="0.2">
      <c r="A1973" s="5">
        <v>1912</v>
      </c>
      <c r="B1973" s="138">
        <f>'Rest Tax Levies-Tort Im 25'!H6</f>
        <v>40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147962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147962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542305</v>
      </c>
      <c r="D2008" s="2" t="str">
        <f t="shared" si="30"/>
        <v>Error?</v>
      </c>
    </row>
    <row r="2009" spans="1:4" x14ac:dyDescent="0.2">
      <c r="A2009" s="5">
        <v>1948</v>
      </c>
      <c r="B2009" s="138">
        <f>'Cap Outlay Deprec 26'!C8</f>
        <v>57038026</v>
      </c>
      <c r="D2009" s="2" t="str">
        <f t="shared" si="30"/>
        <v>Error?</v>
      </c>
    </row>
    <row r="2010" spans="1:4" x14ac:dyDescent="0.2">
      <c r="A2010" s="5">
        <v>1949</v>
      </c>
      <c r="B2010" s="138">
        <f>'Cap Outlay Deprec 26'!C10</f>
        <v>641642</v>
      </c>
      <c r="D2010" s="2" t="str">
        <f t="shared" si="30"/>
        <v>Error?</v>
      </c>
    </row>
    <row r="2011" spans="1:4" x14ac:dyDescent="0.2">
      <c r="A2011" s="5">
        <v>1950</v>
      </c>
      <c r="B2011" s="138">
        <f>'Cap Outlay Deprec 26'!C12</f>
        <v>2516822</v>
      </c>
      <c r="D2011" s="2" t="str">
        <f t="shared" si="30"/>
        <v>Error?</v>
      </c>
    </row>
    <row r="2012" spans="1:4" x14ac:dyDescent="0.2">
      <c r="A2012" s="5">
        <v>1951</v>
      </c>
      <c r="B2012" s="138">
        <f>'Cap Outlay Deprec 26'!C13</f>
        <v>65856</v>
      </c>
      <c r="D2012" s="2" t="str">
        <f t="shared" si="30"/>
        <v>Error?</v>
      </c>
    </row>
    <row r="2013" spans="1:4" x14ac:dyDescent="0.2">
      <c r="A2013" s="5">
        <v>1952</v>
      </c>
      <c r="B2013" s="138">
        <f>'Cap Outlay Deprec 26'!C16</f>
        <v>61384326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3166709</v>
      </c>
      <c r="D2015" s="2" t="str">
        <f t="shared" si="30"/>
        <v>Error?</v>
      </c>
    </row>
    <row r="2016" spans="1:4" x14ac:dyDescent="0.2">
      <c r="A2016" s="5">
        <v>1955</v>
      </c>
      <c r="B2016" s="138">
        <f>'Cap Outlay Deprec 26'!D10</f>
        <v>754253</v>
      </c>
      <c r="D2016" s="2" t="str">
        <f t="shared" si="30"/>
        <v>Error?</v>
      </c>
    </row>
    <row r="2017" spans="1:4" x14ac:dyDescent="0.2">
      <c r="A2017" s="5">
        <v>1956</v>
      </c>
      <c r="B2017" s="138">
        <f>'Cap Outlay Deprec 26'!D12</f>
        <v>14982</v>
      </c>
      <c r="D2017" s="2" t="str">
        <f t="shared" si="30"/>
        <v>Error?</v>
      </c>
    </row>
    <row r="2018" spans="1:4" x14ac:dyDescent="0.2">
      <c r="A2018" s="5">
        <v>1957</v>
      </c>
      <c r="B2018" s="138">
        <f>'Cap Outlay Deprec 26'!D13</f>
        <v>1805</v>
      </c>
      <c r="D2018" s="2" t="str">
        <f t="shared" si="30"/>
        <v>Error?</v>
      </c>
    </row>
    <row r="2019" spans="1:4" x14ac:dyDescent="0.2">
      <c r="A2019" s="5">
        <v>1958</v>
      </c>
      <c r="B2019" s="138">
        <f>'Cap Outlay Deprec 26'!D16</f>
        <v>3937749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126581</v>
      </c>
      <c r="D2023" s="2" t="str">
        <f t="shared" si="30"/>
        <v>Error?</v>
      </c>
    </row>
    <row r="2024" spans="1:4" x14ac:dyDescent="0.2">
      <c r="A2024" s="5">
        <v>1963</v>
      </c>
      <c r="B2024" s="138">
        <f>'Cap Outlay Deprec 26'!E13</f>
        <v>16345</v>
      </c>
      <c r="D2024" s="2" t="str">
        <f t="shared" si="30"/>
        <v>Error?</v>
      </c>
    </row>
    <row r="2025" spans="1:4" x14ac:dyDescent="0.2">
      <c r="A2025" s="5">
        <v>1964</v>
      </c>
      <c r="B2025" s="138">
        <f>'Cap Outlay Deprec 26'!E16</f>
        <v>647368</v>
      </c>
      <c r="C2025" s="2" t="s">
        <v>573</v>
      </c>
      <c r="D2025" s="2" t="str">
        <f t="shared" si="30"/>
        <v>Error?</v>
      </c>
    </row>
    <row r="2026" spans="1:4" x14ac:dyDescent="0.2">
      <c r="A2026" s="5">
        <v>1965</v>
      </c>
      <c r="B2026" s="138">
        <f>'Cap Outlay Deprec 26'!F5</f>
        <v>542305</v>
      </c>
      <c r="C2026" s="2" t="s">
        <v>573</v>
      </c>
      <c r="D2026" s="2" t="str">
        <f t="shared" si="30"/>
        <v>Error?</v>
      </c>
    </row>
    <row r="2027" spans="1:4" x14ac:dyDescent="0.2">
      <c r="A2027" s="5">
        <v>1966</v>
      </c>
      <c r="B2027" s="138">
        <f>'Cap Outlay Deprec 26'!F8</f>
        <v>60204735</v>
      </c>
      <c r="C2027" s="2" t="s">
        <v>573</v>
      </c>
      <c r="D2027" s="2" t="str">
        <f t="shared" si="30"/>
        <v>Error?</v>
      </c>
    </row>
    <row r="2028" spans="1:4" x14ac:dyDescent="0.2">
      <c r="A2028" s="5">
        <v>1967</v>
      </c>
      <c r="B2028" s="138">
        <f>'Cap Outlay Deprec 26'!F10</f>
        <v>1395895</v>
      </c>
      <c r="C2028" s="2" t="s">
        <v>573</v>
      </c>
      <c r="D2028" s="2" t="str">
        <f t="shared" si="30"/>
        <v>Error?</v>
      </c>
    </row>
    <row r="2029" spans="1:4" x14ac:dyDescent="0.2">
      <c r="A2029" s="5">
        <v>1968</v>
      </c>
      <c r="B2029" s="138">
        <f>'Cap Outlay Deprec 26'!F12</f>
        <v>2405223</v>
      </c>
      <c r="C2029" s="2" t="s">
        <v>573</v>
      </c>
      <c r="D2029" s="2" t="str">
        <f t="shared" si="30"/>
        <v>Error?</v>
      </c>
    </row>
    <row r="2030" spans="1:4" x14ac:dyDescent="0.2">
      <c r="A2030" s="5">
        <v>1969</v>
      </c>
      <c r="B2030" s="138">
        <f>'Cap Outlay Deprec 26'!F13</f>
        <v>51316</v>
      </c>
      <c r="C2030" s="2" t="s">
        <v>573</v>
      </c>
      <c r="D2030" s="2" t="str">
        <f t="shared" si="30"/>
        <v>Error?</v>
      </c>
    </row>
    <row r="2031" spans="1:4" x14ac:dyDescent="0.2">
      <c r="A2031" s="5">
        <v>1970</v>
      </c>
      <c r="B2031" s="138">
        <f>'Cap Outlay Deprec 26'!F16</f>
        <v>64674707</v>
      </c>
      <c r="C2031" s="2" t="s">
        <v>573</v>
      </c>
      <c r="D2031" s="2" t="str">
        <f t="shared" si="30"/>
        <v>Error?</v>
      </c>
    </row>
    <row r="2032" spans="1:4" x14ac:dyDescent="0.2">
      <c r="A2032" s="10">
        <v>1971</v>
      </c>
      <c r="D2032" s="2" t="str">
        <f t="shared" si="30"/>
        <v>OK</v>
      </c>
    </row>
    <row r="2033" spans="1:4" x14ac:dyDescent="0.2">
      <c r="A2033" s="5">
        <v>1972</v>
      </c>
      <c r="B2033" s="138">
        <f>'Cap Outlay Deprec 26'!H8</f>
        <v>14965266</v>
      </c>
      <c r="D2033" s="2" t="str">
        <f t="shared" si="30"/>
        <v>Error?</v>
      </c>
    </row>
    <row r="2034" spans="1:4" x14ac:dyDescent="0.2">
      <c r="A2034" s="5">
        <v>1973</v>
      </c>
      <c r="B2034" s="138">
        <f>'Cap Outlay Deprec 26'!H10</f>
        <v>387868</v>
      </c>
      <c r="D2034" s="2" t="str">
        <f t="shared" si="30"/>
        <v>Error?</v>
      </c>
    </row>
    <row r="2035" spans="1:4" x14ac:dyDescent="0.2">
      <c r="A2035" s="5">
        <v>1974</v>
      </c>
      <c r="B2035" s="138">
        <f>'Cap Outlay Deprec 26'!H12</f>
        <v>1609808</v>
      </c>
      <c r="D2035" s="2" t="str">
        <f t="shared" si="30"/>
        <v>Error?</v>
      </c>
    </row>
    <row r="2036" spans="1:4" x14ac:dyDescent="0.2">
      <c r="A2036" s="5">
        <v>1975</v>
      </c>
      <c r="B2036" s="138">
        <f>'Cap Outlay Deprec 26'!H13</f>
        <v>40956</v>
      </c>
      <c r="D2036" s="2" t="str">
        <f t="shared" si="30"/>
        <v>Error?</v>
      </c>
    </row>
    <row r="2037" spans="1:4" x14ac:dyDescent="0.2">
      <c r="A2037" s="5">
        <v>1976</v>
      </c>
      <c r="B2037" s="138">
        <f>'Cap Outlay Deprec 26'!H16</f>
        <v>17067722</v>
      </c>
      <c r="C2037" s="2" t="s">
        <v>573</v>
      </c>
      <c r="D2037" s="2" t="str">
        <f t="shared" si="30"/>
        <v>Error?</v>
      </c>
    </row>
    <row r="2038" spans="1:4" x14ac:dyDescent="0.2">
      <c r="A2038" s="10">
        <v>1977</v>
      </c>
      <c r="D2038" s="2" t="str">
        <f t="shared" si="30"/>
        <v>OK</v>
      </c>
    </row>
    <row r="2039" spans="1:4" x14ac:dyDescent="0.2">
      <c r="A2039" s="5">
        <v>1978</v>
      </c>
      <c r="B2039" s="138">
        <f>'Cap Outlay Deprec 26'!I8</f>
        <v>1128284</v>
      </c>
      <c r="D2039" s="2" t="str">
        <f t="shared" si="30"/>
        <v>Error?</v>
      </c>
    </row>
    <row r="2040" spans="1:4" x14ac:dyDescent="0.2">
      <c r="A2040" s="5">
        <v>1979</v>
      </c>
      <c r="B2040" s="138">
        <f>'Cap Outlay Deprec 26'!I10</f>
        <v>58676</v>
      </c>
      <c r="D2040" s="2" t="str">
        <f t="shared" si="30"/>
        <v>Error?</v>
      </c>
    </row>
    <row r="2041" spans="1:4" x14ac:dyDescent="0.2">
      <c r="A2041" s="5">
        <v>1980</v>
      </c>
      <c r="B2041" s="138">
        <f>'Cap Outlay Deprec 26'!I12</f>
        <v>240520</v>
      </c>
      <c r="D2041" s="2" t="str">
        <f t="shared" si="30"/>
        <v>Error?</v>
      </c>
    </row>
    <row r="2042" spans="1:4" x14ac:dyDescent="0.2">
      <c r="A2042" s="5">
        <v>1981</v>
      </c>
      <c r="B2042" s="138">
        <f>'Cap Outlay Deprec 26'!I13</f>
        <v>10263</v>
      </c>
      <c r="D2042" s="2" t="str">
        <f t="shared" si="30"/>
        <v>Error?</v>
      </c>
    </row>
    <row r="2043" spans="1:4" x14ac:dyDescent="0.2">
      <c r="A2043" s="5">
        <v>1982</v>
      </c>
      <c r="B2043" s="138">
        <f>'Cap Outlay Deprec 26'!I16</f>
        <v>1438344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126581</v>
      </c>
      <c r="D2047" s="2" t="str">
        <f t="shared" ref="D2047:D2110" si="31">IF(ISBLANK(B2047),"OK",IF(A2047-B2047=0,"OK","Error?"))</f>
        <v>Error?</v>
      </c>
    </row>
    <row r="2048" spans="1:4" x14ac:dyDescent="0.2">
      <c r="A2048" s="5">
        <v>1987</v>
      </c>
      <c r="B2048" s="138">
        <f>'Cap Outlay Deprec 26'!J13</f>
        <v>16345</v>
      </c>
      <c r="D2048" s="2" t="str">
        <f t="shared" si="31"/>
        <v>Error?</v>
      </c>
    </row>
    <row r="2049" spans="1:4" x14ac:dyDescent="0.2">
      <c r="A2049" s="5">
        <v>1988</v>
      </c>
      <c r="B2049" s="138">
        <f>'Cap Outlay Deprec 26'!J16</f>
        <v>142926</v>
      </c>
      <c r="C2049" s="2" t="s">
        <v>573</v>
      </c>
      <c r="D2049" s="2" t="str">
        <f t="shared" si="31"/>
        <v>Error?</v>
      </c>
    </row>
    <row r="2050" spans="1:4" x14ac:dyDescent="0.2">
      <c r="A2050" s="10">
        <v>1989</v>
      </c>
      <c r="D2050" s="2" t="str">
        <f t="shared" si="31"/>
        <v>OK</v>
      </c>
    </row>
    <row r="2051" spans="1:4" x14ac:dyDescent="0.2">
      <c r="A2051" s="5">
        <v>1990</v>
      </c>
      <c r="B2051" s="138">
        <f>'Cap Outlay Deprec 26'!K8</f>
        <v>16093550</v>
      </c>
      <c r="C2051" s="2" t="s">
        <v>573</v>
      </c>
      <c r="D2051" s="2" t="str">
        <f t="shared" si="31"/>
        <v>Error?</v>
      </c>
    </row>
    <row r="2052" spans="1:4" x14ac:dyDescent="0.2">
      <c r="A2052" s="5">
        <v>1991</v>
      </c>
      <c r="B2052" s="138">
        <f>'Cap Outlay Deprec 26'!K10</f>
        <v>446544</v>
      </c>
      <c r="C2052" s="2" t="s">
        <v>573</v>
      </c>
      <c r="D2052" s="2" t="str">
        <f t="shared" si="31"/>
        <v>Error?</v>
      </c>
    </row>
    <row r="2053" spans="1:4" x14ac:dyDescent="0.2">
      <c r="A2053" s="5">
        <v>1992</v>
      </c>
      <c r="B2053" s="138">
        <f>'Cap Outlay Deprec 26'!K12</f>
        <v>1723747</v>
      </c>
      <c r="C2053" s="2" t="s">
        <v>573</v>
      </c>
      <c r="D2053" s="2" t="str">
        <f t="shared" si="31"/>
        <v>Error?</v>
      </c>
    </row>
    <row r="2054" spans="1:4" x14ac:dyDescent="0.2">
      <c r="A2054" s="5">
        <v>1993</v>
      </c>
      <c r="B2054" s="138">
        <f>'Cap Outlay Deprec 26'!K13</f>
        <v>34874</v>
      </c>
      <c r="C2054" s="2" t="s">
        <v>573</v>
      </c>
      <c r="D2054" s="2" t="str">
        <f t="shared" si="31"/>
        <v>Error?</v>
      </c>
    </row>
    <row r="2055" spans="1:4" x14ac:dyDescent="0.2">
      <c r="A2055" s="5">
        <v>1994</v>
      </c>
      <c r="B2055" s="138">
        <f>'Cap Outlay Deprec 26'!K16</f>
        <v>18363140</v>
      </c>
      <c r="C2055" s="2" t="s">
        <v>573</v>
      </c>
      <c r="D2055" s="2" t="str">
        <f t="shared" si="31"/>
        <v>Error?</v>
      </c>
    </row>
    <row r="2056" spans="1:4" x14ac:dyDescent="0.2">
      <c r="A2056" s="5">
        <v>1995</v>
      </c>
      <c r="B2056" s="138">
        <f>'Cap Outlay Deprec 26'!L5</f>
        <v>542305</v>
      </c>
      <c r="C2056" s="2" t="s">
        <v>573</v>
      </c>
      <c r="D2056" s="2" t="str">
        <f t="shared" si="31"/>
        <v>Error?</v>
      </c>
    </row>
    <row r="2057" spans="1:4" x14ac:dyDescent="0.2">
      <c r="A2057" s="5">
        <v>1996</v>
      </c>
      <c r="B2057" s="138">
        <f>'Cap Outlay Deprec 26'!L8</f>
        <v>44111185</v>
      </c>
      <c r="C2057" s="2" t="s">
        <v>573</v>
      </c>
      <c r="D2057" s="2" t="str">
        <f t="shared" si="31"/>
        <v>Error?</v>
      </c>
    </row>
    <row r="2058" spans="1:4" x14ac:dyDescent="0.2">
      <c r="A2058" s="5">
        <v>1997</v>
      </c>
      <c r="B2058" s="138">
        <f>'Cap Outlay Deprec 26'!L10</f>
        <v>949351</v>
      </c>
      <c r="C2058" s="2" t="s">
        <v>573</v>
      </c>
      <c r="D2058" s="2" t="str">
        <f t="shared" si="31"/>
        <v>Error?</v>
      </c>
    </row>
    <row r="2059" spans="1:4" x14ac:dyDescent="0.2">
      <c r="A2059" s="5">
        <v>1998</v>
      </c>
      <c r="B2059" s="138">
        <f>'Cap Outlay Deprec 26'!L12</f>
        <v>681476</v>
      </c>
      <c r="C2059" s="2" t="s">
        <v>573</v>
      </c>
      <c r="D2059" s="2" t="str">
        <f t="shared" si="31"/>
        <v>Error?</v>
      </c>
    </row>
    <row r="2060" spans="1:4" x14ac:dyDescent="0.2">
      <c r="A2060" s="5">
        <v>1999</v>
      </c>
      <c r="B2060" s="138">
        <f>'Cap Outlay Deprec 26'!L13</f>
        <v>16442</v>
      </c>
      <c r="C2060" s="2" t="s">
        <v>573</v>
      </c>
      <c r="D2060" s="2" t="str">
        <f t="shared" si="31"/>
        <v>Error?</v>
      </c>
    </row>
    <row r="2061" spans="1:4" x14ac:dyDescent="0.2">
      <c r="A2061" s="5">
        <v>2000</v>
      </c>
      <c r="B2061" s="138">
        <f>'Cap Outlay Deprec 26'!L16</f>
        <v>46311567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84759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84759</v>
      </c>
      <c r="C2088" s="2" t="s">
        <v>573</v>
      </c>
      <c r="D2088" s="2" t="str">
        <f t="shared" si="31"/>
        <v>Error?</v>
      </c>
    </row>
    <row r="2089" spans="1:4" x14ac:dyDescent="0.2">
      <c r="A2089" s="5">
        <v>2028</v>
      </c>
      <c r="B2089" s="138">
        <f>'Expenditures 15-22'!K92</f>
        <v>1205354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64995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472979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266342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10821984</v>
      </c>
      <c r="C2551" s="2" t="s">
        <v>573</v>
      </c>
      <c r="D2551" s="2" t="str">
        <f t="shared" si="38"/>
        <v>Error?</v>
      </c>
    </row>
    <row r="2552" spans="1:4" x14ac:dyDescent="0.2">
      <c r="A2552" s="10">
        <v>2491</v>
      </c>
      <c r="D2552" s="2" t="str">
        <f t="shared" si="38"/>
        <v>OK</v>
      </c>
    </row>
    <row r="2553" spans="1:4" x14ac:dyDescent="0.2">
      <c r="A2553" s="5">
        <v>2492</v>
      </c>
      <c r="B2553" s="138">
        <f>'Acct Summary 7-8'!C6</f>
        <v>5353144</v>
      </c>
      <c r="C2553" s="2" t="s">
        <v>573</v>
      </c>
      <c r="D2553" s="2" t="str">
        <f t="shared" si="38"/>
        <v>Error?</v>
      </c>
    </row>
    <row r="2554" spans="1:4" x14ac:dyDescent="0.2">
      <c r="A2554" s="5">
        <v>2493</v>
      </c>
      <c r="B2554" s="138">
        <f>'Acct Summary 7-8'!C7</f>
        <v>712758</v>
      </c>
      <c r="C2554" s="2" t="s">
        <v>573</v>
      </c>
      <c r="D2554" s="2" t="str">
        <f t="shared" si="38"/>
        <v>Error?</v>
      </c>
    </row>
    <row r="2555" spans="1:4" x14ac:dyDescent="0.2">
      <c r="A2555" s="5">
        <v>2494</v>
      </c>
      <c r="B2555" s="138">
        <f>'Acct Summary 7-8'!C8</f>
        <v>16887886</v>
      </c>
      <c r="C2555" s="2" t="s">
        <v>573</v>
      </c>
      <c r="D2555" s="2" t="str">
        <f t="shared" si="38"/>
        <v>Error?</v>
      </c>
    </row>
    <row r="2556" spans="1:4" x14ac:dyDescent="0.2">
      <c r="A2556" s="5">
        <v>2495</v>
      </c>
      <c r="B2556" s="138">
        <f>'Acct Summary 7-8'!C12</f>
        <v>10370427</v>
      </c>
      <c r="C2556" s="2" t="s">
        <v>573</v>
      </c>
      <c r="D2556" s="2" t="str">
        <f t="shared" si="38"/>
        <v>Error?</v>
      </c>
    </row>
    <row r="2557" spans="1:4" x14ac:dyDescent="0.2">
      <c r="A2557" s="5">
        <v>2496</v>
      </c>
      <c r="B2557" s="138">
        <f>'Acct Summary 7-8'!C13</f>
        <v>4851765</v>
      </c>
      <c r="C2557" s="2" t="s">
        <v>573</v>
      </c>
      <c r="D2557" s="2" t="str">
        <f t="shared" si="38"/>
        <v>Error?</v>
      </c>
    </row>
    <row r="2558" spans="1:4" x14ac:dyDescent="0.2">
      <c r="A2558" s="5">
        <v>2497</v>
      </c>
      <c r="B2558" s="138">
        <f>'Acct Summary 7-8'!C14</f>
        <v>151751</v>
      </c>
      <c r="C2558" s="2" t="s">
        <v>573</v>
      </c>
      <c r="D2558" s="2" t="str">
        <f t="shared" si="38"/>
        <v>Error?</v>
      </c>
    </row>
    <row r="2559" spans="1:4" x14ac:dyDescent="0.2">
      <c r="A2559" s="5">
        <v>2498</v>
      </c>
      <c r="B2559" s="138">
        <f>'Acct Summary 7-8'!C15</f>
        <v>1290113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16664056</v>
      </c>
      <c r="C2561" s="2" t="s">
        <v>573</v>
      </c>
      <c r="D2561" s="2" t="str">
        <f t="shared" si="39"/>
        <v>Error?</v>
      </c>
    </row>
    <row r="2562" spans="1:4" x14ac:dyDescent="0.2">
      <c r="A2562" s="5">
        <v>2501</v>
      </c>
      <c r="B2562" s="138">
        <f>'Acct Summary 7-8'!C20</f>
        <v>223830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1871356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1871356</v>
      </c>
      <c r="C2568" s="2" t="s">
        <v>573</v>
      </c>
      <c r="D2568" s="2" t="str">
        <f t="shared" si="39"/>
        <v>Error?</v>
      </c>
    </row>
    <row r="2569" spans="1:4" x14ac:dyDescent="0.2">
      <c r="A2569" s="5">
        <v>2508</v>
      </c>
      <c r="B2569" s="138">
        <f>'Acct Summary 7-8'!D13</f>
        <v>1982540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1982540</v>
      </c>
      <c r="C2573" s="2" t="s">
        <v>573</v>
      </c>
      <c r="D2573" s="2" t="str">
        <f t="shared" si="39"/>
        <v>Error?</v>
      </c>
    </row>
    <row r="2574" spans="1:4" x14ac:dyDescent="0.2">
      <c r="A2574" s="5">
        <v>2513</v>
      </c>
      <c r="B2574" s="138">
        <f>'Acct Summary 7-8'!D20</f>
        <v>-111184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753455</v>
      </c>
      <c r="C2591" s="2" t="s">
        <v>573</v>
      </c>
      <c r="D2591" s="2" t="str">
        <f t="shared" si="39"/>
        <v>Error?</v>
      </c>
    </row>
    <row r="2592" spans="1:4" x14ac:dyDescent="0.2">
      <c r="A2592" s="10">
        <v>2531</v>
      </c>
      <c r="D2592" s="2" t="str">
        <f t="shared" si="39"/>
        <v>OK</v>
      </c>
    </row>
    <row r="2593" spans="1:4" x14ac:dyDescent="0.2">
      <c r="A2593" s="5">
        <v>2532</v>
      </c>
      <c r="B2593" s="138">
        <f>'Acct Summary 7-8'!F6</f>
        <v>1171094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1924549</v>
      </c>
      <c r="C2595" s="2" t="s">
        <v>573</v>
      </c>
      <c r="D2595" s="2" t="str">
        <f t="shared" si="39"/>
        <v>Error?</v>
      </c>
    </row>
    <row r="2596" spans="1:4" x14ac:dyDescent="0.2">
      <c r="A2596" s="5">
        <v>2535</v>
      </c>
      <c r="B2596" s="138">
        <f>'Acct Summary 7-8'!F13</f>
        <v>1896124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1896124</v>
      </c>
      <c r="C2600" s="2" t="s">
        <v>573</v>
      </c>
      <c r="D2600" s="2" t="str">
        <f t="shared" si="39"/>
        <v>Error?</v>
      </c>
    </row>
    <row r="2601" spans="1:4" x14ac:dyDescent="0.2">
      <c r="A2601" s="5">
        <v>2540</v>
      </c>
      <c r="B2601" s="138">
        <f>'Acct Summary 7-8'!F20</f>
        <v>28425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636795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636795</v>
      </c>
      <c r="C2606" s="2" t="s">
        <v>573</v>
      </c>
      <c r="D2606" s="2" t="str">
        <f t="shared" si="39"/>
        <v>Error?</v>
      </c>
    </row>
    <row r="2607" spans="1:4" x14ac:dyDescent="0.2">
      <c r="A2607" s="5">
        <v>2546</v>
      </c>
      <c r="B2607" s="138">
        <f>'Acct Summary 7-8'!G12</f>
        <v>162768</v>
      </c>
      <c r="C2607" s="2" t="s">
        <v>573</v>
      </c>
      <c r="D2607" s="2" t="str">
        <f t="shared" si="39"/>
        <v>Error?</v>
      </c>
    </row>
    <row r="2608" spans="1:4" x14ac:dyDescent="0.2">
      <c r="A2608" s="5">
        <v>2547</v>
      </c>
      <c r="B2608" s="138">
        <f>'Acct Summary 7-8'!G13</f>
        <v>393309</v>
      </c>
      <c r="C2608" s="2" t="s">
        <v>573</v>
      </c>
      <c r="D2608" s="2" t="str">
        <f t="shared" si="39"/>
        <v>Error?</v>
      </c>
    </row>
    <row r="2609" spans="1:4" x14ac:dyDescent="0.2">
      <c r="A2609" s="5">
        <v>2548</v>
      </c>
      <c r="B2609" s="138">
        <f>'Acct Summary 7-8'!G14</f>
        <v>16310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606726</v>
      </c>
      <c r="C2612" s="2" t="s">
        <v>573</v>
      </c>
      <c r="D2612" s="2" t="str">
        <f t="shared" si="39"/>
        <v>Error?</v>
      </c>
    </row>
    <row r="2613" spans="1:4" x14ac:dyDescent="0.2">
      <c r="A2613" s="5">
        <v>2552</v>
      </c>
      <c r="B2613" s="138">
        <f>'Acct Summary 7-8'!G20</f>
        <v>30069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3292402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3292402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3347408</v>
      </c>
      <c r="C2634" s="2" t="s">
        <v>573</v>
      </c>
      <c r="D2634" s="2" t="str">
        <f t="shared" si="40"/>
        <v>Error?</v>
      </c>
    </row>
    <row r="2635" spans="1:4" x14ac:dyDescent="0.2">
      <c r="A2635" s="5">
        <v>2574</v>
      </c>
      <c r="B2635" s="138">
        <f>'Acct Summary 7-8'!E17</f>
        <v>3347408</v>
      </c>
      <c r="C2635" s="2" t="s">
        <v>573</v>
      </c>
      <c r="D2635" s="2" t="str">
        <f t="shared" si="40"/>
        <v>Error?</v>
      </c>
    </row>
    <row r="2636" spans="1:4" x14ac:dyDescent="0.2">
      <c r="A2636" s="5">
        <v>2575</v>
      </c>
      <c r="B2636" s="138">
        <f>'Acct Summary 7-8'!E20</f>
        <v>-55006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663933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663933</v>
      </c>
      <c r="C2658" s="2" t="s">
        <v>573</v>
      </c>
      <c r="D2658" s="2" t="str">
        <f t="shared" si="40"/>
        <v>Error?</v>
      </c>
    </row>
    <row r="2659" spans="1:4" x14ac:dyDescent="0.2">
      <c r="A2659" s="5">
        <v>2598</v>
      </c>
      <c r="B2659" s="138">
        <f>'Acct Summary 7-8'!H13</f>
        <v>2768637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2768637</v>
      </c>
      <c r="C2661" s="2" t="s">
        <v>573</v>
      </c>
      <c r="D2661" s="2" t="str">
        <f t="shared" si="40"/>
        <v>Error?</v>
      </c>
    </row>
    <row r="2662" spans="1:4" x14ac:dyDescent="0.2">
      <c r="A2662" s="5">
        <v>2601</v>
      </c>
      <c r="B2662" s="138">
        <f>'Acct Summary 7-8'!H20</f>
        <v>-2104704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4845027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455388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2791734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4845027</v>
      </c>
      <c r="D2912" s="2" t="str">
        <f t="shared" si="44"/>
        <v>Error?</v>
      </c>
    </row>
    <row r="2913" spans="1:4" x14ac:dyDescent="0.2">
      <c r="A2913" s="5">
        <v>2852</v>
      </c>
      <c r="B2913" s="138">
        <f>'Assets-Liab 5-6'!I41</f>
        <v>4845027</v>
      </c>
      <c r="C2913" s="2" t="s">
        <v>573</v>
      </c>
      <c r="D2913" s="2" t="str">
        <f t="shared" si="44"/>
        <v>Error?</v>
      </c>
    </row>
    <row r="2914" spans="1:4" x14ac:dyDescent="0.2">
      <c r="A2914" s="5">
        <v>2853</v>
      </c>
      <c r="B2914" s="138">
        <f>'Assets-Liab 5-6'!L33</f>
        <v>388324</v>
      </c>
      <c r="D2914" s="2" t="str">
        <f t="shared" si="44"/>
        <v>Error?</v>
      </c>
    </row>
    <row r="2915" spans="1:4" x14ac:dyDescent="0.2">
      <c r="A2915" s="10">
        <v>2854</v>
      </c>
      <c r="D2915" s="2" t="str">
        <f t="shared" si="44"/>
        <v>OK</v>
      </c>
    </row>
    <row r="2916" spans="1:4" x14ac:dyDescent="0.2">
      <c r="A2916" s="5">
        <v>2855</v>
      </c>
      <c r="B2916" s="138">
        <f>'Assets-Liab 5-6'!L34</f>
        <v>388324</v>
      </c>
      <c r="C2916" s="2" t="s">
        <v>573</v>
      </c>
      <c r="D2916" s="2" t="str">
        <f t="shared" si="44"/>
        <v>Error?</v>
      </c>
    </row>
    <row r="2917" spans="1:4" x14ac:dyDescent="0.2">
      <c r="A2917" s="5">
        <v>2856</v>
      </c>
      <c r="B2917" s="138">
        <f>'Assets-Liab 5-6'!L41</f>
        <v>2791734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84759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84759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121216</v>
      </c>
      <c r="D3055" s="2" t="str">
        <f t="shared" si="46"/>
        <v>Error?</v>
      </c>
    </row>
    <row r="3056" spans="1:4" x14ac:dyDescent="0.2">
      <c r="A3056" s="5">
        <v>2995</v>
      </c>
      <c r="B3056" s="138">
        <f>'Expenditures 15-22'!D10</f>
        <v>16809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138150</v>
      </c>
      <c r="C3062" s="2" t="s">
        <v>573</v>
      </c>
      <c r="D3062" s="2" t="str">
        <f t="shared" si="46"/>
        <v>Error?</v>
      </c>
    </row>
    <row r="3063" spans="1:4" x14ac:dyDescent="0.2">
      <c r="A3063" s="10">
        <v>3002</v>
      </c>
      <c r="D3063" s="2" t="str">
        <f t="shared" si="46"/>
        <v>OK</v>
      </c>
    </row>
    <row r="3064" spans="1:4" x14ac:dyDescent="0.2">
      <c r="A3064" s="5">
        <v>3003</v>
      </c>
      <c r="B3064" s="138">
        <f>'Expenditures 15-22'!D219</f>
        <v>12724</v>
      </c>
      <c r="D3064" s="2" t="str">
        <f t="shared" si="46"/>
        <v>Error?</v>
      </c>
    </row>
    <row r="3065" spans="1:4" x14ac:dyDescent="0.2">
      <c r="A3065" s="5">
        <v>3004</v>
      </c>
      <c r="B3065" s="138">
        <f>'Expenditures 15-22'!K219</f>
        <v>12724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2403410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233432</v>
      </c>
      <c r="C3225" s="2" t="s">
        <v>573</v>
      </c>
      <c r="D3225" s="2" t="str">
        <f t="shared" si="49"/>
        <v>Error?</v>
      </c>
    </row>
    <row r="3226" spans="1:4" x14ac:dyDescent="0.2">
      <c r="A3226" s="5">
        <v>3165</v>
      </c>
      <c r="B3226" s="138">
        <f>'Acct Summary 7-8'!I8</f>
        <v>233432</v>
      </c>
      <c r="C3226" s="2" t="s">
        <v>573</v>
      </c>
      <c r="D3226" s="2" t="str">
        <f t="shared" si="49"/>
        <v>Error?</v>
      </c>
    </row>
    <row r="3227" spans="1:4" x14ac:dyDescent="0.2">
      <c r="A3227" s="5">
        <v>3166</v>
      </c>
      <c r="B3227" s="138">
        <f>'Acct Summary 7-8'!I20</f>
        <v>233432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50418</v>
      </c>
      <c r="C3231" s="2" t="s">
        <v>573</v>
      </c>
      <c r="D3231" s="2" t="str">
        <f t="shared" si="49"/>
        <v>Error?</v>
      </c>
    </row>
    <row r="3232" spans="1:4" x14ac:dyDescent="0.2">
      <c r="A3232" s="5">
        <v>3171</v>
      </c>
      <c r="B3232" s="138">
        <f>'Acct Summary 7-8'!C77</f>
        <v>449582</v>
      </c>
      <c r="C3232" s="2" t="s">
        <v>573</v>
      </c>
      <c r="D3232" s="2" t="str">
        <f t="shared" si="49"/>
        <v>Error?</v>
      </c>
    </row>
    <row r="3233" spans="1:4" x14ac:dyDescent="0.2">
      <c r="A3233" s="5">
        <v>3172</v>
      </c>
      <c r="B3233" s="138">
        <f>'Acct Summary 7-8'!C78</f>
        <v>673412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9576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9576</v>
      </c>
      <c r="C3238" s="2" t="s">
        <v>573</v>
      </c>
      <c r="D3238" s="2" t="str">
        <f t="shared" si="49"/>
        <v>Error?</v>
      </c>
    </row>
    <row r="3239" spans="1:4" x14ac:dyDescent="0.2">
      <c r="A3239" s="5">
        <v>3178</v>
      </c>
      <c r="B3239" s="138">
        <f>'Acct Summary 7-8'!D78</f>
        <v>-101608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28425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30069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50418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50418</v>
      </c>
      <c r="C3277" s="2" t="s">
        <v>573</v>
      </c>
      <c r="D3277" s="2" t="str">
        <f t="shared" si="50"/>
        <v>Error?</v>
      </c>
    </row>
    <row r="3278" spans="1:4" x14ac:dyDescent="0.2">
      <c r="A3278" s="5">
        <v>3217</v>
      </c>
      <c r="B3278" s="138">
        <f>'Acct Summary 7-8'!E78</f>
        <v>-4588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-2104704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500000</v>
      </c>
      <c r="C3318" s="2" t="s">
        <v>573</v>
      </c>
      <c r="D3318" s="2" t="str">
        <f t="shared" si="50"/>
        <v>Error?</v>
      </c>
    </row>
    <row r="3319" spans="1:4" x14ac:dyDescent="0.2">
      <c r="A3319" s="5">
        <v>3258</v>
      </c>
      <c r="B3319" s="138">
        <f>'Acct Summary 7-8'!I77</f>
        <v>-500000</v>
      </c>
      <c r="C3319" s="2" t="s">
        <v>573</v>
      </c>
      <c r="D3319" s="2" t="str">
        <f t="shared" si="50"/>
        <v>Error?</v>
      </c>
    </row>
    <row r="3320" spans="1:4" x14ac:dyDescent="0.2">
      <c r="A3320" s="5">
        <v>3259</v>
      </c>
      <c r="B3320" s="138">
        <f>'Acct Summary 7-8'!I78</f>
        <v>-266568</v>
      </c>
      <c r="C3320" s="2" t="s">
        <v>573</v>
      </c>
      <c r="D3320" s="2" t="str">
        <f t="shared" si="50"/>
        <v>Error?</v>
      </c>
    </row>
    <row r="3321" spans="1:4" x14ac:dyDescent="0.2">
      <c r="A3321" s="5">
        <v>3260</v>
      </c>
      <c r="B3321" s="138">
        <f>'Acct Summary 7-8'!I79</f>
        <v>5111595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4845027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750391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122730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11040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4045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899349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74405</v>
      </c>
      <c r="D3387" s="2" t="str">
        <f t="shared" si="51"/>
        <v>Error?</v>
      </c>
    </row>
    <row r="3388" spans="1:4" x14ac:dyDescent="0.2">
      <c r="A3388" s="5">
        <v>3327</v>
      </c>
      <c r="B3388" s="138">
        <f>'Expenditures 15-22'!D217</f>
        <v>25048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74405</v>
      </c>
      <c r="C3390" s="2" t="s">
        <v>573</v>
      </c>
      <c r="D3390" s="2" t="str">
        <f t="shared" si="51"/>
        <v>Error?</v>
      </c>
    </row>
    <row r="3391" spans="1:4" x14ac:dyDescent="0.2">
      <c r="A3391" s="5">
        <v>3330</v>
      </c>
      <c r="B3391" s="138">
        <f>'Expenditures 15-22'!K217</f>
        <v>25048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6114147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2487059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1708175</v>
      </c>
      <c r="D3417" s="2" t="str">
        <f t="shared" si="52"/>
        <v>Error?</v>
      </c>
    </row>
    <row r="3418" spans="1:4" x14ac:dyDescent="0.2">
      <c r="A3418" s="10">
        <v>3357</v>
      </c>
      <c r="D3418" s="2" t="str">
        <f t="shared" si="52"/>
        <v>OK</v>
      </c>
    </row>
    <row r="3419" spans="1:4" x14ac:dyDescent="0.2">
      <c r="A3419" s="5">
        <v>3358</v>
      </c>
      <c r="B3419" s="138">
        <f>'Assets-Liab 5-6'!F4</f>
        <v>1400245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951065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1456412</v>
      </c>
      <c r="D3425" s="2" t="str">
        <f t="shared" si="52"/>
        <v>Error?</v>
      </c>
    </row>
    <row r="3426" spans="1:4" x14ac:dyDescent="0.2">
      <c r="A3426" s="10">
        <v>3365</v>
      </c>
      <c r="D3426" s="2" t="str">
        <f t="shared" si="52"/>
        <v>OK</v>
      </c>
    </row>
    <row r="3427" spans="1:4" x14ac:dyDescent="0.2">
      <c r="A3427" s="5">
        <v>3366</v>
      </c>
      <c r="B3427" s="138">
        <f>'Assets-Liab 5-6'!I4</f>
        <v>4845027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2336346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297549</v>
      </c>
      <c r="C3446" s="2" t="s">
        <v>573</v>
      </c>
      <c r="D3446" s="2" t="str">
        <f t="shared" si="52"/>
        <v>Error?</v>
      </c>
    </row>
    <row r="3447" spans="1:4" x14ac:dyDescent="0.2">
      <c r="A3447" s="5">
        <v>3386</v>
      </c>
      <c r="B3447" s="138">
        <f>'Tax Sched 23'!D16</f>
        <v>140253</v>
      </c>
      <c r="C3447" s="2" t="s">
        <v>573</v>
      </c>
      <c r="D3447" s="2" t="str">
        <f t="shared" si="52"/>
        <v>Error?</v>
      </c>
    </row>
    <row r="3448" spans="1:4" x14ac:dyDescent="0.2">
      <c r="A3448" s="5">
        <v>3387</v>
      </c>
      <c r="B3448" s="138">
        <f>'Tax Sched 23'!C16</f>
        <v>157296</v>
      </c>
      <c r="D3448" s="2" t="str">
        <f t="shared" si="52"/>
        <v>Error?</v>
      </c>
    </row>
    <row r="3449" spans="1:4" x14ac:dyDescent="0.2">
      <c r="A3449" s="5">
        <v>3388</v>
      </c>
      <c r="B3449" s="138">
        <f>'Tax Sched 23'!F16</f>
        <v>117861</v>
      </c>
      <c r="C3449" s="2" t="s">
        <v>573</v>
      </c>
      <c r="D3449" s="2" t="str">
        <f t="shared" si="52"/>
        <v>Error?</v>
      </c>
    </row>
    <row r="3450" spans="1:4" x14ac:dyDescent="0.2">
      <c r="A3450" s="5">
        <v>3389</v>
      </c>
      <c r="B3450" s="138">
        <f>'Tax Sched 23'!E16</f>
        <v>275157</v>
      </c>
      <c r="D3450" s="2" t="str">
        <f t="shared" si="52"/>
        <v>Error?</v>
      </c>
    </row>
    <row r="3451" spans="1:4" x14ac:dyDescent="0.2">
      <c r="A3451" s="5">
        <v>3390</v>
      </c>
      <c r="B3451" s="138">
        <f>'Cap Outlay Deprec 26'!C15</f>
        <v>504442</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504442</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9576</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2408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2408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2408</v>
      </c>
      <c r="D3567" s="2" t="str">
        <f t="shared" si="54"/>
        <v>Error?</v>
      </c>
    </row>
    <row r="3568" spans="1:4" x14ac:dyDescent="0.2">
      <c r="A3568" s="5">
        <v>3507</v>
      </c>
      <c r="B3568" s="138">
        <f>'Assets-Liab 5-6'!K41</f>
        <v>2408</v>
      </c>
      <c r="C3568" s="2" t="s">
        <v>573</v>
      </c>
      <c r="D3568" s="2" t="str">
        <f t="shared" si="54"/>
        <v>Error?</v>
      </c>
    </row>
    <row r="3569" spans="1:4" x14ac:dyDescent="0.2">
      <c r="A3569" s="5">
        <v>3508</v>
      </c>
      <c r="B3569" s="138">
        <f>'Acct Summary 7-8'!K4</f>
        <v>2562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2562</v>
      </c>
      <c r="C3571" s="2" t="s">
        <v>573</v>
      </c>
      <c r="D3571" s="2" t="str">
        <f t="shared" si="54"/>
        <v>Error?</v>
      </c>
    </row>
    <row r="3572" spans="1:4" x14ac:dyDescent="0.2">
      <c r="A3572" s="5">
        <v>3511</v>
      </c>
      <c r="B3572" s="138">
        <f>'Acct Summary 7-8'!K13</f>
        <v>725246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725246</v>
      </c>
      <c r="C3575" s="2" t="s">
        <v>573</v>
      </c>
      <c r="D3575" s="2" t="str">
        <f t="shared" si="54"/>
        <v>Error?</v>
      </c>
    </row>
    <row r="3576" spans="1:4" x14ac:dyDescent="0.2">
      <c r="A3576" s="5">
        <v>3515</v>
      </c>
      <c r="B3576" s="138">
        <f>'Acct Summary 7-8'!K20</f>
        <v>-722684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-722684</v>
      </c>
      <c r="C3588" s="2" t="s">
        <v>573</v>
      </c>
      <c r="D3588" s="2" t="str">
        <f t="shared" si="55"/>
        <v>Error?</v>
      </c>
    </row>
    <row r="3589" spans="1:4" x14ac:dyDescent="0.2">
      <c r="A3589" s="5">
        <v>3528</v>
      </c>
      <c r="B3589" s="138">
        <f>'Acct Summary 7-8'!K79</f>
        <v>725092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2408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725246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725246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725246</v>
      </c>
      <c r="C3649" s="2" t="s">
        <v>573</v>
      </c>
      <c r="D3649" s="2" t="str">
        <f t="shared" si="56"/>
        <v>Error?</v>
      </c>
    </row>
    <row r="3650" spans="1:4" x14ac:dyDescent="0.2">
      <c r="A3650" s="5">
        <v>3589</v>
      </c>
      <c r="B3650" s="138">
        <f>'Expenditures 15-22'!G367</f>
        <v>725246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725246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725246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725246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725246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-722684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34339</v>
      </c>
      <c r="D3721" s="2" t="str">
        <f t="shared" si="57"/>
        <v>Error?</v>
      </c>
    </row>
    <row r="3722" spans="1:4" x14ac:dyDescent="0.2">
      <c r="A3722" s="5">
        <v>3661</v>
      </c>
      <c r="B3722" s="138">
        <f>'Expenditures 15-22'!D285</f>
        <v>34339</v>
      </c>
      <c r="C3722" s="2" t="s">
        <v>573</v>
      </c>
      <c r="D3722" s="2" t="str">
        <f t="shared" si="57"/>
        <v>Error?</v>
      </c>
    </row>
    <row r="3723" spans="1:4" x14ac:dyDescent="0.2">
      <c r="A3723" s="5">
        <v>3662</v>
      </c>
      <c r="B3723" s="138">
        <f>'Expenditures 15-22'!K283</f>
        <v>34339</v>
      </c>
      <c r="C3723" s="2" t="s">
        <v>573</v>
      </c>
      <c r="D3723" s="2" t="str">
        <f t="shared" si="57"/>
        <v>Error?</v>
      </c>
    </row>
    <row r="3724" spans="1:4" x14ac:dyDescent="0.2">
      <c r="A3724" s="5">
        <v>3663</v>
      </c>
      <c r="B3724" s="138">
        <f>'Expenditures 15-22'!K285</f>
        <v>34339</v>
      </c>
      <c r="C3724" s="2" t="s">
        <v>573</v>
      </c>
      <c r="D3724" s="2" t="str">
        <f t="shared" si="57"/>
        <v>Error?</v>
      </c>
    </row>
    <row r="3725" spans="1:4" x14ac:dyDescent="0.2">
      <c r="A3725" s="5">
        <v>3664</v>
      </c>
      <c r="B3725" s="138">
        <f>'Tax Sched 23'!B13</f>
        <v>38068</v>
      </c>
      <c r="C3725" s="2" t="s">
        <v>573</v>
      </c>
      <c r="D3725" s="2" t="str">
        <f t="shared" si="57"/>
        <v>Error?</v>
      </c>
    </row>
    <row r="3726" spans="1:4" x14ac:dyDescent="0.2">
      <c r="A3726" s="5">
        <v>3665</v>
      </c>
      <c r="B3726" s="138">
        <f>'Tax Sched 23'!D13</f>
        <v>32298</v>
      </c>
      <c r="C3726" s="2" t="s">
        <v>573</v>
      </c>
      <c r="D3726" s="2" t="str">
        <f t="shared" si="57"/>
        <v>Error?</v>
      </c>
    </row>
    <row r="3727" spans="1:4" x14ac:dyDescent="0.2">
      <c r="A3727" s="5">
        <v>3666</v>
      </c>
      <c r="B3727" s="138">
        <f>'Tax Sched 23'!C13</f>
        <v>5770</v>
      </c>
      <c r="D3727" s="2" t="str">
        <f t="shared" si="57"/>
        <v>Error?</v>
      </c>
    </row>
    <row r="3728" spans="1:4" x14ac:dyDescent="0.2">
      <c r="A3728" s="5">
        <v>3667</v>
      </c>
      <c r="B3728" s="138">
        <f>'Tax Sched 23'!F13</f>
        <v>4324</v>
      </c>
      <c r="C3728" s="2" t="s">
        <v>573</v>
      </c>
      <c r="D3728" s="2" t="str">
        <f t="shared" si="57"/>
        <v>Error?</v>
      </c>
    </row>
    <row r="3729" spans="1:4" x14ac:dyDescent="0.2">
      <c r="A3729" s="5">
        <v>3668</v>
      </c>
      <c r="B3729" s="138">
        <f>'Tax Sched 23'!E13</f>
        <v>10094</v>
      </c>
      <c r="D3729" s="2" t="str">
        <f t="shared" si="57"/>
        <v>Error?</v>
      </c>
    </row>
    <row r="3730" spans="1:4" x14ac:dyDescent="0.2">
      <c r="A3730" s="5">
        <v>3669</v>
      </c>
      <c r="B3730" s="138">
        <f>'ICR Computation 30'!E10</f>
        <v>534989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7353516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24241402</v>
      </c>
      <c r="C4122" s="2" t="s">
        <v>573</v>
      </c>
      <c r="D4122" s="2" t="str">
        <f t="shared" si="63"/>
        <v>Error?</v>
      </c>
    </row>
    <row r="4123" spans="1:4" x14ac:dyDescent="0.2">
      <c r="A4123" s="5">
        <v>4062</v>
      </c>
      <c r="B4123" s="138">
        <f>'Acct Summary 7-8'!D10</f>
        <v>1871356</v>
      </c>
      <c r="C4123" s="2" t="s">
        <v>573</v>
      </c>
      <c r="D4123" s="2" t="str">
        <f t="shared" si="63"/>
        <v>Error?</v>
      </c>
    </row>
    <row r="4124" spans="1:4" x14ac:dyDescent="0.2">
      <c r="A4124" s="5">
        <v>4063</v>
      </c>
      <c r="B4124" s="138">
        <f>'Acct Summary 7-8'!E10</f>
        <v>3292402</v>
      </c>
      <c r="C4124" s="2" t="s">
        <v>573</v>
      </c>
      <c r="D4124" s="2" t="str">
        <f t="shared" si="63"/>
        <v>Error?</v>
      </c>
    </row>
    <row r="4125" spans="1:4" x14ac:dyDescent="0.2">
      <c r="A4125" s="5">
        <v>4064</v>
      </c>
      <c r="B4125" s="138">
        <f>'Acct Summary 7-8'!F10</f>
        <v>1924549</v>
      </c>
      <c r="C4125" s="2" t="s">
        <v>573</v>
      </c>
      <c r="D4125" s="2" t="str">
        <f t="shared" si="63"/>
        <v>Error?</v>
      </c>
    </row>
    <row r="4126" spans="1:4" x14ac:dyDescent="0.2">
      <c r="A4126" s="5">
        <v>4065</v>
      </c>
      <c r="B4126" s="138">
        <f>'Acct Summary 7-8'!G10</f>
        <v>636795</v>
      </c>
      <c r="C4126" s="2" t="s">
        <v>573</v>
      </c>
      <c r="D4126" s="2" t="str">
        <f t="shared" si="63"/>
        <v>Error?</v>
      </c>
    </row>
    <row r="4127" spans="1:4" x14ac:dyDescent="0.2">
      <c r="A4127" s="5">
        <v>4066</v>
      </c>
      <c r="B4127" s="138">
        <f>'Acct Summary 7-8'!H10</f>
        <v>663933</v>
      </c>
      <c r="C4127" s="2" t="s">
        <v>573</v>
      </c>
      <c r="D4127" s="2" t="str">
        <f t="shared" si="63"/>
        <v>Error?</v>
      </c>
    </row>
    <row r="4128" spans="1:4" x14ac:dyDescent="0.2">
      <c r="A4128" s="5">
        <v>4067</v>
      </c>
      <c r="B4128" s="138">
        <f>'Acct Summary 7-8'!I10</f>
        <v>233432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2562</v>
      </c>
      <c r="C4130" s="2" t="s">
        <v>573</v>
      </c>
      <c r="D4130" s="2" t="str">
        <f t="shared" si="63"/>
        <v>Error?</v>
      </c>
    </row>
    <row r="4131" spans="1:4" x14ac:dyDescent="0.2">
      <c r="A4131" s="5">
        <v>4070</v>
      </c>
      <c r="B4131" s="138">
        <f>'Acct Summary 7-8'!C18</f>
        <v>7353516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24017572</v>
      </c>
      <c r="C4136" s="2" t="s">
        <v>573</v>
      </c>
      <c r="D4136" s="2" t="str">
        <f t="shared" si="63"/>
        <v>Error?</v>
      </c>
    </row>
    <row r="4137" spans="1:4" x14ac:dyDescent="0.2">
      <c r="A4137" s="5">
        <v>4076</v>
      </c>
      <c r="B4137" s="138">
        <f>'Acct Summary 7-8'!D19</f>
        <v>1982540</v>
      </c>
      <c r="C4137" s="2" t="s">
        <v>573</v>
      </c>
      <c r="D4137" s="2" t="str">
        <f t="shared" si="63"/>
        <v>Error?</v>
      </c>
    </row>
    <row r="4138" spans="1:4" x14ac:dyDescent="0.2">
      <c r="A4138" s="5">
        <v>4077</v>
      </c>
      <c r="B4138" s="138">
        <f>'Acct Summary 7-8'!E19</f>
        <v>3347408</v>
      </c>
      <c r="C4138" s="2" t="s">
        <v>573</v>
      </c>
      <c r="D4138" s="2" t="str">
        <f t="shared" si="63"/>
        <v>Error?</v>
      </c>
    </row>
    <row r="4139" spans="1:4" x14ac:dyDescent="0.2">
      <c r="A4139" s="5">
        <v>4078</v>
      </c>
      <c r="B4139" s="138">
        <f>'Acct Summary 7-8'!F19</f>
        <v>1896124</v>
      </c>
      <c r="C4139" s="2" t="s">
        <v>573</v>
      </c>
      <c r="D4139" s="2" t="str">
        <f t="shared" si="63"/>
        <v>Error?</v>
      </c>
    </row>
    <row r="4140" spans="1:4" x14ac:dyDescent="0.2">
      <c r="A4140" s="5">
        <v>4079</v>
      </c>
      <c r="B4140" s="138">
        <f>'Acct Summary 7-8'!G19</f>
        <v>606726</v>
      </c>
      <c r="C4140" s="2" t="s">
        <v>573</v>
      </c>
      <c r="D4140" s="2" t="str">
        <f t="shared" si="63"/>
        <v>Error?</v>
      </c>
    </row>
    <row r="4141" spans="1:4" x14ac:dyDescent="0.2">
      <c r="A4141" s="5">
        <v>4080</v>
      </c>
      <c r="B4141" s="138">
        <f>'Acct Summary 7-8'!H19</f>
        <v>2768637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725246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36228287</v>
      </c>
      <c r="C4171" s="2" t="s">
        <v>573</v>
      </c>
      <c r="D4171" s="2" t="str">
        <f t="shared" si="64"/>
        <v>Error?</v>
      </c>
    </row>
    <row r="4172" spans="1:4" x14ac:dyDescent="0.2">
      <c r="A4172" s="5">
        <v>4111</v>
      </c>
      <c r="B4172" s="138">
        <f>'Short-Term Long-Term Debt 24'!J49</f>
        <v>34520112</v>
      </c>
      <c r="C4172" s="2" t="s">
        <v>573</v>
      </c>
      <c r="D4172" s="2" t="str">
        <f t="shared" si="64"/>
        <v>Error?</v>
      </c>
    </row>
    <row r="4173" spans="1:4" x14ac:dyDescent="0.2">
      <c r="A4173" s="5">
        <v>4112</v>
      </c>
      <c r="B4173" s="138">
        <f>'Short-Term Long-Term Debt 24'!H49</f>
        <v>1884180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3050</v>
      </c>
      <c r="C4268" s="2" t="s">
        <v>573</v>
      </c>
      <c r="D4268" s="2" t="str">
        <f t="shared" si="65"/>
        <v>Error?</v>
      </c>
    </row>
    <row r="4269" spans="1:5" x14ac:dyDescent="0.2">
      <c r="A4269" s="12">
        <v>4208</v>
      </c>
      <c r="B4269" s="138">
        <f>'FP Info 3'!J16</f>
        <v>14846478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12540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19404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18277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52141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6593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7900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94248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373854314</v>
      </c>
      <c r="D4995" s="2" t="str">
        <f t="shared" si="77"/>
        <v>Error?</v>
      </c>
    </row>
    <row r="4996" spans="1:4" x14ac:dyDescent="0.2">
      <c r="A4996" s="12">
        <v>4935</v>
      </c>
      <c r="B4996" s="138">
        <f>'FP Info 3'!H31</f>
        <v>51591895.332000002</v>
      </c>
      <c r="D4996" s="2" t="str">
        <f t="shared" si="77"/>
        <v>Error?</v>
      </c>
    </row>
    <row r="4997" spans="1:4" x14ac:dyDescent="0.2">
      <c r="A4997" s="12">
        <v>4936</v>
      </c>
      <c r="B4997" s="138">
        <f>'FP Info 3'!H37</f>
        <v>36228287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38068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8690439</v>
      </c>
      <c r="D5061" s="2" t="str">
        <f t="shared" si="78"/>
        <v>Error?</v>
      </c>
    </row>
    <row r="5062" spans="1:4" x14ac:dyDescent="0.2">
      <c r="A5062" s="10">
        <v>5001</v>
      </c>
      <c r="D5062" s="2" t="str">
        <f t="shared" si="78"/>
        <v>OK</v>
      </c>
    </row>
    <row r="5063" spans="1:4" x14ac:dyDescent="0.2">
      <c r="A5063" s="5">
        <v>5002</v>
      </c>
      <c r="B5063" s="138">
        <f>'Revenues 9-14'!C7</f>
        <v>147922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8876429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1068</v>
      </c>
      <c r="D5068" s="2" t="str">
        <f t="shared" si="78"/>
        <v>Error?</v>
      </c>
    </row>
    <row r="5069" spans="1:4" x14ac:dyDescent="0.2">
      <c r="A5069" s="5">
        <v>5008</v>
      </c>
      <c r="B5069" s="138">
        <f>'Revenues 9-14'!C16</f>
        <v>433840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434908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39034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39034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62500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2015</v>
      </c>
      <c r="D5095" s="2" t="str">
        <f t="shared" si="78"/>
        <v>Error?</v>
      </c>
    </row>
    <row r="5096" spans="1:4" x14ac:dyDescent="0.2">
      <c r="A5096" s="5">
        <v>5035</v>
      </c>
      <c r="B5096" s="138">
        <f>'Revenues 9-14'!C75</f>
        <v>841156</v>
      </c>
      <c r="C5096" s="2" t="s">
        <v>573</v>
      </c>
      <c r="D5096" s="2" t="str">
        <f t="shared" si="78"/>
        <v>Error?</v>
      </c>
    </row>
    <row r="5097" spans="1:4" x14ac:dyDescent="0.2">
      <c r="A5097" s="5">
        <v>5036</v>
      </c>
      <c r="B5097" s="138">
        <f>'Revenues 9-14'!C77</f>
        <v>78790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34567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176463</v>
      </c>
      <c r="D5101" s="2" t="str">
        <f t="shared" si="78"/>
        <v>Error?</v>
      </c>
    </row>
    <row r="5102" spans="1:4" x14ac:dyDescent="0.2">
      <c r="A5102" s="5">
        <v>5041</v>
      </c>
      <c r="B5102" s="138">
        <f>'Revenues 9-14'!C82</f>
        <v>289820</v>
      </c>
      <c r="C5102" s="2" t="s">
        <v>573</v>
      </c>
      <c r="D5102" s="2" t="str">
        <f t="shared" si="78"/>
        <v>Error?</v>
      </c>
    </row>
    <row r="5103" spans="1:4" x14ac:dyDescent="0.2">
      <c r="A5103" s="5">
        <v>5042</v>
      </c>
      <c r="B5103" s="138">
        <f>'Revenues 9-14'!C84</f>
        <v>254800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254800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39014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5766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7390</v>
      </c>
      <c r="D5119" s="2" t="str">
        <f t="shared" ref="D5119:D5182" si="79">IF(ISBLANK(B5119),"OK",IF(A5119-B5119=0,"OK","Error?"))</f>
        <v>Error?</v>
      </c>
    </row>
    <row r="5120" spans="1:4" x14ac:dyDescent="0.2">
      <c r="A5120" s="5">
        <v>5059</v>
      </c>
      <c r="B5120" s="138">
        <f>'Revenues 9-14'!C108</f>
        <v>85837</v>
      </c>
      <c r="C5120" s="2" t="s">
        <v>573</v>
      </c>
      <c r="D5120" s="2" t="str">
        <f t="shared" si="79"/>
        <v>Error?</v>
      </c>
    </row>
    <row r="5121" spans="1:4" x14ac:dyDescent="0.2">
      <c r="A5121" s="5">
        <v>5060</v>
      </c>
      <c r="B5121" s="138">
        <f>'Revenues 9-14'!C109</f>
        <v>10821984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5094672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5094672</v>
      </c>
      <c r="C5132" s="2" t="s">
        <v>573</v>
      </c>
      <c r="D5132" s="2" t="str">
        <f t="shared" si="79"/>
        <v>Error?</v>
      </c>
    </row>
    <row r="5133" spans="1:4" x14ac:dyDescent="0.2">
      <c r="A5133" s="5">
        <v>5072</v>
      </c>
      <c r="B5133" s="138">
        <f>'Revenues 9-14'!C125</f>
        <v>732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48151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48883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48617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53812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5514</v>
      </c>
      <c r="D5167" s="2" t="str">
        <f t="shared" si="79"/>
        <v>Error?</v>
      </c>
    </row>
    <row r="5168" spans="1:4" x14ac:dyDescent="0.2">
      <c r="A5168" s="5">
        <v>5107</v>
      </c>
      <c r="B5168" s="138">
        <f>'Revenues 9-14'!C148</f>
        <v>39064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103299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258472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5353144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319095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71038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390133</v>
      </c>
      <c r="C5246" s="2" t="s">
        <v>573</v>
      </c>
      <c r="D5246" s="2" t="str">
        <f t="shared" si="80"/>
        <v>Error?</v>
      </c>
    </row>
    <row r="5247" spans="1:4" x14ac:dyDescent="0.2">
      <c r="A5247" s="5">
        <v>5186</v>
      </c>
      <c r="B5247" s="138">
        <f>'Revenues 9-14'!C200</f>
        <v>119015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18277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126015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712758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712758</v>
      </c>
      <c r="C5326" s="2" t="s">
        <v>573</v>
      </c>
      <c r="D5326" s="2" t="str">
        <f t="shared" si="82"/>
        <v>Error?</v>
      </c>
    </row>
    <row r="5327" spans="1:5" x14ac:dyDescent="0.2">
      <c r="A5327" s="5">
        <v>5266</v>
      </c>
      <c r="B5327" s="138">
        <f>'Revenues 9-14'!C268</f>
        <v>16887886</v>
      </c>
      <c r="C5327" s="2" t="s">
        <v>573</v>
      </c>
      <c r="D5327" s="2" t="str">
        <f t="shared" si="82"/>
        <v>Error?</v>
      </c>
    </row>
    <row r="5328" spans="1:5" x14ac:dyDescent="0.2">
      <c r="A5328" s="5">
        <v>5267</v>
      </c>
      <c r="B5328" s="138">
        <f>'Revenues 9-14'!D5</f>
        <v>1849029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1849029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187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187</v>
      </c>
      <c r="C5339" s="2" t="s">
        <v>573</v>
      </c>
      <c r="D5339" s="2" t="str">
        <f t="shared" si="82"/>
        <v>Error?</v>
      </c>
    </row>
    <row r="5340" spans="1:4" x14ac:dyDescent="0.2">
      <c r="A5340" s="5">
        <v>5279</v>
      </c>
      <c r="B5340" s="138">
        <f>'Revenues 9-14'!D65</f>
        <v>22140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22140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1871356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1871356</v>
      </c>
      <c r="C5508" s="2" t="s">
        <v>573</v>
      </c>
      <c r="D5508" s="2" t="str">
        <f t="shared" si="85"/>
        <v>Error?</v>
      </c>
    </row>
    <row r="5509" spans="1:4" x14ac:dyDescent="0.2">
      <c r="A5509" s="5">
        <v>5448</v>
      </c>
      <c r="B5509" s="138">
        <f>'Revenues 9-14'!E5</f>
        <v>2680919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2680919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39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39</v>
      </c>
      <c r="C5518" s="2" t="s">
        <v>573</v>
      </c>
      <c r="D5518" s="2" t="str">
        <f t="shared" si="85"/>
        <v>Error?</v>
      </c>
    </row>
    <row r="5519" spans="1:4" x14ac:dyDescent="0.2">
      <c r="A5519" s="5">
        <v>5458</v>
      </c>
      <c r="B5519" s="138">
        <f>'Revenues 9-14'!E65</f>
        <v>11444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11444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600000</v>
      </c>
      <c r="C5526" s="2" t="s">
        <v>573</v>
      </c>
      <c r="D5526" s="2" t="str">
        <f t="shared" si="85"/>
        <v>Error?</v>
      </c>
    </row>
    <row r="5527" spans="1:4" x14ac:dyDescent="0.2">
      <c r="A5527" s="5">
        <v>5466</v>
      </c>
      <c r="B5527" s="138">
        <f>'Revenues 9-14'!E109</f>
        <v>3292402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3292402</v>
      </c>
      <c r="C5552" s="2" t="s">
        <v>573</v>
      </c>
      <c r="D5552" s="2" t="str">
        <f t="shared" si="85"/>
        <v>Error?</v>
      </c>
    </row>
    <row r="5553" spans="1:4" x14ac:dyDescent="0.2">
      <c r="A5553" s="5">
        <v>5492</v>
      </c>
      <c r="B5553" s="138">
        <f>'Revenues 9-14'!F5</f>
        <v>739613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739613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72</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72</v>
      </c>
      <c r="C5562" s="2" t="s">
        <v>573</v>
      </c>
      <c r="D5562" s="2" t="str">
        <f t="shared" si="85"/>
        <v>Error?</v>
      </c>
    </row>
    <row r="5563" spans="1:4" x14ac:dyDescent="0.2">
      <c r="A5563" s="5">
        <v>5502</v>
      </c>
      <c r="B5563" s="138">
        <f>'Revenues 9-14'!F42</f>
        <v>1404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1404</v>
      </c>
      <c r="C5579" s="2" t="s">
        <v>573</v>
      </c>
      <c r="D5579" s="2" t="str">
        <f t="shared" si="86"/>
        <v>Error?</v>
      </c>
    </row>
    <row r="5580" spans="1:4" x14ac:dyDescent="0.2">
      <c r="A5580" s="5">
        <v>5519</v>
      </c>
      <c r="B5580" s="138">
        <f>'Revenues 9-14'!F65</f>
        <v>12366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12366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753455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957301</v>
      </c>
      <c r="D5615" s="2" t="str">
        <f t="shared" si="86"/>
        <v>Error?</v>
      </c>
    </row>
    <row r="5616" spans="1:4" x14ac:dyDescent="0.2">
      <c r="A5616" s="10">
        <v>5555</v>
      </c>
      <c r="D5616" s="2" t="str">
        <f t="shared" si="86"/>
        <v>OK</v>
      </c>
    </row>
    <row r="5617" spans="1:5" x14ac:dyDescent="0.2">
      <c r="A5617" s="5">
        <v>5556</v>
      </c>
      <c r="B5617" s="138">
        <f>'Revenues 9-14'!F153</f>
        <v>213793</v>
      </c>
      <c r="D5617" s="2" t="str">
        <f t="shared" si="86"/>
        <v>Error?</v>
      </c>
    </row>
    <row r="5618" spans="1:5" x14ac:dyDescent="0.2">
      <c r="A5618" s="5">
        <v>5557</v>
      </c>
      <c r="B5618" s="138">
        <f>'Revenues 9-14'!F155</f>
        <v>1171094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1171094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1171094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1924549</v>
      </c>
      <c r="C5720" s="2" t="s">
        <v>573</v>
      </c>
      <c r="D5720" s="2" t="str">
        <f t="shared" si="88"/>
        <v>Error?</v>
      </c>
    </row>
    <row r="5721" spans="1:4" x14ac:dyDescent="0.2">
      <c r="A5721" s="5">
        <v>5660</v>
      </c>
      <c r="B5721" s="138">
        <f>'Revenues 9-14'!G5</f>
        <v>297433</v>
      </c>
      <c r="D5721" s="2" t="str">
        <f t="shared" si="88"/>
        <v>Error?</v>
      </c>
    </row>
    <row r="5722" spans="1:4" x14ac:dyDescent="0.2">
      <c r="A5722" s="5">
        <v>5661</v>
      </c>
      <c r="B5722" s="138">
        <f>'Revenues 9-14'!G7</f>
        <v>0</v>
      </c>
      <c r="D5722" s="2" t="str">
        <f t="shared" si="88"/>
        <v>Error?</v>
      </c>
    </row>
    <row r="5723" spans="1:4" x14ac:dyDescent="0.2">
      <c r="A5723" s="5">
        <v>5662</v>
      </c>
      <c r="B5723" s="138">
        <f>'Revenues 9-14'!G8</f>
        <v>297549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594982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5</v>
      </c>
      <c r="D5727" s="2" t="str">
        <f t="shared" si="88"/>
        <v>Error?</v>
      </c>
    </row>
    <row r="5728" spans="1:4" x14ac:dyDescent="0.2">
      <c r="A5728" s="5">
        <v>5667</v>
      </c>
      <c r="B5728" s="138">
        <f>'Revenues 9-14'!G16</f>
        <v>33331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33336</v>
      </c>
      <c r="C5730" s="2" t="s">
        <v>573</v>
      </c>
      <c r="D5730" s="2" t="str">
        <f t="shared" si="88"/>
        <v>Error?</v>
      </c>
    </row>
    <row r="5731" spans="1:4" x14ac:dyDescent="0.2">
      <c r="A5731" s="5">
        <v>5670</v>
      </c>
      <c r="B5731" s="138">
        <f>'Revenues 9-14'!G65</f>
        <v>8477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8477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636795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19694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19694</v>
      </c>
      <c r="C5881" s="2" t="s">
        <v>573</v>
      </c>
      <c r="D5881" s="2" t="str">
        <f t="shared" si="90"/>
        <v>Error?</v>
      </c>
    </row>
    <row r="5882" spans="1:4" x14ac:dyDescent="0.2">
      <c r="A5882" s="5">
        <v>5821</v>
      </c>
      <c r="B5882" s="138">
        <f>'Revenues 9-14'!H96</f>
        <v>228500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2908</v>
      </c>
      <c r="D5885" s="2" t="str">
        <f t="shared" si="90"/>
        <v>Error?</v>
      </c>
    </row>
    <row r="5886" spans="1:4" x14ac:dyDescent="0.2">
      <c r="A5886" s="5">
        <v>5825</v>
      </c>
      <c r="B5886" s="138">
        <f>'Revenues 9-14'!H108</f>
        <v>644239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663933</v>
      </c>
      <c r="C5915" s="2" t="s">
        <v>573</v>
      </c>
      <c r="D5915" s="2" t="str">
        <f t="shared" si="91"/>
        <v>Error?</v>
      </c>
    </row>
    <row r="5916" spans="1:4" x14ac:dyDescent="0.2">
      <c r="A5916" s="5">
        <v>5855</v>
      </c>
      <c r="B5916" s="138">
        <f>'Revenues 9-14'!I5</f>
        <v>184903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184903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15</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15</v>
      </c>
      <c r="C5923" s="2" t="s">
        <v>573</v>
      </c>
      <c r="D5923" s="2" t="str">
        <f t="shared" si="91"/>
        <v>Error?</v>
      </c>
    </row>
    <row r="5924" spans="1:4" x14ac:dyDescent="0.2">
      <c r="A5924" s="5">
        <v>5863</v>
      </c>
      <c r="B5924" s="138">
        <f>'Revenues 9-14'!I65</f>
        <v>48514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48514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233432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2562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2562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2562</v>
      </c>
      <c r="C6023" s="2" t="s">
        <v>573</v>
      </c>
      <c r="D6023" s="2" t="str">
        <f t="shared" si="93"/>
        <v>Error?</v>
      </c>
    </row>
    <row r="6024" spans="1:5" x14ac:dyDescent="0.2">
      <c r="A6024" s="5">
        <v>5963</v>
      </c>
      <c r="B6024" s="138">
        <f>'Revenues 9-14'!G109</f>
        <v>636795</v>
      </c>
      <c r="C6024" s="2" t="s">
        <v>573</v>
      </c>
      <c r="D6024" s="2" t="str">
        <f t="shared" si="93"/>
        <v>Error?</v>
      </c>
    </row>
    <row r="6025" spans="1:5" x14ac:dyDescent="0.2">
      <c r="A6025" s="5">
        <v>5964</v>
      </c>
      <c r="B6025" s="138">
        <f>'Revenues 9-14'!H109</f>
        <v>663933</v>
      </c>
      <c r="C6025" s="2" t="s">
        <v>573</v>
      </c>
      <c r="D6025" s="2" t="str">
        <f t="shared" si="93"/>
        <v>Error?</v>
      </c>
    </row>
    <row r="6026" spans="1:5" x14ac:dyDescent="0.2">
      <c r="A6026" s="5">
        <v>5965</v>
      </c>
      <c r="B6026" s="138">
        <f>'Revenues 9-14'!I109</f>
        <v>233432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2562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776641</v>
      </c>
      <c r="D6031" s="2" t="str">
        <f t="shared" si="93"/>
        <v>Error?</v>
      </c>
    </row>
    <row r="6032" spans="1:5" x14ac:dyDescent="0.2">
      <c r="A6032" s="5">
        <v>5971</v>
      </c>
      <c r="B6032" s="138">
        <f>'Acct Summary 7-8'!G15</f>
        <v>34339</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84865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2438.6999999999998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778538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778538</v>
      </c>
      <c r="D6215" s="2" t="str">
        <f t="shared" si="96"/>
        <v>Error?</v>
      </c>
      <c r="E6215" s="2" t="s">
        <v>190</v>
      </c>
    </row>
    <row r="6216" spans="1:5" x14ac:dyDescent="0.2">
      <c r="A6216">
        <v>6155</v>
      </c>
      <c r="B6216" s="138">
        <f>'Assets-Liab 5-6'!J41</f>
        <v>778538</v>
      </c>
      <c r="D6216" s="2" t="str">
        <f t="shared" si="96"/>
        <v>Error?</v>
      </c>
      <c r="E6216" s="2" t="s">
        <v>190</v>
      </c>
    </row>
    <row r="6217" spans="1:5" x14ac:dyDescent="0.2">
      <c r="A6217">
        <v>6156</v>
      </c>
      <c r="B6217" s="138">
        <f>'Assets-Liab 5-6'!J4</f>
        <v>778538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825014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825014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825014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842074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842074</v>
      </c>
      <c r="D6229" s="2" t="str">
        <f t="shared" si="96"/>
        <v>Error?</v>
      </c>
      <c r="E6229" s="2" t="s">
        <v>190</v>
      </c>
    </row>
    <row r="6230" spans="1:5" x14ac:dyDescent="0.2">
      <c r="A6230">
        <v>6169</v>
      </c>
      <c r="B6230" s="138">
        <f>'Acct Summary 7-8'!J20</f>
        <v>-17060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49180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1238</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-17060</v>
      </c>
      <c r="D6263" s="2" t="str">
        <f t="shared" si="96"/>
        <v>Error?</v>
      </c>
      <c r="E6263" s="2" t="s">
        <v>190</v>
      </c>
    </row>
    <row r="6264" spans="1:5" x14ac:dyDescent="0.2">
      <c r="A6264">
        <v>6203</v>
      </c>
      <c r="B6264" s="138">
        <f>'Acct Summary 7-8'!J79</f>
        <v>795598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778538</v>
      </c>
      <c r="D6266" s="2" t="str">
        <f t="shared" si="96"/>
        <v>Error?</v>
      </c>
      <c r="E6266" s="2" t="s">
        <v>190</v>
      </c>
    </row>
    <row r="6267" spans="1:5" x14ac:dyDescent="0.2">
      <c r="A6267">
        <v>6206</v>
      </c>
      <c r="B6267" s="138">
        <f>'Acct Summary 7-8'!C82</f>
        <v>673412</v>
      </c>
      <c r="D6267" s="2" t="str">
        <f t="shared" si="96"/>
        <v>Error?</v>
      </c>
      <c r="E6267" s="2" t="s">
        <v>190</v>
      </c>
    </row>
    <row r="6268" spans="1:5" x14ac:dyDescent="0.2">
      <c r="A6268">
        <v>6207</v>
      </c>
      <c r="B6268" s="138">
        <f>'Acct Summary 7-8'!D82</f>
        <v>-101608</v>
      </c>
      <c r="D6268" s="2" t="str">
        <f t="shared" si="96"/>
        <v>Error?</v>
      </c>
      <c r="E6268" s="2" t="s">
        <v>190</v>
      </c>
    </row>
    <row r="6269" spans="1:5" x14ac:dyDescent="0.2">
      <c r="A6269">
        <v>6208</v>
      </c>
      <c r="B6269" s="138">
        <f>'Acct Summary 7-8'!E82</f>
        <v>-4588</v>
      </c>
      <c r="D6269" s="2" t="str">
        <f t="shared" si="96"/>
        <v>Error?</v>
      </c>
      <c r="E6269" s="2" t="s">
        <v>190</v>
      </c>
    </row>
    <row r="6270" spans="1:5" x14ac:dyDescent="0.2">
      <c r="A6270">
        <v>6209</v>
      </c>
      <c r="B6270" s="138">
        <f>'Acct Summary 7-8'!F82</f>
        <v>28425</v>
      </c>
      <c r="D6270" s="2" t="str">
        <f t="shared" si="96"/>
        <v>Error?</v>
      </c>
      <c r="E6270" s="2" t="s">
        <v>190</v>
      </c>
    </row>
    <row r="6271" spans="1:5" x14ac:dyDescent="0.2">
      <c r="A6271">
        <v>6210</v>
      </c>
      <c r="B6271" s="138">
        <f>'Acct Summary 7-8'!G82</f>
        <v>30069</v>
      </c>
      <c r="D6271" s="2" t="str">
        <f t="shared" ref="D6271:D6334" si="97">IF(ISBLANK(B6271),"OK",IF(A6271-B6271=0,"OK","Error?"))</f>
        <v>Error?</v>
      </c>
      <c r="E6271" s="2" t="s">
        <v>190</v>
      </c>
    </row>
    <row r="6272" spans="1:5" x14ac:dyDescent="0.2">
      <c r="A6272">
        <v>6211</v>
      </c>
      <c r="B6272" s="138">
        <f>'Acct Summary 7-8'!H82</f>
        <v>-2104704</v>
      </c>
      <c r="D6272" s="2" t="str">
        <f t="shared" si="97"/>
        <v>Error?</v>
      </c>
      <c r="E6272" s="2" t="s">
        <v>190</v>
      </c>
    </row>
    <row r="6273" spans="1:5" x14ac:dyDescent="0.2">
      <c r="A6273">
        <v>6212</v>
      </c>
      <c r="B6273" s="138">
        <f>'Acct Summary 7-8'!I82</f>
        <v>-266568</v>
      </c>
      <c r="D6273" s="2" t="str">
        <f t="shared" si="97"/>
        <v>Error?</v>
      </c>
      <c r="E6273" s="2" t="s">
        <v>190</v>
      </c>
    </row>
    <row r="6274" spans="1:5" x14ac:dyDescent="0.2">
      <c r="A6274">
        <v>6213</v>
      </c>
      <c r="B6274" s="138">
        <f>'Acct Summary 7-8'!J82</f>
        <v>-17060</v>
      </c>
      <c r="D6274" s="2" t="str">
        <f t="shared" si="97"/>
        <v>Error?</v>
      </c>
      <c r="E6274" s="2" t="s">
        <v>190</v>
      </c>
    </row>
    <row r="6275" spans="1:5" x14ac:dyDescent="0.2">
      <c r="A6275">
        <v>6214</v>
      </c>
      <c r="B6275" s="138">
        <f>'Acct Summary 7-8'!K82</f>
        <v>-722684</v>
      </c>
      <c r="D6275" s="2" t="str">
        <f t="shared" si="97"/>
        <v>Error?</v>
      </c>
      <c r="E6275" s="2" t="s">
        <v>190</v>
      </c>
    </row>
    <row r="6276" spans="1:5" x14ac:dyDescent="0.2">
      <c r="A6276">
        <v>6215</v>
      </c>
      <c r="B6276" s="138">
        <f>'Acct Summary 7-8'!C83</f>
        <v>0.11013997537187117</v>
      </c>
      <c r="D6276" s="2" t="str">
        <f t="shared" si="97"/>
        <v>Error?</v>
      </c>
      <c r="E6276" s="2" t="s">
        <v>190</v>
      </c>
    </row>
    <row r="6277" spans="1:5" x14ac:dyDescent="0.2">
      <c r="A6277">
        <v>6216</v>
      </c>
      <c r="B6277" s="138">
        <f>'Acct Summary 7-8'!D83</f>
        <v>-4.0854680166413422E-2</v>
      </c>
      <c r="D6277" s="2" t="str">
        <f t="shared" si="97"/>
        <v>Error?</v>
      </c>
      <c r="E6277" s="2" t="s">
        <v>190</v>
      </c>
    </row>
    <row r="6278" spans="1:5" x14ac:dyDescent="0.2">
      <c r="A6278">
        <v>6217</v>
      </c>
      <c r="B6278" s="138">
        <f>'Acct Summary 7-8'!E83</f>
        <v>-2.6859074743512813E-3</v>
      </c>
      <c r="D6278" s="2" t="str">
        <f t="shared" si="97"/>
        <v>Error?</v>
      </c>
      <c r="E6278" s="2" t="s">
        <v>190</v>
      </c>
    </row>
    <row r="6279" spans="1:5" x14ac:dyDescent="0.2">
      <c r="A6279">
        <v>6218</v>
      </c>
      <c r="B6279" s="138">
        <f>'Acct Summary 7-8'!F83</f>
        <v>2.0300018925259507E-2</v>
      </c>
      <c r="D6279" s="2" t="str">
        <f t="shared" si="97"/>
        <v>Error?</v>
      </c>
      <c r="E6279" s="2" t="s">
        <v>190</v>
      </c>
    </row>
    <row r="6280" spans="1:5" x14ac:dyDescent="0.2">
      <c r="A6280">
        <v>6219</v>
      </c>
      <c r="B6280" s="138">
        <f>'Acct Summary 7-8'!G83</f>
        <v>3.1616135595358884E-2</v>
      </c>
      <c r="D6280" s="2" t="str">
        <f t="shared" si="97"/>
        <v>Error?</v>
      </c>
      <c r="E6280" s="2" t="s">
        <v>190</v>
      </c>
    </row>
    <row r="6281" spans="1:5" x14ac:dyDescent="0.2">
      <c r="A6281">
        <v>6220</v>
      </c>
      <c r="B6281" s="138">
        <f>'Acct Summary 7-8'!H83</f>
        <v>-1.4451295375209763</v>
      </c>
      <c r="D6281" s="2" t="str">
        <f t="shared" si="97"/>
        <v>Error?</v>
      </c>
      <c r="E6281" s="2" t="s">
        <v>190</v>
      </c>
    </row>
    <row r="6282" spans="1:5" x14ac:dyDescent="0.2">
      <c r="A6282">
        <v>6221</v>
      </c>
      <c r="B6282" s="138">
        <f>'Acct Summary 7-8'!I83</f>
        <v>-5.5018888439630986E-2</v>
      </c>
      <c r="D6282" s="2" t="str">
        <f t="shared" si="97"/>
        <v>Error?</v>
      </c>
      <c r="E6282" s="2" t="s">
        <v>190</v>
      </c>
    </row>
    <row r="6283" spans="1:5" x14ac:dyDescent="0.2">
      <c r="A6283">
        <v>6222</v>
      </c>
      <c r="B6283" s="138">
        <f>'Acct Summary 7-8'!J83</f>
        <v>-2.1912867451556635E-2</v>
      </c>
      <c r="D6283" s="2" t="str">
        <f t="shared" si="97"/>
        <v>Error?</v>
      </c>
      <c r="E6283" s="2" t="s">
        <v>190</v>
      </c>
    </row>
    <row r="6284" spans="1:5" x14ac:dyDescent="0.2">
      <c r="A6284">
        <v>6223</v>
      </c>
      <c r="B6284" s="138">
        <f>'Acct Summary 7-8'!K83</f>
        <v>-300.11794019933552</v>
      </c>
      <c r="D6284" s="2" t="str">
        <f t="shared" si="97"/>
        <v>Error?</v>
      </c>
      <c r="E6284" s="2" t="s">
        <v>190</v>
      </c>
    </row>
    <row r="6285" spans="1:5" x14ac:dyDescent="0.2">
      <c r="A6285">
        <v>6224</v>
      </c>
      <c r="B6285" s="138">
        <f>'Acct Summary 7-8'!E37</f>
        <v>49180</v>
      </c>
      <c r="D6285" s="2" t="str">
        <f t="shared" si="97"/>
        <v>Error?</v>
      </c>
      <c r="E6285" s="2" t="s">
        <v>190</v>
      </c>
    </row>
    <row r="6286" spans="1:5" x14ac:dyDescent="0.2">
      <c r="A6286">
        <v>6225</v>
      </c>
      <c r="B6286" s="138">
        <f>'Acct Summary 7-8'!E38</f>
        <v>1238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812904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812904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129</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129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6111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6111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27074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5870</v>
      </c>
      <c r="D6350" s="2" t="str">
        <f t="shared" si="98"/>
        <v>Error?</v>
      </c>
      <c r="E6350" s="2" t="s">
        <v>190</v>
      </c>
    </row>
    <row r="6351" spans="1:5" x14ac:dyDescent="0.2">
      <c r="A6351">
        <v>6290</v>
      </c>
      <c r="B6351" s="138">
        <f>'Revenues 9-14'!J108</f>
        <v>5870</v>
      </c>
      <c r="D6351" s="2" t="str">
        <f t="shared" si="98"/>
        <v>Error?</v>
      </c>
      <c r="E6351" s="2" t="s">
        <v>190</v>
      </c>
    </row>
    <row r="6352" spans="1:5" x14ac:dyDescent="0.2">
      <c r="A6352">
        <v>6291</v>
      </c>
      <c r="B6352" s="138">
        <f>'Revenues 9-14'!J109</f>
        <v>825014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5195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70335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75872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83717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51030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51030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6360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6360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57390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1205354</v>
      </c>
      <c r="D6983" s="2" t="str">
        <f t="shared" si="108"/>
        <v>Error?</v>
      </c>
    </row>
    <row r="6984" spans="1:4" x14ac:dyDescent="0.2">
      <c r="A6984">
        <v>6923</v>
      </c>
      <c r="B6984" s="138">
        <f>'Expenditures 15-22'!K86</f>
        <v>1205354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1205354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57390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3030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3030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3030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827197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3030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825014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32143</v>
      </c>
      <c r="D7073" s="2" t="str">
        <f t="shared" si="109"/>
        <v>Error?</v>
      </c>
    </row>
    <row r="7074" spans="1:4" x14ac:dyDescent="0.2">
      <c r="A7074">
        <v>7013</v>
      </c>
      <c r="B7074" s="138">
        <f>'Expenditures 15-22'!K216</f>
        <v>32143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923</v>
      </c>
      <c r="D7079" s="2" t="str">
        <f t="shared" si="109"/>
        <v>Error?</v>
      </c>
    </row>
    <row r="7080" spans="1:4" x14ac:dyDescent="0.2">
      <c r="A7080">
        <v>7019</v>
      </c>
      <c r="B7080" s="138">
        <f>'Expenditures 15-22'!K226</f>
        <v>923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886</v>
      </c>
      <c r="D7093" s="2" t="str">
        <f t="shared" si="109"/>
        <v>Error?</v>
      </c>
    </row>
    <row r="7094" spans="1:4" x14ac:dyDescent="0.2">
      <c r="A7094">
        <v>7033</v>
      </c>
      <c r="B7094" s="138">
        <f>'Expenditures 15-22'!K254</f>
        <v>886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68412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68412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215985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215985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151311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1025</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152336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180200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142722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49722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372644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15948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15948</v>
      </c>
      <c r="D7198" s="2" t="str">
        <f t="shared" si="111"/>
        <v>Error?</v>
      </c>
    </row>
    <row r="7199" spans="1:4" x14ac:dyDescent="0.2">
      <c r="A7199">
        <v>7138</v>
      </c>
      <c r="B7199" s="138">
        <f>'Expenditures 15-22'!C330</f>
        <v>180200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596250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49722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1025</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827197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180200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596250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49722</v>
      </c>
      <c r="D7220" s="2" t="str">
        <f t="shared" si="111"/>
        <v>Error?</v>
      </c>
    </row>
    <row r="7221" spans="1:4" x14ac:dyDescent="0.2">
      <c r="A7221">
        <v>7160</v>
      </c>
      <c r="B7221" s="138">
        <f>'Expenditures 15-22'!H342</f>
        <v>14877</v>
      </c>
      <c r="D7221" s="2" t="str">
        <f t="shared" si="111"/>
        <v>Error?</v>
      </c>
    </row>
    <row r="7222" spans="1:4" x14ac:dyDescent="0.2">
      <c r="A7222">
        <v>7161</v>
      </c>
      <c r="B7222" s="138">
        <f>'Expenditures 15-22'!I342</f>
        <v>1025</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842074</v>
      </c>
      <c r="D7224" s="2" t="str">
        <f t="shared" si="111"/>
        <v>Error?</v>
      </c>
    </row>
    <row r="7225" spans="1:4" x14ac:dyDescent="0.2">
      <c r="A7225">
        <v>7164</v>
      </c>
      <c r="B7225" s="138">
        <f>'Expenditures 15-22'!K343</f>
        <v>-17060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5442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67471</v>
      </c>
      <c r="D7263" s="2" t="str">
        <f t="shared" si="112"/>
        <v>Error?</v>
      </c>
    </row>
    <row r="7264" spans="1:4" x14ac:dyDescent="0.2">
      <c r="A7264">
        <f t="shared" si="113"/>
        <v>7203</v>
      </c>
      <c r="B7264" s="138">
        <f>'Expenditures 15-22'!D17</f>
        <v>8999</v>
      </c>
      <c r="D7264" s="2" t="str">
        <f t="shared" si="112"/>
        <v>Error?</v>
      </c>
    </row>
    <row r="7265" spans="1:5" x14ac:dyDescent="0.2">
      <c r="A7265">
        <f t="shared" si="113"/>
        <v>7204</v>
      </c>
      <c r="B7265" s="138">
        <f>'Expenditures 15-22'!E17</f>
        <v>5606</v>
      </c>
      <c r="D7265" s="2" t="str">
        <f t="shared" si="112"/>
        <v>Error?</v>
      </c>
    </row>
    <row r="7266" spans="1:5" x14ac:dyDescent="0.2">
      <c r="A7266">
        <f t="shared" si="113"/>
        <v>7205</v>
      </c>
      <c r="B7266" s="138">
        <f>'Expenditures 15-22'!F17</f>
        <v>1641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12010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12010</v>
      </c>
      <c r="D7609" s="2" t="str">
        <f t="shared" si="122"/>
        <v>Error?</v>
      </c>
      <c r="E7609" s="2" t="s">
        <v>19</v>
      </c>
    </row>
    <row r="7610" spans="1:5" x14ac:dyDescent="0.2">
      <c r="A7610">
        <f t="shared" si="123"/>
        <v>7549</v>
      </c>
      <c r="B7610" s="138">
        <f>'Cap Outlay Deprec 26'!H9</f>
        <v>601</v>
      </c>
      <c r="D7610" s="2" t="str">
        <f t="shared" si="122"/>
        <v>Error?</v>
      </c>
      <c r="E7610" s="2" t="s">
        <v>19</v>
      </c>
    </row>
    <row r="7611" spans="1:5" x14ac:dyDescent="0.2">
      <c r="A7611">
        <f t="shared" si="123"/>
        <v>7550</v>
      </c>
      <c r="B7611" s="138">
        <f>'Cap Outlay Deprec 26'!I9</f>
        <v>601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1202</v>
      </c>
      <c r="D7613" s="2" t="str">
        <f t="shared" si="122"/>
        <v>Error?</v>
      </c>
      <c r="E7613" s="2" t="s">
        <v>19</v>
      </c>
    </row>
    <row r="7614" spans="1:5" x14ac:dyDescent="0.2">
      <c r="A7614">
        <f t="shared" si="123"/>
        <v>7553</v>
      </c>
      <c r="B7614" s="138">
        <f>'Cap Outlay Deprec 26'!L9</f>
        <v>10808</v>
      </c>
      <c r="D7614" s="2" t="str">
        <f t="shared" si="122"/>
        <v>Error?</v>
      </c>
      <c r="E7614" s="2" t="s">
        <v>19</v>
      </c>
    </row>
    <row r="7615" spans="1:5" x14ac:dyDescent="0.2">
      <c r="A7615">
        <f t="shared" si="123"/>
        <v>7554</v>
      </c>
      <c r="B7615" s="138">
        <f>'Cap Outlay Deprec 26'!C14</f>
        <v>63223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63223</v>
      </c>
      <c r="D7618" s="2" t="str">
        <f t="shared" si="124"/>
        <v>Error?</v>
      </c>
      <c r="E7618" s="2" t="s">
        <v>19</v>
      </c>
    </row>
    <row r="7619" spans="1:5" x14ac:dyDescent="0.2">
      <c r="A7619">
        <f t="shared" si="123"/>
        <v>7558</v>
      </c>
      <c r="B7619" s="138">
        <f>'Cap Outlay Deprec 26'!H14</f>
        <v>63223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63223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61445</v>
      </c>
      <c r="D7624" s="2" t="str">
        <f t="shared" si="124"/>
        <v>Error?</v>
      </c>
      <c r="E7624" s="2" t="s">
        <v>19</v>
      </c>
    </row>
    <row r="7625" spans="1:5" x14ac:dyDescent="0.2">
      <c r="A7625">
        <f t="shared" si="123"/>
        <v>7564</v>
      </c>
      <c r="B7625" s="138">
        <f>'Cap Outlay Deprec 26'!I17</f>
        <v>6144.5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1444488.5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2384789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5951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27074</v>
      </c>
      <c r="D7712" s="2" t="str">
        <f t="shared" si="126"/>
        <v>Error?</v>
      </c>
      <c r="E7712" s="2" t="s">
        <v>827</v>
      </c>
    </row>
    <row r="7713" spans="1:6" x14ac:dyDescent="0.2">
      <c r="A7713">
        <v>7652</v>
      </c>
      <c r="B7713" s="138">
        <f>'Rest Tax Levies-Tort Im 25'!J8</f>
        <v>1012831</v>
      </c>
      <c r="D7713" s="2" t="str">
        <f t="shared" si="126"/>
        <v>Error?</v>
      </c>
      <c r="E7713" s="2" t="s">
        <v>827</v>
      </c>
    </row>
    <row r="7714" spans="1:6" x14ac:dyDescent="0.2">
      <c r="A7714">
        <v>7653</v>
      </c>
      <c r="B7714" s="138">
        <f>'Rest Tax Levies-Tort Im 25'!K9</f>
        <v>39064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1018782</v>
      </c>
      <c r="D7718" s="2" t="str">
        <f t="shared" si="126"/>
        <v>Error?</v>
      </c>
      <c r="E7718" s="2" t="s">
        <v>827</v>
      </c>
    </row>
    <row r="7719" spans="1:6" x14ac:dyDescent="0.2">
      <c r="A7719">
        <v>7658</v>
      </c>
      <c r="B7719" s="138">
        <f>'Rest Tax Levies-Tort Im 25'!K12</f>
        <v>66138</v>
      </c>
      <c r="D7719" s="2" t="str">
        <f t="shared" si="126"/>
        <v>Error?</v>
      </c>
      <c r="E7719" s="2" t="s">
        <v>827</v>
      </c>
    </row>
    <row r="7720" spans="1:6" x14ac:dyDescent="0.2">
      <c r="A7720">
        <v>7659</v>
      </c>
      <c r="B7720" s="138">
        <f>'Rest Tax Levies-Tort Im 25'!H14</f>
        <v>147962</v>
      </c>
      <c r="D7720" s="2" t="str">
        <f t="shared" si="126"/>
        <v>Error?</v>
      </c>
      <c r="E7720" s="2" t="s">
        <v>827</v>
      </c>
    </row>
    <row r="7721" spans="1:6" x14ac:dyDescent="0.2">
      <c r="A7721">
        <v>7660</v>
      </c>
      <c r="B7721" s="138">
        <f>'Rest Tax Levies-Tort Im 25'!K14</f>
        <v>66138</v>
      </c>
      <c r="D7721" s="2" t="str">
        <f t="shared" si="126"/>
        <v>Error?</v>
      </c>
      <c r="E7721" s="2" t="s">
        <v>827</v>
      </c>
    </row>
    <row r="7722" spans="1:6" x14ac:dyDescent="0.2">
      <c r="A7722">
        <v>7661</v>
      </c>
      <c r="B7722" s="138">
        <f>'Rest Tax Levies-Tort Im 25'!J15</f>
        <v>2537229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275000</v>
      </c>
      <c r="D7724" s="2" t="str">
        <f t="shared" si="126"/>
        <v>Error?</v>
      </c>
      <c r="E7724" s="2" t="s">
        <v>827</v>
      </c>
      <c r="F7724" s="2"/>
    </row>
    <row r="7725" spans="1:6" x14ac:dyDescent="0.2">
      <c r="A7725">
        <v>7664</v>
      </c>
      <c r="B7725" s="138">
        <f>'Rest Tax Levies-Tort Im 25'!J19</f>
        <v>325000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600000</v>
      </c>
      <c r="D7727" s="2" t="str">
        <f t="shared" si="126"/>
        <v>Error?</v>
      </c>
      <c r="E7727" s="2" t="s">
        <v>827</v>
      </c>
    </row>
    <row r="7728" spans="1:6" x14ac:dyDescent="0.2">
      <c r="A7728">
        <v>7667</v>
      </c>
      <c r="B7728" s="138">
        <f>'Revenues 9-14'!E103</f>
        <v>600000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3137229</v>
      </c>
      <c r="D7730" s="2" t="str">
        <f t="shared" si="126"/>
        <v>Error?</v>
      </c>
      <c r="E7730" s="2" t="s">
        <v>827</v>
      </c>
    </row>
    <row r="7731" spans="1:6" x14ac:dyDescent="0.2">
      <c r="A7731">
        <v>7670</v>
      </c>
      <c r="B7731" s="138">
        <f>'Revenues 9-14'!H103</f>
        <v>412831</v>
      </c>
      <c r="D7731" s="2" t="str">
        <f t="shared" si="126"/>
        <v>Error?</v>
      </c>
      <c r="E7731" s="2" t="s">
        <v>827</v>
      </c>
    </row>
    <row r="7732" spans="1:6" x14ac:dyDescent="0.2">
      <c r="A7732">
        <v>7671</v>
      </c>
      <c r="B7732" s="138">
        <f>'Rest Tax Levies-Tort Im 25'!J24</f>
        <v>266342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266342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500000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14877</v>
      </c>
      <c r="D7787" s="2" t="str">
        <f t="shared" si="127"/>
        <v>Error?</v>
      </c>
      <c r="E7787" s="4" t="s">
        <v>1851</v>
      </c>
    </row>
    <row r="7788" spans="1:5" x14ac:dyDescent="0.2">
      <c r="A7788">
        <v>7727</v>
      </c>
      <c r="B7788" s="138">
        <f>'Expenditures 15-22'!K333</f>
        <v>14877</v>
      </c>
      <c r="D7788" s="2" t="str">
        <f t="shared" si="127"/>
        <v>Error?</v>
      </c>
      <c r="E7788" s="4" t="s">
        <v>1851</v>
      </c>
    </row>
    <row r="7789" spans="1:5" x14ac:dyDescent="0.2">
      <c r="A7789">
        <v>7728</v>
      </c>
      <c r="B7789" s="138">
        <f>'Expenditures 15-22'!H334</f>
        <v>14877</v>
      </c>
      <c r="D7789" s="2" t="str">
        <f t="shared" si="127"/>
        <v>Error?</v>
      </c>
      <c r="E7789" s="4" t="s">
        <v>1851</v>
      </c>
    </row>
    <row r="7790" spans="1:5" x14ac:dyDescent="0.2">
      <c r="A7790">
        <v>7729</v>
      </c>
      <c r="B7790" s="138">
        <f>'Expenditures 15-22'!K334</f>
        <v>14877</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14877</v>
      </c>
      <c r="D7796" s="2" t="str">
        <f t="shared" si="127"/>
        <v>Error?</v>
      </c>
      <c r="E7796" s="4" t="s">
        <v>1851</v>
      </c>
    </row>
    <row r="7797" spans="1:5" x14ac:dyDescent="0.2">
      <c r="A7797">
        <v>7736</v>
      </c>
      <c r="B7797" s="138">
        <f>'Contracts Paid in CY 29'!D141</f>
        <v>2246784</v>
      </c>
      <c r="D7797" s="2" t="str">
        <f t="shared" si="127"/>
        <v>Error?</v>
      </c>
      <c r="E7797" s="4" t="s">
        <v>1900</v>
      </c>
    </row>
    <row r="7798" spans="1:5" x14ac:dyDescent="0.2">
      <c r="A7798">
        <v>7737</v>
      </c>
      <c r="B7798" s="138">
        <f>'Contracts Paid in CY 29'!F141</f>
        <v>250000</v>
      </c>
      <c r="D7798" s="2" t="str">
        <f t="shared" si="127"/>
        <v>Error?</v>
      </c>
      <c r="E7798" s="4" t="s">
        <v>1900</v>
      </c>
    </row>
    <row r="7799" spans="1:5" x14ac:dyDescent="0.2">
      <c r="A7799">
        <v>7738</v>
      </c>
      <c r="B7799" s="138">
        <f>'Contracts Paid in CY 29'!G141</f>
        <v>1996784</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41" t="s">
        <v>1191</v>
      </c>
      <c r="B2" s="2541"/>
      <c r="C2" s="2541"/>
      <c r="D2" s="2541"/>
      <c r="E2" s="2541"/>
      <c r="F2" s="2541"/>
      <c r="G2" s="2541"/>
      <c r="H2" s="2541"/>
      <c r="I2" s="2541"/>
      <c r="J2" s="2541"/>
      <c r="K2" s="2541"/>
      <c r="L2" s="2541"/>
    </row>
    <row r="3" spans="1:29" ht="13.5" customHeight="1" x14ac:dyDescent="0.2">
      <c r="A3" s="2527" t="s">
        <v>1190</v>
      </c>
      <c r="B3" s="2527"/>
      <c r="C3" s="2527"/>
      <c r="D3" s="2527"/>
      <c r="E3" s="2527"/>
      <c r="F3" s="2527"/>
      <c r="G3" s="2527"/>
      <c r="H3" s="2527"/>
      <c r="I3" s="2527"/>
      <c r="J3" s="2527"/>
      <c r="K3" s="2527"/>
      <c r="L3" s="2527"/>
    </row>
    <row r="4" spans="1:29" ht="13.5" customHeight="1" x14ac:dyDescent="0.2">
      <c r="A4" s="2541" t="s">
        <v>1985</v>
      </c>
      <c r="B4" s="2558"/>
      <c r="C4" s="2558"/>
      <c r="D4" s="2558"/>
      <c r="E4" s="2558"/>
      <c r="F4" s="2558"/>
      <c r="G4" s="2558"/>
      <c r="H4" s="2558"/>
      <c r="I4" s="2558"/>
      <c r="J4" s="2558"/>
      <c r="K4" s="2558"/>
      <c r="L4" s="255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21" t="str">
        <f>COVER!A17</f>
        <v>Geneseo CUSD 228</v>
      </c>
      <c r="B7" s="2522"/>
      <c r="C7" s="2522"/>
      <c r="D7" s="2559"/>
      <c r="E7" s="2560">
        <f>COVER!A13</f>
        <v>28037228026</v>
      </c>
      <c r="F7" s="2561"/>
      <c r="G7" s="2528" t="str">
        <f>COVER!T23</f>
        <v>066-005027</v>
      </c>
      <c r="H7" s="2529"/>
      <c r="I7" s="2529"/>
      <c r="J7" s="2529"/>
      <c r="K7" s="2529"/>
      <c r="L7" s="253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31"/>
      <c r="B9" s="2532"/>
      <c r="C9" s="2532"/>
      <c r="D9" s="2532"/>
      <c r="E9" s="2532"/>
      <c r="F9" s="2533"/>
      <c r="G9" s="2534" t="str">
        <f>COVER!T13</f>
        <v>Gorenz and Associates, Ltd.</v>
      </c>
      <c r="H9" s="2535"/>
      <c r="I9" s="2535"/>
      <c r="J9" s="2535"/>
      <c r="K9" s="2535"/>
      <c r="L9" s="2536"/>
    </row>
    <row r="10" spans="1:29" ht="13.5" customHeight="1" x14ac:dyDescent="0.2">
      <c r="A10" s="2518" t="str">
        <f>COVER!A38</f>
        <v>Dr. Adam Brumbaugh</v>
      </c>
      <c r="B10" s="2519"/>
      <c r="C10" s="2519"/>
      <c r="D10" s="2519"/>
      <c r="E10" s="2519"/>
      <c r="F10" s="2520"/>
      <c r="G10" s="2534" t="str">
        <f>COVER!T17</f>
        <v>4200 N Knoxville Ave</v>
      </c>
      <c r="H10" s="2547"/>
      <c r="I10" s="2547"/>
      <c r="J10" s="2547"/>
      <c r="K10" s="2547"/>
      <c r="L10" s="2548"/>
    </row>
    <row r="11" spans="1:29" ht="13.5" customHeight="1" x14ac:dyDescent="0.2">
      <c r="A11" s="1181" t="s">
        <v>1519</v>
      </c>
      <c r="B11" s="1182"/>
      <c r="C11" s="1183"/>
      <c r="D11" s="1188"/>
      <c r="E11" s="1183"/>
      <c r="F11" s="1187"/>
      <c r="G11" s="2534" t="str">
        <f>COVER!T19</f>
        <v>Peoria</v>
      </c>
      <c r="H11" s="2547"/>
      <c r="I11" s="2547"/>
      <c r="J11" s="2547"/>
      <c r="K11" s="2547"/>
      <c r="L11" s="2548"/>
    </row>
    <row r="12" spans="1:29" ht="13.5" customHeight="1" x14ac:dyDescent="0.2">
      <c r="A12" s="2552" t="s">
        <v>1518</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1520</v>
      </c>
      <c r="H13" s="2543"/>
      <c r="I13" s="2555" t="str">
        <f>COVER!T25</f>
        <v>tcustis@gorenzcpa.com</v>
      </c>
      <c r="J13" s="2556"/>
      <c r="K13" s="2556"/>
      <c r="L13" s="2557"/>
    </row>
    <row r="14" spans="1:29" ht="13.5" customHeight="1" x14ac:dyDescent="0.2">
      <c r="A14" s="2534" t="str">
        <f>COVER!A19</f>
        <v>648 North Chicago St.</v>
      </c>
      <c r="B14" s="2547"/>
      <c r="C14" s="2547"/>
      <c r="D14" s="2547"/>
      <c r="E14" s="2547"/>
      <c r="F14" s="2548"/>
      <c r="G14" s="1192" t="s">
        <v>1185</v>
      </c>
      <c r="H14" s="1190"/>
      <c r="I14" s="1190"/>
      <c r="J14" s="1190"/>
      <c r="K14" s="1190"/>
      <c r="L14" s="1191"/>
    </row>
    <row r="15" spans="1:29" ht="13.5" customHeight="1" x14ac:dyDescent="0.2">
      <c r="A15" s="2534" t="str">
        <f>COVER!A21</f>
        <v>Geneseo, IL</v>
      </c>
      <c r="B15" s="2547"/>
      <c r="C15" s="2547"/>
      <c r="D15" s="2547"/>
      <c r="E15" s="2547"/>
      <c r="F15" s="2548"/>
      <c r="G15" s="2544" t="str">
        <f>COVER!T15</f>
        <v>Tim C. Custis, CPA</v>
      </c>
      <c r="H15" s="2545"/>
      <c r="I15" s="2545"/>
      <c r="J15" s="2545"/>
      <c r="K15" s="2545"/>
      <c r="L15" s="2546"/>
    </row>
    <row r="16" spans="1:29" ht="12.2" customHeight="1" x14ac:dyDescent="0.2">
      <c r="A16" s="2524">
        <f>COVER!A25</f>
        <v>61254</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1192" t="s">
        <v>1184</v>
      </c>
      <c r="H17" s="1190"/>
      <c r="I17" s="1190"/>
      <c r="J17" s="1190"/>
      <c r="K17" s="1194" t="s">
        <v>1183</v>
      </c>
      <c r="L17" s="1187"/>
      <c r="M17" s="1180"/>
    </row>
    <row r="18" spans="1:13" ht="12.2" customHeight="1" x14ac:dyDescent="0.2">
      <c r="A18" s="2518"/>
      <c r="B18" s="2519"/>
      <c r="C18" s="2519"/>
      <c r="D18" s="2519"/>
      <c r="E18" s="2519"/>
      <c r="F18" s="2520"/>
      <c r="G18" s="2521" t="str">
        <f>COVER!T21</f>
        <v>309-685-7621</v>
      </c>
      <c r="H18" s="2522"/>
      <c r="I18" s="2522"/>
      <c r="J18" s="2522"/>
      <c r="K18" s="2521" t="str">
        <f>COVER!X21</f>
        <v>309-685-4758</v>
      </c>
      <c r="L18" s="252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1697</v>
      </c>
    </row>
    <row r="22" spans="1:13" ht="12.2" customHeight="1" x14ac:dyDescent="0.2">
      <c r="A22" s="1197"/>
    </row>
    <row r="23" spans="1:13" ht="12.2" customHeight="1" x14ac:dyDescent="0.2">
      <c r="A23" s="1197"/>
      <c r="B23" s="1198" t="s">
        <v>2125</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2125</v>
      </c>
      <c r="C26" s="1199" t="s">
        <v>1698</v>
      </c>
    </row>
    <row r="27" spans="1:13" s="1195" customFormat="1" ht="9" customHeight="1" x14ac:dyDescent="0.2">
      <c r="B27" s="1200"/>
      <c r="C27" s="1199"/>
    </row>
    <row r="28" spans="1:13" s="1195" customFormat="1" ht="12.2" customHeight="1" x14ac:dyDescent="0.2">
      <c r="A28" s="1202"/>
      <c r="B28" s="1198" t="s">
        <v>2125</v>
      </c>
      <c r="C28" s="1199" t="s">
        <v>1699</v>
      </c>
    </row>
    <row r="29" spans="1:13" s="1195" customFormat="1" ht="9" customHeight="1" x14ac:dyDescent="0.2">
      <c r="A29" s="1202"/>
      <c r="B29" s="1200"/>
      <c r="C29" s="1199"/>
    </row>
    <row r="30" spans="1:13" s="1195" customFormat="1" ht="12.2" customHeight="1" x14ac:dyDescent="0.2">
      <c r="B30" s="1198" t="s">
        <v>2125</v>
      </c>
      <c r="C30" s="1199" t="s">
        <v>1561</v>
      </c>
      <c r="D30" s="1193"/>
      <c r="E30" s="1193"/>
    </row>
    <row r="31" spans="1:13" s="1195" customFormat="1" ht="9" customHeight="1" x14ac:dyDescent="0.2">
      <c r="B31" s="1200"/>
      <c r="C31" s="1199"/>
      <c r="D31" s="1193"/>
      <c r="E31" s="1193"/>
    </row>
    <row r="32" spans="1:13" s="1195" customFormat="1" ht="12.2" customHeight="1" x14ac:dyDescent="0.2">
      <c r="B32" s="1198" t="s">
        <v>2125</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2125</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2125</v>
      </c>
      <c r="C38" s="1199" t="s">
        <v>1565</v>
      </c>
    </row>
    <row r="39" spans="1:8" ht="9" customHeight="1" x14ac:dyDescent="0.2">
      <c r="B39" s="1200"/>
      <c r="C39" s="1203"/>
    </row>
    <row r="40" spans="1:8" s="1195" customFormat="1" ht="13.5" customHeight="1" x14ac:dyDescent="0.2">
      <c r="B40" s="1198" t="s">
        <v>2125</v>
      </c>
      <c r="C40" s="1199" t="s">
        <v>1566</v>
      </c>
    </row>
    <row r="41" spans="1:8" ht="9" customHeight="1" x14ac:dyDescent="0.2">
      <c r="A41" s="1204"/>
      <c r="B41" s="1200"/>
      <c r="C41" s="1203"/>
    </row>
    <row r="42" spans="1:8" s="1195" customFormat="1" ht="13.5" customHeight="1" x14ac:dyDescent="0.2">
      <c r="B42" s="1198" t="s">
        <v>2125</v>
      </c>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29"/>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62" t="str">
        <f>'Single Audit Cover'!A7</f>
        <v>Geneseo CUSD 228</v>
      </c>
      <c r="B1" s="2558"/>
      <c r="C1" s="2558"/>
      <c r="D1" s="2558"/>
    </row>
    <row r="2" spans="1:11" s="1209" customFormat="1" ht="12.75" x14ac:dyDescent="0.2">
      <c r="A2" s="2563">
        <f>'Single Audit Cover'!E7</f>
        <v>28037228026</v>
      </c>
      <c r="B2" s="2564"/>
      <c r="C2" s="2564"/>
      <c r="D2" s="2564"/>
    </row>
    <row r="3" spans="1:11" s="1209" customFormat="1" ht="12.75" x14ac:dyDescent="0.2">
      <c r="A3" s="2562" t="s">
        <v>1513</v>
      </c>
      <c r="B3" s="2558"/>
      <c r="C3" s="2558"/>
      <c r="D3" s="255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1209</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1208</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1207</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1206</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1200</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66" t="str">
        <f>'Single Audit Cover'!A7</f>
        <v>Geneseo CUSD 228</v>
      </c>
      <c r="B1" s="2566"/>
      <c r="C1" s="2566"/>
      <c r="D1" s="2566"/>
      <c r="E1" s="2566"/>
    </row>
    <row r="2" spans="1:5" x14ac:dyDescent="0.2">
      <c r="A2" s="2567">
        <f>'Single Audit Cover'!E7</f>
        <v>28037228026</v>
      </c>
      <c r="B2" s="2567"/>
      <c r="C2" s="2567"/>
      <c r="D2" s="2567"/>
      <c r="E2" s="2567"/>
    </row>
    <row r="3" spans="1:5" ht="4.5" customHeight="1" x14ac:dyDescent="0.2"/>
    <row r="4" spans="1:5" x14ac:dyDescent="0.2">
      <c r="A4" s="2566" t="s">
        <v>1245</v>
      </c>
      <c r="B4" s="2566"/>
      <c r="C4" s="2566"/>
      <c r="D4" s="2566"/>
      <c r="E4" s="2566"/>
    </row>
    <row r="5" spans="1:5" x14ac:dyDescent="0.2">
      <c r="A5" s="2569" t="str">
        <f>'Single Audit Cover'!A4</f>
        <v>Year Ending June 30, 2019</v>
      </c>
      <c r="B5" s="2569"/>
      <c r="C5" s="2569"/>
      <c r="D5" s="2569"/>
      <c r="E5" s="2569"/>
    </row>
    <row r="6" spans="1:5" x14ac:dyDescent="0.2">
      <c r="A6" s="2566" t="s">
        <v>1244</v>
      </c>
      <c r="B6" s="2566"/>
      <c r="C6" s="2566"/>
      <c r="D6" s="2566"/>
      <c r="E6" s="2566"/>
    </row>
    <row r="8" spans="1:5" x14ac:dyDescent="0.2">
      <c r="A8" s="1254" t="s">
        <v>1243</v>
      </c>
    </row>
    <row r="10" spans="1:5" x14ac:dyDescent="0.2">
      <c r="A10" s="1255" t="s">
        <v>1242</v>
      </c>
      <c r="B10" s="1256" t="s">
        <v>1241</v>
      </c>
      <c r="C10" s="1256"/>
      <c r="D10" s="1257">
        <f>SUM('Acct Summary 7-8'!C7:K7)</f>
        <v>712758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1726</v>
      </c>
      <c r="B14" s="1256"/>
      <c r="C14" s="1256"/>
      <c r="D14" s="1258">
        <f>'ICR Computation 30'!E11</f>
        <v>84865</v>
      </c>
    </row>
    <row r="15" spans="1:5" x14ac:dyDescent="0.2">
      <c r="A15" s="1255"/>
      <c r="B15" s="1256"/>
      <c r="C15" s="1256"/>
    </row>
    <row r="16" spans="1:5" x14ac:dyDescent="0.2">
      <c r="A16" s="1255" t="s">
        <v>1840</v>
      </c>
      <c r="B16" s="1256"/>
      <c r="C16" s="1256"/>
    </row>
    <row r="17" spans="1:4" x14ac:dyDescent="0.2">
      <c r="A17" s="1255" t="s">
        <v>2057</v>
      </c>
      <c r="B17" s="1256" t="s">
        <v>1236</v>
      </c>
      <c r="C17" s="1256"/>
      <c r="D17" s="1258">
        <f>-SUM('Revenues 9-14'!C264:D264,'Revenues 9-14'!F264:G264)</f>
        <v>-19404</v>
      </c>
    </row>
    <row r="19" spans="1:4" ht="13.5" thickBot="1" x14ac:dyDescent="0.25">
      <c r="A19" s="1259" t="s">
        <v>1235</v>
      </c>
      <c r="D19" s="1260">
        <f>SUM(D10:D17)</f>
        <v>778219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68"/>
      <c r="B24" s="2568"/>
      <c r="D24" s="1262"/>
    </row>
    <row r="25" spans="1:4" x14ac:dyDescent="0.2">
      <c r="A25" s="2565"/>
      <c r="B25" s="2565"/>
      <c r="D25" s="1262"/>
    </row>
    <row r="26" spans="1:4" x14ac:dyDescent="0.2">
      <c r="A26" s="2565"/>
      <c r="B26" s="2565"/>
      <c r="D26" s="1262"/>
    </row>
    <row r="27" spans="1:4" x14ac:dyDescent="0.2">
      <c r="A27" s="2565"/>
      <c r="B27" s="2565"/>
      <c r="D27" s="1262"/>
    </row>
    <row r="28" spans="1:4" x14ac:dyDescent="0.2">
      <c r="A28" s="2565"/>
      <c r="B28" s="2565"/>
      <c r="D28" s="1262"/>
    </row>
    <row r="29" spans="1:4" x14ac:dyDescent="0.2">
      <c r="A29" s="2565"/>
      <c r="B29" s="2565"/>
      <c r="D29" s="1262"/>
    </row>
    <row r="30" spans="1:4" x14ac:dyDescent="0.2">
      <c r="A30" s="2565"/>
      <c r="B30" s="2565"/>
      <c r="D30" s="1262"/>
    </row>
    <row r="32" spans="1:4" x14ac:dyDescent="0.2">
      <c r="A32" s="1254" t="s">
        <v>1233</v>
      </c>
      <c r="D32" s="1257">
        <f>SUM(D19:D30)</f>
        <v>778219</v>
      </c>
    </row>
    <row r="33" spans="1:4" x14ac:dyDescent="0.2">
      <c r="D33" s="1263"/>
    </row>
    <row r="34" spans="1:4" x14ac:dyDescent="0.2">
      <c r="A34" s="317" t="s">
        <v>1232</v>
      </c>
    </row>
    <row r="35" spans="1:4" x14ac:dyDescent="0.2">
      <c r="A35" s="317" t="s">
        <v>1231</v>
      </c>
      <c r="B35" s="1252" t="s">
        <v>1230</v>
      </c>
      <c r="D35" s="1264">
        <f>D32</f>
        <v>778219</v>
      </c>
    </row>
    <row r="37" spans="1:4" x14ac:dyDescent="0.2">
      <c r="A37" s="1254" t="s">
        <v>1229</v>
      </c>
    </row>
    <row r="39" spans="1:4" ht="13.35" customHeight="1" x14ac:dyDescent="0.2">
      <c r="A39" s="1261" t="s">
        <v>1228</v>
      </c>
    </row>
    <row r="40" spans="1:4" x14ac:dyDescent="0.2">
      <c r="A40" s="2565"/>
      <c r="B40" s="2565"/>
      <c r="D40" s="1262"/>
    </row>
    <row r="41" spans="1:4" x14ac:dyDescent="0.2">
      <c r="A41" s="2565"/>
      <c r="B41" s="2565"/>
      <c r="D41" s="1265"/>
    </row>
    <row r="42" spans="1:4" x14ac:dyDescent="0.2">
      <c r="A42" s="2565"/>
      <c r="B42" s="2565"/>
      <c r="D42" s="1265"/>
    </row>
    <row r="43" spans="1:4" x14ac:dyDescent="0.2">
      <c r="A43" s="2565"/>
      <c r="B43" s="2565"/>
      <c r="D43" s="1265"/>
    </row>
    <row r="44" spans="1:4" x14ac:dyDescent="0.2">
      <c r="A44" s="2565"/>
      <c r="B44" s="2565"/>
      <c r="D44" s="1265"/>
    </row>
    <row r="45" spans="1:4" x14ac:dyDescent="0.2">
      <c r="A45" s="2565"/>
      <c r="B45" s="2565"/>
      <c r="D45" s="1265"/>
    </row>
    <row r="47" spans="1:4" x14ac:dyDescent="0.2">
      <c r="B47" s="1266" t="s">
        <v>1227</v>
      </c>
      <c r="C47" s="1266"/>
      <c r="D47" s="1267">
        <f>SUM(D35:D45)</f>
        <v>778219</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27" t="str">
        <f>'Single Audit Cover'!A7</f>
        <v>Geneseo CUSD 228</v>
      </c>
      <c r="C1" s="2570"/>
      <c r="D1" s="2570"/>
      <c r="E1" s="2570"/>
      <c r="F1" s="2570"/>
      <c r="G1" s="2570"/>
      <c r="H1" s="2570"/>
      <c r="I1" s="2570"/>
      <c r="J1" s="2570"/>
      <c r="K1" s="2570"/>
      <c r="L1" s="2570"/>
      <c r="M1" s="2570"/>
    </row>
    <row r="2" spans="2:14" ht="15" x14ac:dyDescent="0.2">
      <c r="B2" s="2571">
        <f>'Single Audit Cover'!E7</f>
        <v>28037228026</v>
      </c>
      <c r="C2" s="2571"/>
      <c r="D2" s="2571"/>
      <c r="E2" s="2571"/>
      <c r="F2" s="2571"/>
      <c r="G2" s="2571"/>
      <c r="H2" s="2571"/>
      <c r="I2" s="2571"/>
      <c r="J2" s="2571"/>
      <c r="K2" s="2571"/>
      <c r="L2" s="2571"/>
      <c r="M2" s="2571"/>
      <c r="N2" s="1295"/>
    </row>
    <row r="3" spans="2:14" ht="15" x14ac:dyDescent="0.2">
      <c r="B3" s="2572" t="s">
        <v>1219</v>
      </c>
      <c r="C3" s="2572"/>
      <c r="D3" s="2572"/>
      <c r="E3" s="2572"/>
      <c r="F3" s="2572"/>
      <c r="G3" s="2572"/>
      <c r="H3" s="2572"/>
      <c r="I3" s="2572"/>
      <c r="J3" s="2572"/>
      <c r="K3" s="2572"/>
      <c r="L3" s="2572"/>
      <c r="M3" s="2572"/>
      <c r="N3" s="1295"/>
    </row>
    <row r="4" spans="2:14" ht="15" x14ac:dyDescent="0.2">
      <c r="B4" s="2573" t="str">
        <f>'Single Audit Cover'!A4</f>
        <v>Year Ending June 30, 2019</v>
      </c>
      <c r="C4" s="2573"/>
      <c r="D4" s="2573"/>
      <c r="E4" s="2573"/>
      <c r="F4" s="2573"/>
      <c r="G4" s="2573"/>
      <c r="H4" s="2573"/>
      <c r="I4" s="2573"/>
      <c r="J4" s="2573"/>
      <c r="K4" s="2573"/>
      <c r="L4" s="2573"/>
      <c r="M4" s="2573"/>
      <c r="N4" s="1295"/>
    </row>
    <row r="6" spans="2:14" x14ac:dyDescent="0.2">
      <c r="B6" s="1296"/>
      <c r="C6" s="1297"/>
      <c r="D6" s="1298" t="s">
        <v>1265</v>
      </c>
      <c r="E6" s="1299" t="s">
        <v>527</v>
      </c>
      <c r="F6" s="1300"/>
      <c r="G6" s="1301" t="s">
        <v>1730</v>
      </c>
      <c r="H6" s="1299"/>
      <c r="I6" s="1299"/>
      <c r="J6" s="1299"/>
      <c r="K6" s="1302"/>
      <c r="L6" s="1303"/>
      <c r="M6" s="1304"/>
    </row>
    <row r="7" spans="2:14" x14ac:dyDescent="0.2">
      <c r="B7" s="1305" t="s">
        <v>1580</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1835</v>
      </c>
      <c r="I8" s="1312" t="s">
        <v>1262</v>
      </c>
      <c r="J8" s="1311" t="s">
        <v>1986</v>
      </c>
      <c r="K8" s="1312" t="s">
        <v>1261</v>
      </c>
      <c r="L8" s="1313" t="s">
        <v>1257</v>
      </c>
      <c r="M8" s="1314" t="s">
        <v>30</v>
      </c>
    </row>
    <row r="9" spans="2:14" ht="14.25" x14ac:dyDescent="0.2">
      <c r="B9" s="1318" t="s">
        <v>1259</v>
      </c>
      <c r="C9" s="1306" t="s">
        <v>1731</v>
      </c>
      <c r="D9" s="1307" t="s">
        <v>1732</v>
      </c>
      <c r="E9" s="1315" t="s">
        <v>1835</v>
      </c>
      <c r="F9" s="1316" t="s">
        <v>1986</v>
      </c>
      <c r="G9" s="1317" t="s">
        <v>1835</v>
      </c>
      <c r="H9" s="1310" t="s">
        <v>1581</v>
      </c>
      <c r="I9" s="1312" t="s">
        <v>1986</v>
      </c>
      <c r="J9" s="1311" t="s">
        <v>1581</v>
      </c>
      <c r="K9" s="1312" t="s">
        <v>1258</v>
      </c>
      <c r="L9" s="1319" t="s">
        <v>1582</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1169</v>
      </c>
      <c r="C12" s="1334"/>
      <c r="D12" s="1335"/>
      <c r="E12" s="1336"/>
      <c r="F12" s="1336"/>
      <c r="G12" s="1336"/>
      <c r="H12" s="1336"/>
      <c r="I12" s="1336"/>
      <c r="J12" s="1336"/>
      <c r="K12" s="1336"/>
      <c r="L12" s="1333">
        <f t="shared" ref="L12:L27" si="0">+G12+I12+K12</f>
        <v>0</v>
      </c>
      <c r="M12" s="1336"/>
    </row>
    <row r="13" spans="2:14" ht="20.100000000000001" customHeight="1" x14ac:dyDescent="0.2">
      <c r="B13" s="1330" t="s">
        <v>2067</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1"/>
      <c r="C29" s="1342"/>
      <c r="D29" s="1343"/>
      <c r="E29" s="1251"/>
      <c r="F29" s="1251"/>
      <c r="G29" s="1244"/>
      <c r="H29" s="1244"/>
      <c r="I29" s="1244"/>
      <c r="J29" s="1244"/>
      <c r="K29" s="1244"/>
      <c r="L29" s="1244"/>
      <c r="M29" s="1251"/>
      <c r="N29" s="1337"/>
    </row>
    <row r="30" spans="2:14" ht="13.5" customHeight="1" x14ac:dyDescent="0.2">
      <c r="B30" s="1276" t="s">
        <v>1733</v>
      </c>
      <c r="C30" s="1342"/>
      <c r="D30" s="1343"/>
      <c r="E30" s="1251"/>
      <c r="F30" s="1251"/>
      <c r="G30" s="1244"/>
      <c r="H30" s="1244"/>
      <c r="I30" s="1244"/>
      <c r="J30" s="1244"/>
      <c r="K30" s="1244"/>
      <c r="L30" s="1244"/>
      <c r="M30" s="1251"/>
      <c r="N30" s="1337"/>
    </row>
    <row r="31" spans="2:14" ht="8.25" customHeight="1" x14ac:dyDescent="0.2">
      <c r="B31" s="1276"/>
      <c r="C31" s="1342"/>
      <c r="D31" s="1343"/>
      <c r="E31" s="1251"/>
      <c r="F31" s="1251"/>
      <c r="G31" s="1244"/>
      <c r="H31" s="1244"/>
      <c r="I31" s="1244"/>
      <c r="J31" s="1244"/>
      <c r="K31" s="1244"/>
      <c r="L31" s="1244"/>
      <c r="M31" s="1251"/>
      <c r="N31" s="1337"/>
    </row>
    <row r="32" spans="2:14" x14ac:dyDescent="0.2">
      <c r="B32" s="1344" t="s">
        <v>1836</v>
      </c>
      <c r="C32" s="1345"/>
      <c r="D32" s="1346"/>
      <c r="E32" s="1347"/>
      <c r="F32" s="1347"/>
      <c r="G32" s="1347"/>
      <c r="H32" s="1347"/>
      <c r="I32" s="317"/>
      <c r="J32" s="317"/>
    </row>
    <row r="33" spans="2:13" x14ac:dyDescent="0.2">
      <c r="B33" s="1271"/>
      <c r="C33" s="1348"/>
      <c r="D33" s="1349"/>
      <c r="E33" s="1272"/>
      <c r="F33" s="1272"/>
      <c r="G33" s="317"/>
      <c r="H33" s="317"/>
      <c r="I33" s="317"/>
      <c r="J33" s="317"/>
    </row>
    <row r="34" spans="2:13" ht="13.5" customHeight="1" x14ac:dyDescent="0.2">
      <c r="B34" s="1270"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1734</v>
      </c>
      <c r="C37" s="1358"/>
      <c r="D37" s="1358"/>
      <c r="E37" s="1358"/>
      <c r="F37" s="1358"/>
      <c r="G37" s="1358"/>
      <c r="H37" s="1358"/>
      <c r="I37" s="1359"/>
      <c r="J37" s="1359"/>
      <c r="K37" s="1359"/>
      <c r="L37" s="1359"/>
      <c r="M37" s="1359"/>
    </row>
    <row r="38" spans="2:13" ht="11.25" customHeight="1" x14ac:dyDescent="0.2">
      <c r="B38" s="1360" t="s">
        <v>1583</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1735</v>
      </c>
      <c r="C40" s="1359"/>
      <c r="D40" s="1359"/>
      <c r="E40" s="1359"/>
      <c r="F40" s="1359"/>
      <c r="G40" s="1359"/>
      <c r="H40" s="1359"/>
      <c r="I40" s="1359"/>
      <c r="J40" s="1359"/>
      <c r="K40" s="1359"/>
      <c r="L40" s="1359"/>
      <c r="M40" s="1359"/>
    </row>
    <row r="41" spans="2:13" ht="11.25" customHeight="1" x14ac:dyDescent="0.2">
      <c r="B41" s="1293" t="s">
        <v>1584</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1736</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1737</v>
      </c>
      <c r="C45" s="1361"/>
      <c r="D45" s="1362"/>
      <c r="E45" s="1293"/>
      <c r="F45" s="1293"/>
      <c r="G45" s="1293"/>
      <c r="H45" s="1293"/>
      <c r="I45" s="1293"/>
      <c r="J45" s="1293"/>
      <c r="K45" s="1363"/>
      <c r="L45" s="1363"/>
      <c r="M45" s="1293"/>
    </row>
    <row r="46" spans="2:13" ht="11.25" customHeight="1" x14ac:dyDescent="0.2">
      <c r="B46" s="1293" t="s">
        <v>1585</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7"/>
  <sheetViews>
    <sheetView showGridLines="0" zoomScale="85" zoomScaleNormal="85" zoomScaleSheetLayoutView="100" workbookViewId="0">
      <selection sqref="A1:S1"/>
    </sheetView>
  </sheetViews>
  <sheetFormatPr defaultColWidth="16.7109375" defaultRowHeight="15.95" customHeight="1" x14ac:dyDescent="0.2"/>
  <cols>
    <col min="1" max="1" width="13.140625" style="1987" customWidth="1"/>
    <col min="2" max="2" width="50.140625" style="1942" customWidth="1"/>
    <col min="3" max="3" width="9.140625" style="1942" customWidth="1"/>
    <col min="4" max="4" width="7.140625" style="1942" customWidth="1"/>
    <col min="5" max="5" width="13.42578125" style="1942" customWidth="1"/>
    <col min="6" max="6" width="5.28515625" style="2033" customWidth="1"/>
    <col min="7" max="7" width="12.7109375" style="1942" customWidth="1"/>
    <col min="8" max="8" width="1.85546875" style="1942" customWidth="1"/>
    <col min="9" max="9" width="12.7109375" style="1942" customWidth="1"/>
    <col min="10" max="10" width="3.85546875" style="2033" customWidth="1"/>
    <col min="11" max="11" width="12.85546875" style="1942" customWidth="1"/>
    <col min="12" max="12" width="1.85546875" style="1942" customWidth="1"/>
    <col min="13" max="13" width="13.140625" style="1942" customWidth="1"/>
    <col min="14" max="14" width="5.5703125" style="1942" customWidth="1"/>
    <col min="15" max="15" width="11.85546875" style="1942" customWidth="1"/>
    <col min="16" max="16" width="4.42578125" style="2033" bestFit="1" customWidth="1"/>
    <col min="17" max="17" width="13.28515625" style="1942" customWidth="1"/>
    <col min="18" max="18" width="4" style="1942" bestFit="1" customWidth="1"/>
    <col min="19" max="19" width="13.140625" style="1942" customWidth="1"/>
    <col min="20" max="238" width="16.7109375" style="1942"/>
    <col min="239" max="239" width="13.140625" style="1942" customWidth="1"/>
    <col min="240" max="240" width="50.140625" style="1942" customWidth="1"/>
    <col min="241" max="241" width="9.140625" style="1942" customWidth="1"/>
    <col min="242" max="242" width="7.140625" style="1942" customWidth="1"/>
    <col min="243" max="243" width="13.42578125" style="1942" customWidth="1"/>
    <col min="244" max="244" width="5.28515625" style="1942" customWidth="1"/>
    <col min="245" max="245" width="12.7109375" style="1942" customWidth="1"/>
    <col min="246" max="246" width="1.85546875" style="1942" customWidth="1"/>
    <col min="247" max="247" width="12.7109375" style="1942" customWidth="1"/>
    <col min="248" max="248" width="3.85546875" style="1942" customWidth="1"/>
    <col min="249" max="249" width="12.85546875" style="1942" customWidth="1"/>
    <col min="250" max="250" width="1.85546875" style="1942" customWidth="1"/>
    <col min="251" max="251" width="13.140625" style="1942" customWidth="1"/>
    <col min="252" max="252" width="5.5703125" style="1942" customWidth="1"/>
    <col min="253" max="253" width="11.85546875" style="1942" customWidth="1"/>
    <col min="254" max="254" width="4.42578125" style="1942" bestFit="1" customWidth="1"/>
    <col min="255" max="255" width="13.28515625" style="1942" customWidth="1"/>
    <col min="256" max="256" width="4" style="1942" bestFit="1" customWidth="1"/>
    <col min="257" max="257" width="13.140625" style="1942" customWidth="1"/>
    <col min="258" max="263" width="12.42578125" style="1942" customWidth="1"/>
    <col min="264" max="494" width="16.7109375" style="1942"/>
    <col min="495" max="495" width="13.140625" style="1942" customWidth="1"/>
    <col min="496" max="496" width="50.140625" style="1942" customWidth="1"/>
    <col min="497" max="497" width="9.140625" style="1942" customWidth="1"/>
    <col min="498" max="498" width="7.140625" style="1942" customWidth="1"/>
    <col min="499" max="499" width="13.42578125" style="1942" customWidth="1"/>
    <col min="500" max="500" width="5.28515625" style="1942" customWidth="1"/>
    <col min="501" max="501" width="12.7109375" style="1942" customWidth="1"/>
    <col min="502" max="502" width="1.85546875" style="1942" customWidth="1"/>
    <col min="503" max="503" width="12.7109375" style="1942" customWidth="1"/>
    <col min="504" max="504" width="3.85546875" style="1942" customWidth="1"/>
    <col min="505" max="505" width="12.85546875" style="1942" customWidth="1"/>
    <col min="506" max="506" width="1.85546875" style="1942" customWidth="1"/>
    <col min="507" max="507" width="13.140625" style="1942" customWidth="1"/>
    <col min="508" max="508" width="5.5703125" style="1942" customWidth="1"/>
    <col min="509" max="509" width="11.85546875" style="1942" customWidth="1"/>
    <col min="510" max="510" width="4.42578125" style="1942" bestFit="1" customWidth="1"/>
    <col min="511" max="511" width="13.28515625" style="1942" customWidth="1"/>
    <col min="512" max="512" width="4" style="1942" bestFit="1" customWidth="1"/>
    <col min="513" max="513" width="13.140625" style="1942" customWidth="1"/>
    <col min="514" max="519" width="12.42578125" style="1942" customWidth="1"/>
    <col min="520" max="750" width="16.7109375" style="1942"/>
    <col min="751" max="751" width="13.140625" style="1942" customWidth="1"/>
    <col min="752" max="752" width="50.140625" style="1942" customWidth="1"/>
    <col min="753" max="753" width="9.140625" style="1942" customWidth="1"/>
    <col min="754" max="754" width="7.140625" style="1942" customWidth="1"/>
    <col min="755" max="755" width="13.42578125" style="1942" customWidth="1"/>
    <col min="756" max="756" width="5.28515625" style="1942" customWidth="1"/>
    <col min="757" max="757" width="12.7109375" style="1942" customWidth="1"/>
    <col min="758" max="758" width="1.85546875" style="1942" customWidth="1"/>
    <col min="759" max="759" width="12.7109375" style="1942" customWidth="1"/>
    <col min="760" max="760" width="3.85546875" style="1942" customWidth="1"/>
    <col min="761" max="761" width="12.85546875" style="1942" customWidth="1"/>
    <col min="762" max="762" width="1.85546875" style="1942" customWidth="1"/>
    <col min="763" max="763" width="13.140625" style="1942" customWidth="1"/>
    <col min="764" max="764" width="5.5703125" style="1942" customWidth="1"/>
    <col min="765" max="765" width="11.85546875" style="1942" customWidth="1"/>
    <col min="766" max="766" width="4.42578125" style="1942" bestFit="1" customWidth="1"/>
    <col min="767" max="767" width="13.28515625" style="1942" customWidth="1"/>
    <col min="768" max="768" width="4" style="1942" bestFit="1" customWidth="1"/>
    <col min="769" max="769" width="13.140625" style="1942" customWidth="1"/>
    <col min="770" max="775" width="12.42578125" style="1942" customWidth="1"/>
    <col min="776" max="1006" width="16.7109375" style="1942"/>
    <col min="1007" max="1007" width="13.140625" style="1942" customWidth="1"/>
    <col min="1008" max="1008" width="50.140625" style="1942" customWidth="1"/>
    <col min="1009" max="1009" width="9.140625" style="1942" customWidth="1"/>
    <col min="1010" max="1010" width="7.140625" style="1942" customWidth="1"/>
    <col min="1011" max="1011" width="13.42578125" style="1942" customWidth="1"/>
    <col min="1012" max="1012" width="5.28515625" style="1942" customWidth="1"/>
    <col min="1013" max="1013" width="12.7109375" style="1942" customWidth="1"/>
    <col min="1014" max="1014" width="1.85546875" style="1942" customWidth="1"/>
    <col min="1015" max="1015" width="12.7109375" style="1942" customWidth="1"/>
    <col min="1016" max="1016" width="3.85546875" style="1942" customWidth="1"/>
    <col min="1017" max="1017" width="12.85546875" style="1942" customWidth="1"/>
    <col min="1018" max="1018" width="1.85546875" style="1942" customWidth="1"/>
    <col min="1019" max="1019" width="13.140625" style="1942" customWidth="1"/>
    <col min="1020" max="1020" width="5.5703125" style="1942" customWidth="1"/>
    <col min="1021" max="1021" width="11.85546875" style="1942" customWidth="1"/>
    <col min="1022" max="1022" width="4.42578125" style="1942" bestFit="1" customWidth="1"/>
    <col min="1023" max="1023" width="13.28515625" style="1942" customWidth="1"/>
    <col min="1024" max="1024" width="4" style="1942" bestFit="1" customWidth="1"/>
    <col min="1025" max="1025" width="13.140625" style="1942" customWidth="1"/>
    <col min="1026" max="1031" width="12.42578125" style="1942" customWidth="1"/>
    <col min="1032" max="1262" width="16.7109375" style="1942"/>
    <col min="1263" max="1263" width="13.140625" style="1942" customWidth="1"/>
    <col min="1264" max="1264" width="50.140625" style="1942" customWidth="1"/>
    <col min="1265" max="1265" width="9.140625" style="1942" customWidth="1"/>
    <col min="1266" max="1266" width="7.140625" style="1942" customWidth="1"/>
    <col min="1267" max="1267" width="13.42578125" style="1942" customWidth="1"/>
    <col min="1268" max="1268" width="5.28515625" style="1942" customWidth="1"/>
    <col min="1269" max="1269" width="12.7109375" style="1942" customWidth="1"/>
    <col min="1270" max="1270" width="1.85546875" style="1942" customWidth="1"/>
    <col min="1271" max="1271" width="12.7109375" style="1942" customWidth="1"/>
    <col min="1272" max="1272" width="3.85546875" style="1942" customWidth="1"/>
    <col min="1273" max="1273" width="12.85546875" style="1942" customWidth="1"/>
    <col min="1274" max="1274" width="1.85546875" style="1942" customWidth="1"/>
    <col min="1275" max="1275" width="13.140625" style="1942" customWidth="1"/>
    <col min="1276" max="1276" width="5.5703125" style="1942" customWidth="1"/>
    <col min="1277" max="1277" width="11.85546875" style="1942" customWidth="1"/>
    <col min="1278" max="1278" width="4.42578125" style="1942" bestFit="1" customWidth="1"/>
    <col min="1279" max="1279" width="13.28515625" style="1942" customWidth="1"/>
    <col min="1280" max="1280" width="4" style="1942" bestFit="1" customWidth="1"/>
    <col min="1281" max="1281" width="13.140625" style="1942" customWidth="1"/>
    <col min="1282" max="1287" width="12.42578125" style="1942" customWidth="1"/>
    <col min="1288" max="1518" width="16.7109375" style="1942"/>
    <col min="1519" max="1519" width="13.140625" style="1942" customWidth="1"/>
    <col min="1520" max="1520" width="50.140625" style="1942" customWidth="1"/>
    <col min="1521" max="1521" width="9.140625" style="1942" customWidth="1"/>
    <col min="1522" max="1522" width="7.140625" style="1942" customWidth="1"/>
    <col min="1523" max="1523" width="13.42578125" style="1942" customWidth="1"/>
    <col min="1524" max="1524" width="5.28515625" style="1942" customWidth="1"/>
    <col min="1525" max="1525" width="12.7109375" style="1942" customWidth="1"/>
    <col min="1526" max="1526" width="1.85546875" style="1942" customWidth="1"/>
    <col min="1527" max="1527" width="12.7109375" style="1942" customWidth="1"/>
    <col min="1528" max="1528" width="3.85546875" style="1942" customWidth="1"/>
    <col min="1529" max="1529" width="12.85546875" style="1942" customWidth="1"/>
    <col min="1530" max="1530" width="1.85546875" style="1942" customWidth="1"/>
    <col min="1531" max="1531" width="13.140625" style="1942" customWidth="1"/>
    <col min="1532" max="1532" width="5.5703125" style="1942" customWidth="1"/>
    <col min="1533" max="1533" width="11.85546875" style="1942" customWidth="1"/>
    <col min="1534" max="1534" width="4.42578125" style="1942" bestFit="1" customWidth="1"/>
    <col min="1535" max="1535" width="13.28515625" style="1942" customWidth="1"/>
    <col min="1536" max="1536" width="4" style="1942" bestFit="1" customWidth="1"/>
    <col min="1537" max="1537" width="13.140625" style="1942" customWidth="1"/>
    <col min="1538" max="1543" width="12.42578125" style="1942" customWidth="1"/>
    <col min="1544" max="1774" width="16.7109375" style="1942"/>
    <col min="1775" max="1775" width="13.140625" style="1942" customWidth="1"/>
    <col min="1776" max="1776" width="50.140625" style="1942" customWidth="1"/>
    <col min="1777" max="1777" width="9.140625" style="1942" customWidth="1"/>
    <col min="1778" max="1778" width="7.140625" style="1942" customWidth="1"/>
    <col min="1779" max="1779" width="13.42578125" style="1942" customWidth="1"/>
    <col min="1780" max="1780" width="5.28515625" style="1942" customWidth="1"/>
    <col min="1781" max="1781" width="12.7109375" style="1942" customWidth="1"/>
    <col min="1782" max="1782" width="1.85546875" style="1942" customWidth="1"/>
    <col min="1783" max="1783" width="12.7109375" style="1942" customWidth="1"/>
    <col min="1784" max="1784" width="3.85546875" style="1942" customWidth="1"/>
    <col min="1785" max="1785" width="12.85546875" style="1942" customWidth="1"/>
    <col min="1786" max="1786" width="1.85546875" style="1942" customWidth="1"/>
    <col min="1787" max="1787" width="13.140625" style="1942" customWidth="1"/>
    <col min="1788" max="1788" width="5.5703125" style="1942" customWidth="1"/>
    <col min="1789" max="1789" width="11.85546875" style="1942" customWidth="1"/>
    <col min="1790" max="1790" width="4.42578125" style="1942" bestFit="1" customWidth="1"/>
    <col min="1791" max="1791" width="13.28515625" style="1942" customWidth="1"/>
    <col min="1792" max="1792" width="4" style="1942" bestFit="1" customWidth="1"/>
    <col min="1793" max="1793" width="13.140625" style="1942" customWidth="1"/>
    <col min="1794" max="1799" width="12.42578125" style="1942" customWidth="1"/>
    <col min="1800" max="2030" width="16.7109375" style="1942"/>
    <col min="2031" max="2031" width="13.140625" style="1942" customWidth="1"/>
    <col min="2032" max="2032" width="50.140625" style="1942" customWidth="1"/>
    <col min="2033" max="2033" width="9.140625" style="1942" customWidth="1"/>
    <col min="2034" max="2034" width="7.140625" style="1942" customWidth="1"/>
    <col min="2035" max="2035" width="13.42578125" style="1942" customWidth="1"/>
    <col min="2036" max="2036" width="5.28515625" style="1942" customWidth="1"/>
    <col min="2037" max="2037" width="12.7109375" style="1942" customWidth="1"/>
    <col min="2038" max="2038" width="1.85546875" style="1942" customWidth="1"/>
    <col min="2039" max="2039" width="12.7109375" style="1942" customWidth="1"/>
    <col min="2040" max="2040" width="3.85546875" style="1942" customWidth="1"/>
    <col min="2041" max="2041" width="12.85546875" style="1942" customWidth="1"/>
    <col min="2042" max="2042" width="1.85546875" style="1942" customWidth="1"/>
    <col min="2043" max="2043" width="13.140625" style="1942" customWidth="1"/>
    <col min="2044" max="2044" width="5.5703125" style="1942" customWidth="1"/>
    <col min="2045" max="2045" width="11.85546875" style="1942" customWidth="1"/>
    <col min="2046" max="2046" width="4.42578125" style="1942" bestFit="1" customWidth="1"/>
    <col min="2047" max="2047" width="13.28515625" style="1942" customWidth="1"/>
    <col min="2048" max="2048" width="4" style="1942" bestFit="1" customWidth="1"/>
    <col min="2049" max="2049" width="13.140625" style="1942" customWidth="1"/>
    <col min="2050" max="2055" width="12.42578125" style="1942" customWidth="1"/>
    <col min="2056" max="2286" width="16.7109375" style="1942"/>
    <col min="2287" max="2287" width="13.140625" style="1942" customWidth="1"/>
    <col min="2288" max="2288" width="50.140625" style="1942" customWidth="1"/>
    <col min="2289" max="2289" width="9.140625" style="1942" customWidth="1"/>
    <col min="2290" max="2290" width="7.140625" style="1942" customWidth="1"/>
    <col min="2291" max="2291" width="13.42578125" style="1942" customWidth="1"/>
    <col min="2292" max="2292" width="5.28515625" style="1942" customWidth="1"/>
    <col min="2293" max="2293" width="12.7109375" style="1942" customWidth="1"/>
    <col min="2294" max="2294" width="1.85546875" style="1942" customWidth="1"/>
    <col min="2295" max="2295" width="12.7109375" style="1942" customWidth="1"/>
    <col min="2296" max="2296" width="3.85546875" style="1942" customWidth="1"/>
    <col min="2297" max="2297" width="12.85546875" style="1942" customWidth="1"/>
    <col min="2298" max="2298" width="1.85546875" style="1942" customWidth="1"/>
    <col min="2299" max="2299" width="13.140625" style="1942" customWidth="1"/>
    <col min="2300" max="2300" width="5.5703125" style="1942" customWidth="1"/>
    <col min="2301" max="2301" width="11.85546875" style="1942" customWidth="1"/>
    <col min="2302" max="2302" width="4.42578125" style="1942" bestFit="1" customWidth="1"/>
    <col min="2303" max="2303" width="13.28515625" style="1942" customWidth="1"/>
    <col min="2304" max="2304" width="4" style="1942" bestFit="1" customWidth="1"/>
    <col min="2305" max="2305" width="13.140625" style="1942" customWidth="1"/>
    <col min="2306" max="2311" width="12.42578125" style="1942" customWidth="1"/>
    <col min="2312" max="2542" width="16.7109375" style="1942"/>
    <col min="2543" max="2543" width="13.140625" style="1942" customWidth="1"/>
    <col min="2544" max="2544" width="50.140625" style="1942" customWidth="1"/>
    <col min="2545" max="2545" width="9.140625" style="1942" customWidth="1"/>
    <col min="2546" max="2546" width="7.140625" style="1942" customWidth="1"/>
    <col min="2547" max="2547" width="13.42578125" style="1942" customWidth="1"/>
    <col min="2548" max="2548" width="5.28515625" style="1942" customWidth="1"/>
    <col min="2549" max="2549" width="12.7109375" style="1942" customWidth="1"/>
    <col min="2550" max="2550" width="1.85546875" style="1942" customWidth="1"/>
    <col min="2551" max="2551" width="12.7109375" style="1942" customWidth="1"/>
    <col min="2552" max="2552" width="3.85546875" style="1942" customWidth="1"/>
    <col min="2553" max="2553" width="12.85546875" style="1942" customWidth="1"/>
    <col min="2554" max="2554" width="1.85546875" style="1942" customWidth="1"/>
    <col min="2555" max="2555" width="13.140625" style="1942" customWidth="1"/>
    <col min="2556" max="2556" width="5.5703125" style="1942" customWidth="1"/>
    <col min="2557" max="2557" width="11.85546875" style="1942" customWidth="1"/>
    <col min="2558" max="2558" width="4.42578125" style="1942" bestFit="1" customWidth="1"/>
    <col min="2559" max="2559" width="13.28515625" style="1942" customWidth="1"/>
    <col min="2560" max="2560" width="4" style="1942" bestFit="1" customWidth="1"/>
    <col min="2561" max="2561" width="13.140625" style="1942" customWidth="1"/>
    <col min="2562" max="2567" width="12.42578125" style="1942" customWidth="1"/>
    <col min="2568" max="2798" width="16.7109375" style="1942"/>
    <col min="2799" max="2799" width="13.140625" style="1942" customWidth="1"/>
    <col min="2800" max="2800" width="50.140625" style="1942" customWidth="1"/>
    <col min="2801" max="2801" width="9.140625" style="1942" customWidth="1"/>
    <col min="2802" max="2802" width="7.140625" style="1942" customWidth="1"/>
    <col min="2803" max="2803" width="13.42578125" style="1942" customWidth="1"/>
    <col min="2804" max="2804" width="5.28515625" style="1942" customWidth="1"/>
    <col min="2805" max="2805" width="12.7109375" style="1942" customWidth="1"/>
    <col min="2806" max="2806" width="1.85546875" style="1942" customWidth="1"/>
    <col min="2807" max="2807" width="12.7109375" style="1942" customWidth="1"/>
    <col min="2808" max="2808" width="3.85546875" style="1942" customWidth="1"/>
    <col min="2809" max="2809" width="12.85546875" style="1942" customWidth="1"/>
    <col min="2810" max="2810" width="1.85546875" style="1942" customWidth="1"/>
    <col min="2811" max="2811" width="13.140625" style="1942" customWidth="1"/>
    <col min="2812" max="2812" width="5.5703125" style="1942" customWidth="1"/>
    <col min="2813" max="2813" width="11.85546875" style="1942" customWidth="1"/>
    <col min="2814" max="2814" width="4.42578125" style="1942" bestFit="1" customWidth="1"/>
    <col min="2815" max="2815" width="13.28515625" style="1942" customWidth="1"/>
    <col min="2816" max="2816" width="4" style="1942" bestFit="1" customWidth="1"/>
    <col min="2817" max="2817" width="13.140625" style="1942" customWidth="1"/>
    <col min="2818" max="2823" width="12.42578125" style="1942" customWidth="1"/>
    <col min="2824" max="3054" width="16.7109375" style="1942"/>
    <col min="3055" max="3055" width="13.140625" style="1942" customWidth="1"/>
    <col min="3056" max="3056" width="50.140625" style="1942" customWidth="1"/>
    <col min="3057" max="3057" width="9.140625" style="1942" customWidth="1"/>
    <col min="3058" max="3058" width="7.140625" style="1942" customWidth="1"/>
    <col min="3059" max="3059" width="13.42578125" style="1942" customWidth="1"/>
    <col min="3060" max="3060" width="5.28515625" style="1942" customWidth="1"/>
    <col min="3061" max="3061" width="12.7109375" style="1942" customWidth="1"/>
    <col min="3062" max="3062" width="1.85546875" style="1942" customWidth="1"/>
    <col min="3063" max="3063" width="12.7109375" style="1942" customWidth="1"/>
    <col min="3064" max="3064" width="3.85546875" style="1942" customWidth="1"/>
    <col min="3065" max="3065" width="12.85546875" style="1942" customWidth="1"/>
    <col min="3066" max="3066" width="1.85546875" style="1942" customWidth="1"/>
    <col min="3067" max="3067" width="13.140625" style="1942" customWidth="1"/>
    <col min="3068" max="3068" width="5.5703125" style="1942" customWidth="1"/>
    <col min="3069" max="3069" width="11.85546875" style="1942" customWidth="1"/>
    <col min="3070" max="3070" width="4.42578125" style="1942" bestFit="1" customWidth="1"/>
    <col min="3071" max="3071" width="13.28515625" style="1942" customWidth="1"/>
    <col min="3072" max="3072" width="4" style="1942" bestFit="1" customWidth="1"/>
    <col min="3073" max="3073" width="13.140625" style="1942" customWidth="1"/>
    <col min="3074" max="3079" width="12.42578125" style="1942" customWidth="1"/>
    <col min="3080" max="3310" width="16.7109375" style="1942"/>
    <col min="3311" max="3311" width="13.140625" style="1942" customWidth="1"/>
    <col min="3312" max="3312" width="50.140625" style="1942" customWidth="1"/>
    <col min="3313" max="3313" width="9.140625" style="1942" customWidth="1"/>
    <col min="3314" max="3314" width="7.140625" style="1942" customWidth="1"/>
    <col min="3315" max="3315" width="13.42578125" style="1942" customWidth="1"/>
    <col min="3316" max="3316" width="5.28515625" style="1942" customWidth="1"/>
    <col min="3317" max="3317" width="12.7109375" style="1942" customWidth="1"/>
    <col min="3318" max="3318" width="1.85546875" style="1942" customWidth="1"/>
    <col min="3319" max="3319" width="12.7109375" style="1942" customWidth="1"/>
    <col min="3320" max="3320" width="3.85546875" style="1942" customWidth="1"/>
    <col min="3321" max="3321" width="12.85546875" style="1942" customWidth="1"/>
    <col min="3322" max="3322" width="1.85546875" style="1942" customWidth="1"/>
    <col min="3323" max="3323" width="13.140625" style="1942" customWidth="1"/>
    <col min="3324" max="3324" width="5.5703125" style="1942" customWidth="1"/>
    <col min="3325" max="3325" width="11.85546875" style="1942" customWidth="1"/>
    <col min="3326" max="3326" width="4.42578125" style="1942" bestFit="1" customWidth="1"/>
    <col min="3327" max="3327" width="13.28515625" style="1942" customWidth="1"/>
    <col min="3328" max="3328" width="4" style="1942" bestFit="1" customWidth="1"/>
    <col min="3329" max="3329" width="13.140625" style="1942" customWidth="1"/>
    <col min="3330" max="3335" width="12.42578125" style="1942" customWidth="1"/>
    <col min="3336" max="3566" width="16.7109375" style="1942"/>
    <col min="3567" max="3567" width="13.140625" style="1942" customWidth="1"/>
    <col min="3568" max="3568" width="50.140625" style="1942" customWidth="1"/>
    <col min="3569" max="3569" width="9.140625" style="1942" customWidth="1"/>
    <col min="3570" max="3570" width="7.140625" style="1942" customWidth="1"/>
    <col min="3571" max="3571" width="13.42578125" style="1942" customWidth="1"/>
    <col min="3572" max="3572" width="5.28515625" style="1942" customWidth="1"/>
    <col min="3573" max="3573" width="12.7109375" style="1942" customWidth="1"/>
    <col min="3574" max="3574" width="1.85546875" style="1942" customWidth="1"/>
    <col min="3575" max="3575" width="12.7109375" style="1942" customWidth="1"/>
    <col min="3576" max="3576" width="3.85546875" style="1942" customWidth="1"/>
    <col min="3577" max="3577" width="12.85546875" style="1942" customWidth="1"/>
    <col min="3578" max="3578" width="1.85546875" style="1942" customWidth="1"/>
    <col min="3579" max="3579" width="13.140625" style="1942" customWidth="1"/>
    <col min="3580" max="3580" width="5.5703125" style="1942" customWidth="1"/>
    <col min="3581" max="3581" width="11.85546875" style="1942" customWidth="1"/>
    <col min="3582" max="3582" width="4.42578125" style="1942" bestFit="1" customWidth="1"/>
    <col min="3583" max="3583" width="13.28515625" style="1942" customWidth="1"/>
    <col min="3584" max="3584" width="4" style="1942" bestFit="1" customWidth="1"/>
    <col min="3585" max="3585" width="13.140625" style="1942" customWidth="1"/>
    <col min="3586" max="3591" width="12.42578125" style="1942" customWidth="1"/>
    <col min="3592" max="3822" width="16.7109375" style="1942"/>
    <col min="3823" max="3823" width="13.140625" style="1942" customWidth="1"/>
    <col min="3824" max="3824" width="50.140625" style="1942" customWidth="1"/>
    <col min="3825" max="3825" width="9.140625" style="1942" customWidth="1"/>
    <col min="3826" max="3826" width="7.140625" style="1942" customWidth="1"/>
    <col min="3827" max="3827" width="13.42578125" style="1942" customWidth="1"/>
    <col min="3828" max="3828" width="5.28515625" style="1942" customWidth="1"/>
    <col min="3829" max="3829" width="12.7109375" style="1942" customWidth="1"/>
    <col min="3830" max="3830" width="1.85546875" style="1942" customWidth="1"/>
    <col min="3831" max="3831" width="12.7109375" style="1942" customWidth="1"/>
    <col min="3832" max="3832" width="3.85546875" style="1942" customWidth="1"/>
    <col min="3833" max="3833" width="12.85546875" style="1942" customWidth="1"/>
    <col min="3834" max="3834" width="1.85546875" style="1942" customWidth="1"/>
    <col min="3835" max="3835" width="13.140625" style="1942" customWidth="1"/>
    <col min="3836" max="3836" width="5.5703125" style="1942" customWidth="1"/>
    <col min="3837" max="3837" width="11.85546875" style="1942" customWidth="1"/>
    <col min="3838" max="3838" width="4.42578125" style="1942" bestFit="1" customWidth="1"/>
    <col min="3839" max="3839" width="13.28515625" style="1942" customWidth="1"/>
    <col min="3840" max="3840" width="4" style="1942" bestFit="1" customWidth="1"/>
    <col min="3841" max="3841" width="13.140625" style="1942" customWidth="1"/>
    <col min="3842" max="3847" width="12.42578125" style="1942" customWidth="1"/>
    <col min="3848" max="4078" width="16.7109375" style="1942"/>
    <col min="4079" max="4079" width="13.140625" style="1942" customWidth="1"/>
    <col min="4080" max="4080" width="50.140625" style="1942" customWidth="1"/>
    <col min="4081" max="4081" width="9.140625" style="1942" customWidth="1"/>
    <col min="4082" max="4082" width="7.140625" style="1942" customWidth="1"/>
    <col min="4083" max="4083" width="13.42578125" style="1942" customWidth="1"/>
    <col min="4084" max="4084" width="5.28515625" style="1942" customWidth="1"/>
    <col min="4085" max="4085" width="12.7109375" style="1942" customWidth="1"/>
    <col min="4086" max="4086" width="1.85546875" style="1942" customWidth="1"/>
    <col min="4087" max="4087" width="12.7109375" style="1942" customWidth="1"/>
    <col min="4088" max="4088" width="3.85546875" style="1942" customWidth="1"/>
    <col min="4089" max="4089" width="12.85546875" style="1942" customWidth="1"/>
    <col min="4090" max="4090" width="1.85546875" style="1942" customWidth="1"/>
    <col min="4091" max="4091" width="13.140625" style="1942" customWidth="1"/>
    <col min="4092" max="4092" width="5.5703125" style="1942" customWidth="1"/>
    <col min="4093" max="4093" width="11.85546875" style="1942" customWidth="1"/>
    <col min="4094" max="4094" width="4.42578125" style="1942" bestFit="1" customWidth="1"/>
    <col min="4095" max="4095" width="13.28515625" style="1942" customWidth="1"/>
    <col min="4096" max="4096" width="4" style="1942" bestFit="1" customWidth="1"/>
    <col min="4097" max="4097" width="13.140625" style="1942" customWidth="1"/>
    <col min="4098" max="4103" width="12.42578125" style="1942" customWidth="1"/>
    <col min="4104" max="4334" width="16.7109375" style="1942"/>
    <col min="4335" max="4335" width="13.140625" style="1942" customWidth="1"/>
    <col min="4336" max="4336" width="50.140625" style="1942" customWidth="1"/>
    <col min="4337" max="4337" width="9.140625" style="1942" customWidth="1"/>
    <col min="4338" max="4338" width="7.140625" style="1942" customWidth="1"/>
    <col min="4339" max="4339" width="13.42578125" style="1942" customWidth="1"/>
    <col min="4340" max="4340" width="5.28515625" style="1942" customWidth="1"/>
    <col min="4341" max="4341" width="12.7109375" style="1942" customWidth="1"/>
    <col min="4342" max="4342" width="1.85546875" style="1942" customWidth="1"/>
    <col min="4343" max="4343" width="12.7109375" style="1942" customWidth="1"/>
    <col min="4344" max="4344" width="3.85546875" style="1942" customWidth="1"/>
    <col min="4345" max="4345" width="12.85546875" style="1942" customWidth="1"/>
    <col min="4346" max="4346" width="1.85546875" style="1942" customWidth="1"/>
    <col min="4347" max="4347" width="13.140625" style="1942" customWidth="1"/>
    <col min="4348" max="4348" width="5.5703125" style="1942" customWidth="1"/>
    <col min="4349" max="4349" width="11.85546875" style="1942" customWidth="1"/>
    <col min="4350" max="4350" width="4.42578125" style="1942" bestFit="1" customWidth="1"/>
    <col min="4351" max="4351" width="13.28515625" style="1942" customWidth="1"/>
    <col min="4352" max="4352" width="4" style="1942" bestFit="1" customWidth="1"/>
    <col min="4353" max="4353" width="13.140625" style="1942" customWidth="1"/>
    <col min="4354" max="4359" width="12.42578125" style="1942" customWidth="1"/>
    <col min="4360" max="4590" width="16.7109375" style="1942"/>
    <col min="4591" max="4591" width="13.140625" style="1942" customWidth="1"/>
    <col min="4592" max="4592" width="50.140625" style="1942" customWidth="1"/>
    <col min="4593" max="4593" width="9.140625" style="1942" customWidth="1"/>
    <col min="4594" max="4594" width="7.140625" style="1942" customWidth="1"/>
    <col min="4595" max="4595" width="13.42578125" style="1942" customWidth="1"/>
    <col min="4596" max="4596" width="5.28515625" style="1942" customWidth="1"/>
    <col min="4597" max="4597" width="12.7109375" style="1942" customWidth="1"/>
    <col min="4598" max="4598" width="1.85546875" style="1942" customWidth="1"/>
    <col min="4599" max="4599" width="12.7109375" style="1942" customWidth="1"/>
    <col min="4600" max="4600" width="3.85546875" style="1942" customWidth="1"/>
    <col min="4601" max="4601" width="12.85546875" style="1942" customWidth="1"/>
    <col min="4602" max="4602" width="1.85546875" style="1942" customWidth="1"/>
    <col min="4603" max="4603" width="13.140625" style="1942" customWidth="1"/>
    <col min="4604" max="4604" width="5.5703125" style="1942" customWidth="1"/>
    <col min="4605" max="4605" width="11.85546875" style="1942" customWidth="1"/>
    <col min="4606" max="4606" width="4.42578125" style="1942" bestFit="1" customWidth="1"/>
    <col min="4607" max="4607" width="13.28515625" style="1942" customWidth="1"/>
    <col min="4608" max="4608" width="4" style="1942" bestFit="1" customWidth="1"/>
    <col min="4609" max="4609" width="13.140625" style="1942" customWidth="1"/>
    <col min="4610" max="4615" width="12.42578125" style="1942" customWidth="1"/>
    <col min="4616" max="4846" width="16.7109375" style="1942"/>
    <col min="4847" max="4847" width="13.140625" style="1942" customWidth="1"/>
    <col min="4848" max="4848" width="50.140625" style="1942" customWidth="1"/>
    <col min="4849" max="4849" width="9.140625" style="1942" customWidth="1"/>
    <col min="4850" max="4850" width="7.140625" style="1942" customWidth="1"/>
    <col min="4851" max="4851" width="13.42578125" style="1942" customWidth="1"/>
    <col min="4852" max="4852" width="5.28515625" style="1942" customWidth="1"/>
    <col min="4853" max="4853" width="12.7109375" style="1942" customWidth="1"/>
    <col min="4854" max="4854" width="1.85546875" style="1942" customWidth="1"/>
    <col min="4855" max="4855" width="12.7109375" style="1942" customWidth="1"/>
    <col min="4856" max="4856" width="3.85546875" style="1942" customWidth="1"/>
    <col min="4857" max="4857" width="12.85546875" style="1942" customWidth="1"/>
    <col min="4858" max="4858" width="1.85546875" style="1942" customWidth="1"/>
    <col min="4859" max="4859" width="13.140625" style="1942" customWidth="1"/>
    <col min="4860" max="4860" width="5.5703125" style="1942" customWidth="1"/>
    <col min="4861" max="4861" width="11.85546875" style="1942" customWidth="1"/>
    <col min="4862" max="4862" width="4.42578125" style="1942" bestFit="1" customWidth="1"/>
    <col min="4863" max="4863" width="13.28515625" style="1942" customWidth="1"/>
    <col min="4864" max="4864" width="4" style="1942" bestFit="1" customWidth="1"/>
    <col min="4865" max="4865" width="13.140625" style="1942" customWidth="1"/>
    <col min="4866" max="4871" width="12.42578125" style="1942" customWidth="1"/>
    <col min="4872" max="5102" width="16.7109375" style="1942"/>
    <col min="5103" max="5103" width="13.140625" style="1942" customWidth="1"/>
    <col min="5104" max="5104" width="50.140625" style="1942" customWidth="1"/>
    <col min="5105" max="5105" width="9.140625" style="1942" customWidth="1"/>
    <col min="5106" max="5106" width="7.140625" style="1942" customWidth="1"/>
    <col min="5107" max="5107" width="13.42578125" style="1942" customWidth="1"/>
    <col min="5108" max="5108" width="5.28515625" style="1942" customWidth="1"/>
    <col min="5109" max="5109" width="12.7109375" style="1942" customWidth="1"/>
    <col min="5110" max="5110" width="1.85546875" style="1942" customWidth="1"/>
    <col min="5111" max="5111" width="12.7109375" style="1942" customWidth="1"/>
    <col min="5112" max="5112" width="3.85546875" style="1942" customWidth="1"/>
    <col min="5113" max="5113" width="12.85546875" style="1942" customWidth="1"/>
    <col min="5114" max="5114" width="1.85546875" style="1942" customWidth="1"/>
    <col min="5115" max="5115" width="13.140625" style="1942" customWidth="1"/>
    <col min="5116" max="5116" width="5.5703125" style="1942" customWidth="1"/>
    <col min="5117" max="5117" width="11.85546875" style="1942" customWidth="1"/>
    <col min="5118" max="5118" width="4.42578125" style="1942" bestFit="1" customWidth="1"/>
    <col min="5119" max="5119" width="13.28515625" style="1942" customWidth="1"/>
    <col min="5120" max="5120" width="4" style="1942" bestFit="1" customWidth="1"/>
    <col min="5121" max="5121" width="13.140625" style="1942" customWidth="1"/>
    <col min="5122" max="5127" width="12.42578125" style="1942" customWidth="1"/>
    <col min="5128" max="5358" width="16.7109375" style="1942"/>
    <col min="5359" max="5359" width="13.140625" style="1942" customWidth="1"/>
    <col min="5360" max="5360" width="50.140625" style="1942" customWidth="1"/>
    <col min="5361" max="5361" width="9.140625" style="1942" customWidth="1"/>
    <col min="5362" max="5362" width="7.140625" style="1942" customWidth="1"/>
    <col min="5363" max="5363" width="13.42578125" style="1942" customWidth="1"/>
    <col min="5364" max="5364" width="5.28515625" style="1942" customWidth="1"/>
    <col min="5365" max="5365" width="12.7109375" style="1942" customWidth="1"/>
    <col min="5366" max="5366" width="1.85546875" style="1942" customWidth="1"/>
    <col min="5367" max="5367" width="12.7109375" style="1942" customWidth="1"/>
    <col min="5368" max="5368" width="3.85546875" style="1942" customWidth="1"/>
    <col min="5369" max="5369" width="12.85546875" style="1942" customWidth="1"/>
    <col min="5370" max="5370" width="1.85546875" style="1942" customWidth="1"/>
    <col min="5371" max="5371" width="13.140625" style="1942" customWidth="1"/>
    <col min="5372" max="5372" width="5.5703125" style="1942" customWidth="1"/>
    <col min="5373" max="5373" width="11.85546875" style="1942" customWidth="1"/>
    <col min="5374" max="5374" width="4.42578125" style="1942" bestFit="1" customWidth="1"/>
    <col min="5375" max="5375" width="13.28515625" style="1942" customWidth="1"/>
    <col min="5376" max="5376" width="4" style="1942" bestFit="1" customWidth="1"/>
    <col min="5377" max="5377" width="13.140625" style="1942" customWidth="1"/>
    <col min="5378" max="5383" width="12.42578125" style="1942" customWidth="1"/>
    <col min="5384" max="5614" width="16.7109375" style="1942"/>
    <col min="5615" max="5615" width="13.140625" style="1942" customWidth="1"/>
    <col min="5616" max="5616" width="50.140625" style="1942" customWidth="1"/>
    <col min="5617" max="5617" width="9.140625" style="1942" customWidth="1"/>
    <col min="5618" max="5618" width="7.140625" style="1942" customWidth="1"/>
    <col min="5619" max="5619" width="13.42578125" style="1942" customWidth="1"/>
    <col min="5620" max="5620" width="5.28515625" style="1942" customWidth="1"/>
    <col min="5621" max="5621" width="12.7109375" style="1942" customWidth="1"/>
    <col min="5622" max="5622" width="1.85546875" style="1942" customWidth="1"/>
    <col min="5623" max="5623" width="12.7109375" style="1942" customWidth="1"/>
    <col min="5624" max="5624" width="3.85546875" style="1942" customWidth="1"/>
    <col min="5625" max="5625" width="12.85546875" style="1942" customWidth="1"/>
    <col min="5626" max="5626" width="1.85546875" style="1942" customWidth="1"/>
    <col min="5627" max="5627" width="13.140625" style="1942" customWidth="1"/>
    <col min="5628" max="5628" width="5.5703125" style="1942" customWidth="1"/>
    <col min="5629" max="5629" width="11.85546875" style="1942" customWidth="1"/>
    <col min="5630" max="5630" width="4.42578125" style="1942" bestFit="1" customWidth="1"/>
    <col min="5631" max="5631" width="13.28515625" style="1942" customWidth="1"/>
    <col min="5632" max="5632" width="4" style="1942" bestFit="1" customWidth="1"/>
    <col min="5633" max="5633" width="13.140625" style="1942" customWidth="1"/>
    <col min="5634" max="5639" width="12.42578125" style="1942" customWidth="1"/>
    <col min="5640" max="5870" width="16.7109375" style="1942"/>
    <col min="5871" max="5871" width="13.140625" style="1942" customWidth="1"/>
    <col min="5872" max="5872" width="50.140625" style="1942" customWidth="1"/>
    <col min="5873" max="5873" width="9.140625" style="1942" customWidth="1"/>
    <col min="5874" max="5874" width="7.140625" style="1942" customWidth="1"/>
    <col min="5875" max="5875" width="13.42578125" style="1942" customWidth="1"/>
    <col min="5876" max="5876" width="5.28515625" style="1942" customWidth="1"/>
    <col min="5877" max="5877" width="12.7109375" style="1942" customWidth="1"/>
    <col min="5878" max="5878" width="1.85546875" style="1942" customWidth="1"/>
    <col min="5879" max="5879" width="12.7109375" style="1942" customWidth="1"/>
    <col min="5880" max="5880" width="3.85546875" style="1942" customWidth="1"/>
    <col min="5881" max="5881" width="12.85546875" style="1942" customWidth="1"/>
    <col min="5882" max="5882" width="1.85546875" style="1942" customWidth="1"/>
    <col min="5883" max="5883" width="13.140625" style="1942" customWidth="1"/>
    <col min="5884" max="5884" width="5.5703125" style="1942" customWidth="1"/>
    <col min="5885" max="5885" width="11.85546875" style="1942" customWidth="1"/>
    <col min="5886" max="5886" width="4.42578125" style="1942" bestFit="1" customWidth="1"/>
    <col min="5887" max="5887" width="13.28515625" style="1942" customWidth="1"/>
    <col min="5888" max="5888" width="4" style="1942" bestFit="1" customWidth="1"/>
    <col min="5889" max="5889" width="13.140625" style="1942" customWidth="1"/>
    <col min="5890" max="5895" width="12.42578125" style="1942" customWidth="1"/>
    <col min="5896" max="6126" width="16.7109375" style="1942"/>
    <col min="6127" max="6127" width="13.140625" style="1942" customWidth="1"/>
    <col min="6128" max="6128" width="50.140625" style="1942" customWidth="1"/>
    <col min="6129" max="6129" width="9.140625" style="1942" customWidth="1"/>
    <col min="6130" max="6130" width="7.140625" style="1942" customWidth="1"/>
    <col min="6131" max="6131" width="13.42578125" style="1942" customWidth="1"/>
    <col min="6132" max="6132" width="5.28515625" style="1942" customWidth="1"/>
    <col min="6133" max="6133" width="12.7109375" style="1942" customWidth="1"/>
    <col min="6134" max="6134" width="1.85546875" style="1942" customWidth="1"/>
    <col min="6135" max="6135" width="12.7109375" style="1942" customWidth="1"/>
    <col min="6136" max="6136" width="3.85546875" style="1942" customWidth="1"/>
    <col min="6137" max="6137" width="12.85546875" style="1942" customWidth="1"/>
    <col min="6138" max="6138" width="1.85546875" style="1942" customWidth="1"/>
    <col min="6139" max="6139" width="13.140625" style="1942" customWidth="1"/>
    <col min="6140" max="6140" width="5.5703125" style="1942" customWidth="1"/>
    <col min="6141" max="6141" width="11.85546875" style="1942" customWidth="1"/>
    <col min="6142" max="6142" width="4.42578125" style="1942" bestFit="1" customWidth="1"/>
    <col min="6143" max="6143" width="13.28515625" style="1942" customWidth="1"/>
    <col min="6144" max="6144" width="4" style="1942" bestFit="1" customWidth="1"/>
    <col min="6145" max="6145" width="13.140625" style="1942" customWidth="1"/>
    <col min="6146" max="6151" width="12.42578125" style="1942" customWidth="1"/>
    <col min="6152" max="6382" width="16.7109375" style="1942"/>
    <col min="6383" max="6383" width="13.140625" style="1942" customWidth="1"/>
    <col min="6384" max="6384" width="50.140625" style="1942" customWidth="1"/>
    <col min="6385" max="6385" width="9.140625" style="1942" customWidth="1"/>
    <col min="6386" max="6386" width="7.140625" style="1942" customWidth="1"/>
    <col min="6387" max="6387" width="13.42578125" style="1942" customWidth="1"/>
    <col min="6388" max="6388" width="5.28515625" style="1942" customWidth="1"/>
    <col min="6389" max="6389" width="12.7109375" style="1942" customWidth="1"/>
    <col min="6390" max="6390" width="1.85546875" style="1942" customWidth="1"/>
    <col min="6391" max="6391" width="12.7109375" style="1942" customWidth="1"/>
    <col min="6392" max="6392" width="3.85546875" style="1942" customWidth="1"/>
    <col min="6393" max="6393" width="12.85546875" style="1942" customWidth="1"/>
    <col min="6394" max="6394" width="1.85546875" style="1942" customWidth="1"/>
    <col min="6395" max="6395" width="13.140625" style="1942" customWidth="1"/>
    <col min="6396" max="6396" width="5.5703125" style="1942" customWidth="1"/>
    <col min="6397" max="6397" width="11.85546875" style="1942" customWidth="1"/>
    <col min="6398" max="6398" width="4.42578125" style="1942" bestFit="1" customWidth="1"/>
    <col min="6399" max="6399" width="13.28515625" style="1942" customWidth="1"/>
    <col min="6400" max="6400" width="4" style="1942" bestFit="1" customWidth="1"/>
    <col min="6401" max="6401" width="13.140625" style="1942" customWidth="1"/>
    <col min="6402" max="6407" width="12.42578125" style="1942" customWidth="1"/>
    <col min="6408" max="6638" width="16.7109375" style="1942"/>
    <col min="6639" max="6639" width="13.140625" style="1942" customWidth="1"/>
    <col min="6640" max="6640" width="50.140625" style="1942" customWidth="1"/>
    <col min="6641" max="6641" width="9.140625" style="1942" customWidth="1"/>
    <col min="6642" max="6642" width="7.140625" style="1942" customWidth="1"/>
    <col min="6643" max="6643" width="13.42578125" style="1942" customWidth="1"/>
    <col min="6644" max="6644" width="5.28515625" style="1942" customWidth="1"/>
    <col min="6645" max="6645" width="12.7109375" style="1942" customWidth="1"/>
    <col min="6646" max="6646" width="1.85546875" style="1942" customWidth="1"/>
    <col min="6647" max="6647" width="12.7109375" style="1942" customWidth="1"/>
    <col min="6648" max="6648" width="3.85546875" style="1942" customWidth="1"/>
    <col min="6649" max="6649" width="12.85546875" style="1942" customWidth="1"/>
    <col min="6650" max="6650" width="1.85546875" style="1942" customWidth="1"/>
    <col min="6651" max="6651" width="13.140625" style="1942" customWidth="1"/>
    <col min="6652" max="6652" width="5.5703125" style="1942" customWidth="1"/>
    <col min="6653" max="6653" width="11.85546875" style="1942" customWidth="1"/>
    <col min="6654" max="6654" width="4.42578125" style="1942" bestFit="1" customWidth="1"/>
    <col min="6655" max="6655" width="13.28515625" style="1942" customWidth="1"/>
    <col min="6656" max="6656" width="4" style="1942" bestFit="1" customWidth="1"/>
    <col min="6657" max="6657" width="13.140625" style="1942" customWidth="1"/>
    <col min="6658" max="6663" width="12.42578125" style="1942" customWidth="1"/>
    <col min="6664" max="6894" width="16.7109375" style="1942"/>
    <col min="6895" max="6895" width="13.140625" style="1942" customWidth="1"/>
    <col min="6896" max="6896" width="50.140625" style="1942" customWidth="1"/>
    <col min="6897" max="6897" width="9.140625" style="1942" customWidth="1"/>
    <col min="6898" max="6898" width="7.140625" style="1942" customWidth="1"/>
    <col min="6899" max="6899" width="13.42578125" style="1942" customWidth="1"/>
    <col min="6900" max="6900" width="5.28515625" style="1942" customWidth="1"/>
    <col min="6901" max="6901" width="12.7109375" style="1942" customWidth="1"/>
    <col min="6902" max="6902" width="1.85546875" style="1942" customWidth="1"/>
    <col min="6903" max="6903" width="12.7109375" style="1942" customWidth="1"/>
    <col min="6904" max="6904" width="3.85546875" style="1942" customWidth="1"/>
    <col min="6905" max="6905" width="12.85546875" style="1942" customWidth="1"/>
    <col min="6906" max="6906" width="1.85546875" style="1942" customWidth="1"/>
    <col min="6907" max="6907" width="13.140625" style="1942" customWidth="1"/>
    <col min="6908" max="6908" width="5.5703125" style="1942" customWidth="1"/>
    <col min="6909" max="6909" width="11.85546875" style="1942" customWidth="1"/>
    <col min="6910" max="6910" width="4.42578125" style="1942" bestFit="1" customWidth="1"/>
    <col min="6911" max="6911" width="13.28515625" style="1942" customWidth="1"/>
    <col min="6912" max="6912" width="4" style="1942" bestFit="1" customWidth="1"/>
    <col min="6913" max="6913" width="13.140625" style="1942" customWidth="1"/>
    <col min="6914" max="6919" width="12.42578125" style="1942" customWidth="1"/>
    <col min="6920" max="7150" width="16.7109375" style="1942"/>
    <col min="7151" max="7151" width="13.140625" style="1942" customWidth="1"/>
    <col min="7152" max="7152" width="50.140625" style="1942" customWidth="1"/>
    <col min="7153" max="7153" width="9.140625" style="1942" customWidth="1"/>
    <col min="7154" max="7154" width="7.140625" style="1942" customWidth="1"/>
    <col min="7155" max="7155" width="13.42578125" style="1942" customWidth="1"/>
    <col min="7156" max="7156" width="5.28515625" style="1942" customWidth="1"/>
    <col min="7157" max="7157" width="12.7109375" style="1942" customWidth="1"/>
    <col min="7158" max="7158" width="1.85546875" style="1942" customWidth="1"/>
    <col min="7159" max="7159" width="12.7109375" style="1942" customWidth="1"/>
    <col min="7160" max="7160" width="3.85546875" style="1942" customWidth="1"/>
    <col min="7161" max="7161" width="12.85546875" style="1942" customWidth="1"/>
    <col min="7162" max="7162" width="1.85546875" style="1942" customWidth="1"/>
    <col min="7163" max="7163" width="13.140625" style="1942" customWidth="1"/>
    <col min="7164" max="7164" width="5.5703125" style="1942" customWidth="1"/>
    <col min="7165" max="7165" width="11.85546875" style="1942" customWidth="1"/>
    <col min="7166" max="7166" width="4.42578125" style="1942" bestFit="1" customWidth="1"/>
    <col min="7167" max="7167" width="13.28515625" style="1942" customWidth="1"/>
    <col min="7168" max="7168" width="4" style="1942" bestFit="1" customWidth="1"/>
    <col min="7169" max="7169" width="13.140625" style="1942" customWidth="1"/>
    <col min="7170" max="7175" width="12.42578125" style="1942" customWidth="1"/>
    <col min="7176" max="7406" width="16.7109375" style="1942"/>
    <col min="7407" max="7407" width="13.140625" style="1942" customWidth="1"/>
    <col min="7408" max="7408" width="50.140625" style="1942" customWidth="1"/>
    <col min="7409" max="7409" width="9.140625" style="1942" customWidth="1"/>
    <col min="7410" max="7410" width="7.140625" style="1942" customWidth="1"/>
    <col min="7411" max="7411" width="13.42578125" style="1942" customWidth="1"/>
    <col min="7412" max="7412" width="5.28515625" style="1942" customWidth="1"/>
    <col min="7413" max="7413" width="12.7109375" style="1942" customWidth="1"/>
    <col min="7414" max="7414" width="1.85546875" style="1942" customWidth="1"/>
    <col min="7415" max="7415" width="12.7109375" style="1942" customWidth="1"/>
    <col min="7416" max="7416" width="3.85546875" style="1942" customWidth="1"/>
    <col min="7417" max="7417" width="12.85546875" style="1942" customWidth="1"/>
    <col min="7418" max="7418" width="1.85546875" style="1942" customWidth="1"/>
    <col min="7419" max="7419" width="13.140625" style="1942" customWidth="1"/>
    <col min="7420" max="7420" width="5.5703125" style="1942" customWidth="1"/>
    <col min="7421" max="7421" width="11.85546875" style="1942" customWidth="1"/>
    <col min="7422" max="7422" width="4.42578125" style="1942" bestFit="1" customWidth="1"/>
    <col min="7423" max="7423" width="13.28515625" style="1942" customWidth="1"/>
    <col min="7424" max="7424" width="4" style="1942" bestFit="1" customWidth="1"/>
    <col min="7425" max="7425" width="13.140625" style="1942" customWidth="1"/>
    <col min="7426" max="7431" width="12.42578125" style="1942" customWidth="1"/>
    <col min="7432" max="7662" width="16.7109375" style="1942"/>
    <col min="7663" max="7663" width="13.140625" style="1942" customWidth="1"/>
    <col min="7664" max="7664" width="50.140625" style="1942" customWidth="1"/>
    <col min="7665" max="7665" width="9.140625" style="1942" customWidth="1"/>
    <col min="7666" max="7666" width="7.140625" style="1942" customWidth="1"/>
    <col min="7667" max="7667" width="13.42578125" style="1942" customWidth="1"/>
    <col min="7668" max="7668" width="5.28515625" style="1942" customWidth="1"/>
    <col min="7669" max="7669" width="12.7109375" style="1942" customWidth="1"/>
    <col min="7670" max="7670" width="1.85546875" style="1942" customWidth="1"/>
    <col min="7671" max="7671" width="12.7109375" style="1942" customWidth="1"/>
    <col min="7672" max="7672" width="3.85546875" style="1942" customWidth="1"/>
    <col min="7673" max="7673" width="12.85546875" style="1942" customWidth="1"/>
    <col min="7674" max="7674" width="1.85546875" style="1942" customWidth="1"/>
    <col min="7675" max="7675" width="13.140625" style="1942" customWidth="1"/>
    <col min="7676" max="7676" width="5.5703125" style="1942" customWidth="1"/>
    <col min="7677" max="7677" width="11.85546875" style="1942" customWidth="1"/>
    <col min="7678" max="7678" width="4.42578125" style="1942" bestFit="1" customWidth="1"/>
    <col min="7679" max="7679" width="13.28515625" style="1942" customWidth="1"/>
    <col min="7680" max="7680" width="4" style="1942" bestFit="1" customWidth="1"/>
    <col min="7681" max="7681" width="13.140625" style="1942" customWidth="1"/>
    <col min="7682" max="7687" width="12.42578125" style="1942" customWidth="1"/>
    <col min="7688" max="7918" width="16.7109375" style="1942"/>
    <col min="7919" max="7919" width="13.140625" style="1942" customWidth="1"/>
    <col min="7920" max="7920" width="50.140625" style="1942" customWidth="1"/>
    <col min="7921" max="7921" width="9.140625" style="1942" customWidth="1"/>
    <col min="7922" max="7922" width="7.140625" style="1942" customWidth="1"/>
    <col min="7923" max="7923" width="13.42578125" style="1942" customWidth="1"/>
    <col min="7924" max="7924" width="5.28515625" style="1942" customWidth="1"/>
    <col min="7925" max="7925" width="12.7109375" style="1942" customWidth="1"/>
    <col min="7926" max="7926" width="1.85546875" style="1942" customWidth="1"/>
    <col min="7927" max="7927" width="12.7109375" style="1942" customWidth="1"/>
    <col min="7928" max="7928" width="3.85546875" style="1942" customWidth="1"/>
    <col min="7929" max="7929" width="12.85546875" style="1942" customWidth="1"/>
    <col min="7930" max="7930" width="1.85546875" style="1942" customWidth="1"/>
    <col min="7931" max="7931" width="13.140625" style="1942" customWidth="1"/>
    <col min="7932" max="7932" width="5.5703125" style="1942" customWidth="1"/>
    <col min="7933" max="7933" width="11.85546875" style="1942" customWidth="1"/>
    <col min="7934" max="7934" width="4.42578125" style="1942" bestFit="1" customWidth="1"/>
    <col min="7935" max="7935" width="13.28515625" style="1942" customWidth="1"/>
    <col min="7936" max="7936" width="4" style="1942" bestFit="1" customWidth="1"/>
    <col min="7937" max="7937" width="13.140625" style="1942" customWidth="1"/>
    <col min="7938" max="7943" width="12.42578125" style="1942" customWidth="1"/>
    <col min="7944" max="8174" width="16.7109375" style="1942"/>
    <col min="8175" max="8175" width="13.140625" style="1942" customWidth="1"/>
    <col min="8176" max="8176" width="50.140625" style="1942" customWidth="1"/>
    <col min="8177" max="8177" width="9.140625" style="1942" customWidth="1"/>
    <col min="8178" max="8178" width="7.140625" style="1942" customWidth="1"/>
    <col min="8179" max="8179" width="13.42578125" style="1942" customWidth="1"/>
    <col min="8180" max="8180" width="5.28515625" style="1942" customWidth="1"/>
    <col min="8181" max="8181" width="12.7109375" style="1942" customWidth="1"/>
    <col min="8182" max="8182" width="1.85546875" style="1942" customWidth="1"/>
    <col min="8183" max="8183" width="12.7109375" style="1942" customWidth="1"/>
    <col min="8184" max="8184" width="3.85546875" style="1942" customWidth="1"/>
    <col min="8185" max="8185" width="12.85546875" style="1942" customWidth="1"/>
    <col min="8186" max="8186" width="1.85546875" style="1942" customWidth="1"/>
    <col min="8187" max="8187" width="13.140625" style="1942" customWidth="1"/>
    <col min="8188" max="8188" width="5.5703125" style="1942" customWidth="1"/>
    <col min="8189" max="8189" width="11.85546875" style="1942" customWidth="1"/>
    <col min="8190" max="8190" width="4.42578125" style="1942" bestFit="1" customWidth="1"/>
    <col min="8191" max="8191" width="13.28515625" style="1942" customWidth="1"/>
    <col min="8192" max="8192" width="4" style="1942" bestFit="1" customWidth="1"/>
    <col min="8193" max="8193" width="13.140625" style="1942" customWidth="1"/>
    <col min="8194" max="8199" width="12.42578125" style="1942" customWidth="1"/>
    <col min="8200" max="8430" width="16.7109375" style="1942"/>
    <col min="8431" max="8431" width="13.140625" style="1942" customWidth="1"/>
    <col min="8432" max="8432" width="50.140625" style="1942" customWidth="1"/>
    <col min="8433" max="8433" width="9.140625" style="1942" customWidth="1"/>
    <col min="8434" max="8434" width="7.140625" style="1942" customWidth="1"/>
    <col min="8435" max="8435" width="13.42578125" style="1942" customWidth="1"/>
    <col min="8436" max="8436" width="5.28515625" style="1942" customWidth="1"/>
    <col min="8437" max="8437" width="12.7109375" style="1942" customWidth="1"/>
    <col min="8438" max="8438" width="1.85546875" style="1942" customWidth="1"/>
    <col min="8439" max="8439" width="12.7109375" style="1942" customWidth="1"/>
    <col min="8440" max="8440" width="3.85546875" style="1942" customWidth="1"/>
    <col min="8441" max="8441" width="12.85546875" style="1942" customWidth="1"/>
    <col min="8442" max="8442" width="1.85546875" style="1942" customWidth="1"/>
    <col min="8443" max="8443" width="13.140625" style="1942" customWidth="1"/>
    <col min="8444" max="8444" width="5.5703125" style="1942" customWidth="1"/>
    <col min="8445" max="8445" width="11.85546875" style="1942" customWidth="1"/>
    <col min="8446" max="8446" width="4.42578125" style="1942" bestFit="1" customWidth="1"/>
    <col min="8447" max="8447" width="13.28515625" style="1942" customWidth="1"/>
    <col min="8448" max="8448" width="4" style="1942" bestFit="1" customWidth="1"/>
    <col min="8449" max="8449" width="13.140625" style="1942" customWidth="1"/>
    <col min="8450" max="8455" width="12.42578125" style="1942" customWidth="1"/>
    <col min="8456" max="8686" width="16.7109375" style="1942"/>
    <col min="8687" max="8687" width="13.140625" style="1942" customWidth="1"/>
    <col min="8688" max="8688" width="50.140625" style="1942" customWidth="1"/>
    <col min="8689" max="8689" width="9.140625" style="1942" customWidth="1"/>
    <col min="8690" max="8690" width="7.140625" style="1942" customWidth="1"/>
    <col min="8691" max="8691" width="13.42578125" style="1942" customWidth="1"/>
    <col min="8692" max="8692" width="5.28515625" style="1942" customWidth="1"/>
    <col min="8693" max="8693" width="12.7109375" style="1942" customWidth="1"/>
    <col min="8694" max="8694" width="1.85546875" style="1942" customWidth="1"/>
    <col min="8695" max="8695" width="12.7109375" style="1942" customWidth="1"/>
    <col min="8696" max="8696" width="3.85546875" style="1942" customWidth="1"/>
    <col min="8697" max="8697" width="12.85546875" style="1942" customWidth="1"/>
    <col min="8698" max="8698" width="1.85546875" style="1942" customWidth="1"/>
    <col min="8699" max="8699" width="13.140625" style="1942" customWidth="1"/>
    <col min="8700" max="8700" width="5.5703125" style="1942" customWidth="1"/>
    <col min="8701" max="8701" width="11.85546875" style="1942" customWidth="1"/>
    <col min="8702" max="8702" width="4.42578125" style="1942" bestFit="1" customWidth="1"/>
    <col min="8703" max="8703" width="13.28515625" style="1942" customWidth="1"/>
    <col min="8704" max="8704" width="4" style="1942" bestFit="1" customWidth="1"/>
    <col min="8705" max="8705" width="13.140625" style="1942" customWidth="1"/>
    <col min="8706" max="8711" width="12.42578125" style="1942" customWidth="1"/>
    <col min="8712" max="8942" width="16.7109375" style="1942"/>
    <col min="8943" max="8943" width="13.140625" style="1942" customWidth="1"/>
    <col min="8944" max="8944" width="50.140625" style="1942" customWidth="1"/>
    <col min="8945" max="8945" width="9.140625" style="1942" customWidth="1"/>
    <col min="8946" max="8946" width="7.140625" style="1942" customWidth="1"/>
    <col min="8947" max="8947" width="13.42578125" style="1942" customWidth="1"/>
    <col min="8948" max="8948" width="5.28515625" style="1942" customWidth="1"/>
    <col min="8949" max="8949" width="12.7109375" style="1942" customWidth="1"/>
    <col min="8950" max="8950" width="1.85546875" style="1942" customWidth="1"/>
    <col min="8951" max="8951" width="12.7109375" style="1942" customWidth="1"/>
    <col min="8952" max="8952" width="3.85546875" style="1942" customWidth="1"/>
    <col min="8953" max="8953" width="12.85546875" style="1942" customWidth="1"/>
    <col min="8954" max="8954" width="1.85546875" style="1942" customWidth="1"/>
    <col min="8955" max="8955" width="13.140625" style="1942" customWidth="1"/>
    <col min="8956" max="8956" width="5.5703125" style="1942" customWidth="1"/>
    <col min="8957" max="8957" width="11.85546875" style="1942" customWidth="1"/>
    <col min="8958" max="8958" width="4.42578125" style="1942" bestFit="1" customWidth="1"/>
    <col min="8959" max="8959" width="13.28515625" style="1942" customWidth="1"/>
    <col min="8960" max="8960" width="4" style="1942" bestFit="1" customWidth="1"/>
    <col min="8961" max="8961" width="13.140625" style="1942" customWidth="1"/>
    <col min="8962" max="8967" width="12.42578125" style="1942" customWidth="1"/>
    <col min="8968" max="9198" width="16.7109375" style="1942"/>
    <col min="9199" max="9199" width="13.140625" style="1942" customWidth="1"/>
    <col min="9200" max="9200" width="50.140625" style="1942" customWidth="1"/>
    <col min="9201" max="9201" width="9.140625" style="1942" customWidth="1"/>
    <col min="9202" max="9202" width="7.140625" style="1942" customWidth="1"/>
    <col min="9203" max="9203" width="13.42578125" style="1942" customWidth="1"/>
    <col min="9204" max="9204" width="5.28515625" style="1942" customWidth="1"/>
    <col min="9205" max="9205" width="12.7109375" style="1942" customWidth="1"/>
    <col min="9206" max="9206" width="1.85546875" style="1942" customWidth="1"/>
    <col min="9207" max="9207" width="12.7109375" style="1942" customWidth="1"/>
    <col min="9208" max="9208" width="3.85546875" style="1942" customWidth="1"/>
    <col min="9209" max="9209" width="12.85546875" style="1942" customWidth="1"/>
    <col min="9210" max="9210" width="1.85546875" style="1942" customWidth="1"/>
    <col min="9211" max="9211" width="13.140625" style="1942" customWidth="1"/>
    <col min="9212" max="9212" width="5.5703125" style="1942" customWidth="1"/>
    <col min="9213" max="9213" width="11.85546875" style="1942" customWidth="1"/>
    <col min="9214" max="9214" width="4.42578125" style="1942" bestFit="1" customWidth="1"/>
    <col min="9215" max="9215" width="13.28515625" style="1942" customWidth="1"/>
    <col min="9216" max="9216" width="4" style="1942" bestFit="1" customWidth="1"/>
    <col min="9217" max="9217" width="13.140625" style="1942" customWidth="1"/>
    <col min="9218" max="9223" width="12.42578125" style="1942" customWidth="1"/>
    <col min="9224" max="9454" width="16.7109375" style="1942"/>
    <col min="9455" max="9455" width="13.140625" style="1942" customWidth="1"/>
    <col min="9456" max="9456" width="50.140625" style="1942" customWidth="1"/>
    <col min="9457" max="9457" width="9.140625" style="1942" customWidth="1"/>
    <col min="9458" max="9458" width="7.140625" style="1942" customWidth="1"/>
    <col min="9459" max="9459" width="13.42578125" style="1942" customWidth="1"/>
    <col min="9460" max="9460" width="5.28515625" style="1942" customWidth="1"/>
    <col min="9461" max="9461" width="12.7109375" style="1942" customWidth="1"/>
    <col min="9462" max="9462" width="1.85546875" style="1942" customWidth="1"/>
    <col min="9463" max="9463" width="12.7109375" style="1942" customWidth="1"/>
    <col min="9464" max="9464" width="3.85546875" style="1942" customWidth="1"/>
    <col min="9465" max="9465" width="12.85546875" style="1942" customWidth="1"/>
    <col min="9466" max="9466" width="1.85546875" style="1942" customWidth="1"/>
    <col min="9467" max="9467" width="13.140625" style="1942" customWidth="1"/>
    <col min="9468" max="9468" width="5.5703125" style="1942" customWidth="1"/>
    <col min="9469" max="9469" width="11.85546875" style="1942" customWidth="1"/>
    <col min="9470" max="9470" width="4.42578125" style="1942" bestFit="1" customWidth="1"/>
    <col min="9471" max="9471" width="13.28515625" style="1942" customWidth="1"/>
    <col min="9472" max="9472" width="4" style="1942" bestFit="1" customWidth="1"/>
    <col min="9473" max="9473" width="13.140625" style="1942" customWidth="1"/>
    <col min="9474" max="9479" width="12.42578125" style="1942" customWidth="1"/>
    <col min="9480" max="9710" width="16.7109375" style="1942"/>
    <col min="9711" max="9711" width="13.140625" style="1942" customWidth="1"/>
    <col min="9712" max="9712" width="50.140625" style="1942" customWidth="1"/>
    <col min="9713" max="9713" width="9.140625" style="1942" customWidth="1"/>
    <col min="9714" max="9714" width="7.140625" style="1942" customWidth="1"/>
    <col min="9715" max="9715" width="13.42578125" style="1942" customWidth="1"/>
    <col min="9716" max="9716" width="5.28515625" style="1942" customWidth="1"/>
    <col min="9717" max="9717" width="12.7109375" style="1942" customWidth="1"/>
    <col min="9718" max="9718" width="1.85546875" style="1942" customWidth="1"/>
    <col min="9719" max="9719" width="12.7109375" style="1942" customWidth="1"/>
    <col min="9720" max="9720" width="3.85546875" style="1942" customWidth="1"/>
    <col min="9721" max="9721" width="12.85546875" style="1942" customWidth="1"/>
    <col min="9722" max="9722" width="1.85546875" style="1942" customWidth="1"/>
    <col min="9723" max="9723" width="13.140625" style="1942" customWidth="1"/>
    <col min="9724" max="9724" width="5.5703125" style="1942" customWidth="1"/>
    <col min="9725" max="9725" width="11.85546875" style="1942" customWidth="1"/>
    <col min="9726" max="9726" width="4.42578125" style="1942" bestFit="1" customWidth="1"/>
    <col min="9727" max="9727" width="13.28515625" style="1942" customWidth="1"/>
    <col min="9728" max="9728" width="4" style="1942" bestFit="1" customWidth="1"/>
    <col min="9729" max="9729" width="13.140625" style="1942" customWidth="1"/>
    <col min="9730" max="9735" width="12.42578125" style="1942" customWidth="1"/>
    <col min="9736" max="9966" width="16.7109375" style="1942"/>
    <col min="9967" max="9967" width="13.140625" style="1942" customWidth="1"/>
    <col min="9968" max="9968" width="50.140625" style="1942" customWidth="1"/>
    <col min="9969" max="9969" width="9.140625" style="1942" customWidth="1"/>
    <col min="9970" max="9970" width="7.140625" style="1942" customWidth="1"/>
    <col min="9971" max="9971" width="13.42578125" style="1942" customWidth="1"/>
    <col min="9972" max="9972" width="5.28515625" style="1942" customWidth="1"/>
    <col min="9973" max="9973" width="12.7109375" style="1942" customWidth="1"/>
    <col min="9974" max="9974" width="1.85546875" style="1942" customWidth="1"/>
    <col min="9975" max="9975" width="12.7109375" style="1942" customWidth="1"/>
    <col min="9976" max="9976" width="3.85546875" style="1942" customWidth="1"/>
    <col min="9977" max="9977" width="12.85546875" style="1942" customWidth="1"/>
    <col min="9978" max="9978" width="1.85546875" style="1942" customWidth="1"/>
    <col min="9979" max="9979" width="13.140625" style="1942" customWidth="1"/>
    <col min="9980" max="9980" width="5.5703125" style="1942" customWidth="1"/>
    <col min="9981" max="9981" width="11.85546875" style="1942" customWidth="1"/>
    <col min="9982" max="9982" width="4.42578125" style="1942" bestFit="1" customWidth="1"/>
    <col min="9983" max="9983" width="13.28515625" style="1942" customWidth="1"/>
    <col min="9984" max="9984" width="4" style="1942" bestFit="1" customWidth="1"/>
    <col min="9985" max="9985" width="13.140625" style="1942" customWidth="1"/>
    <col min="9986" max="9991" width="12.42578125" style="1942" customWidth="1"/>
    <col min="9992" max="10222" width="16.7109375" style="1942"/>
    <col min="10223" max="10223" width="13.140625" style="1942" customWidth="1"/>
    <col min="10224" max="10224" width="50.140625" style="1942" customWidth="1"/>
    <col min="10225" max="10225" width="9.140625" style="1942" customWidth="1"/>
    <col min="10226" max="10226" width="7.140625" style="1942" customWidth="1"/>
    <col min="10227" max="10227" width="13.42578125" style="1942" customWidth="1"/>
    <col min="10228" max="10228" width="5.28515625" style="1942" customWidth="1"/>
    <col min="10229" max="10229" width="12.7109375" style="1942" customWidth="1"/>
    <col min="10230" max="10230" width="1.85546875" style="1942" customWidth="1"/>
    <col min="10231" max="10231" width="12.7109375" style="1942" customWidth="1"/>
    <col min="10232" max="10232" width="3.85546875" style="1942" customWidth="1"/>
    <col min="10233" max="10233" width="12.85546875" style="1942" customWidth="1"/>
    <col min="10234" max="10234" width="1.85546875" style="1942" customWidth="1"/>
    <col min="10235" max="10235" width="13.140625" style="1942" customWidth="1"/>
    <col min="10236" max="10236" width="5.5703125" style="1942" customWidth="1"/>
    <col min="10237" max="10237" width="11.85546875" style="1942" customWidth="1"/>
    <col min="10238" max="10238" width="4.42578125" style="1942" bestFit="1" customWidth="1"/>
    <col min="10239" max="10239" width="13.28515625" style="1942" customWidth="1"/>
    <col min="10240" max="10240" width="4" style="1942" bestFit="1" customWidth="1"/>
    <col min="10241" max="10241" width="13.140625" style="1942" customWidth="1"/>
    <col min="10242" max="10247" width="12.42578125" style="1942" customWidth="1"/>
    <col min="10248" max="10478" width="16.7109375" style="1942"/>
    <col min="10479" max="10479" width="13.140625" style="1942" customWidth="1"/>
    <col min="10480" max="10480" width="50.140625" style="1942" customWidth="1"/>
    <col min="10481" max="10481" width="9.140625" style="1942" customWidth="1"/>
    <col min="10482" max="10482" width="7.140625" style="1942" customWidth="1"/>
    <col min="10483" max="10483" width="13.42578125" style="1942" customWidth="1"/>
    <col min="10484" max="10484" width="5.28515625" style="1942" customWidth="1"/>
    <col min="10485" max="10485" width="12.7109375" style="1942" customWidth="1"/>
    <col min="10486" max="10486" width="1.85546875" style="1942" customWidth="1"/>
    <col min="10487" max="10487" width="12.7109375" style="1942" customWidth="1"/>
    <col min="10488" max="10488" width="3.85546875" style="1942" customWidth="1"/>
    <col min="10489" max="10489" width="12.85546875" style="1942" customWidth="1"/>
    <col min="10490" max="10490" width="1.85546875" style="1942" customWidth="1"/>
    <col min="10491" max="10491" width="13.140625" style="1942" customWidth="1"/>
    <col min="10492" max="10492" width="5.5703125" style="1942" customWidth="1"/>
    <col min="10493" max="10493" width="11.85546875" style="1942" customWidth="1"/>
    <col min="10494" max="10494" width="4.42578125" style="1942" bestFit="1" customWidth="1"/>
    <col min="10495" max="10495" width="13.28515625" style="1942" customWidth="1"/>
    <col min="10496" max="10496" width="4" style="1942" bestFit="1" customWidth="1"/>
    <col min="10497" max="10497" width="13.140625" style="1942" customWidth="1"/>
    <col min="10498" max="10503" width="12.42578125" style="1942" customWidth="1"/>
    <col min="10504" max="10734" width="16.7109375" style="1942"/>
    <col min="10735" max="10735" width="13.140625" style="1942" customWidth="1"/>
    <col min="10736" max="10736" width="50.140625" style="1942" customWidth="1"/>
    <col min="10737" max="10737" width="9.140625" style="1942" customWidth="1"/>
    <col min="10738" max="10738" width="7.140625" style="1942" customWidth="1"/>
    <col min="10739" max="10739" width="13.42578125" style="1942" customWidth="1"/>
    <col min="10740" max="10740" width="5.28515625" style="1942" customWidth="1"/>
    <col min="10741" max="10741" width="12.7109375" style="1942" customWidth="1"/>
    <col min="10742" max="10742" width="1.85546875" style="1942" customWidth="1"/>
    <col min="10743" max="10743" width="12.7109375" style="1942" customWidth="1"/>
    <col min="10744" max="10744" width="3.85546875" style="1942" customWidth="1"/>
    <col min="10745" max="10745" width="12.85546875" style="1942" customWidth="1"/>
    <col min="10746" max="10746" width="1.85546875" style="1942" customWidth="1"/>
    <col min="10747" max="10747" width="13.140625" style="1942" customWidth="1"/>
    <col min="10748" max="10748" width="5.5703125" style="1942" customWidth="1"/>
    <col min="10749" max="10749" width="11.85546875" style="1942" customWidth="1"/>
    <col min="10750" max="10750" width="4.42578125" style="1942" bestFit="1" customWidth="1"/>
    <col min="10751" max="10751" width="13.28515625" style="1942" customWidth="1"/>
    <col min="10752" max="10752" width="4" style="1942" bestFit="1" customWidth="1"/>
    <col min="10753" max="10753" width="13.140625" style="1942" customWidth="1"/>
    <col min="10754" max="10759" width="12.42578125" style="1942" customWidth="1"/>
    <col min="10760" max="10990" width="16.7109375" style="1942"/>
    <col min="10991" max="10991" width="13.140625" style="1942" customWidth="1"/>
    <col min="10992" max="10992" width="50.140625" style="1942" customWidth="1"/>
    <col min="10993" max="10993" width="9.140625" style="1942" customWidth="1"/>
    <col min="10994" max="10994" width="7.140625" style="1942" customWidth="1"/>
    <col min="10995" max="10995" width="13.42578125" style="1942" customWidth="1"/>
    <col min="10996" max="10996" width="5.28515625" style="1942" customWidth="1"/>
    <col min="10997" max="10997" width="12.7109375" style="1942" customWidth="1"/>
    <col min="10998" max="10998" width="1.85546875" style="1942" customWidth="1"/>
    <col min="10999" max="10999" width="12.7109375" style="1942" customWidth="1"/>
    <col min="11000" max="11000" width="3.85546875" style="1942" customWidth="1"/>
    <col min="11001" max="11001" width="12.85546875" style="1942" customWidth="1"/>
    <col min="11002" max="11002" width="1.85546875" style="1942" customWidth="1"/>
    <col min="11003" max="11003" width="13.140625" style="1942" customWidth="1"/>
    <col min="11004" max="11004" width="5.5703125" style="1942" customWidth="1"/>
    <col min="11005" max="11005" width="11.85546875" style="1942" customWidth="1"/>
    <col min="11006" max="11006" width="4.42578125" style="1942" bestFit="1" customWidth="1"/>
    <col min="11007" max="11007" width="13.28515625" style="1942" customWidth="1"/>
    <col min="11008" max="11008" width="4" style="1942" bestFit="1" customWidth="1"/>
    <col min="11009" max="11009" width="13.140625" style="1942" customWidth="1"/>
    <col min="11010" max="11015" width="12.42578125" style="1942" customWidth="1"/>
    <col min="11016" max="11246" width="16.7109375" style="1942"/>
    <col min="11247" max="11247" width="13.140625" style="1942" customWidth="1"/>
    <col min="11248" max="11248" width="50.140625" style="1942" customWidth="1"/>
    <col min="11249" max="11249" width="9.140625" style="1942" customWidth="1"/>
    <col min="11250" max="11250" width="7.140625" style="1942" customWidth="1"/>
    <col min="11251" max="11251" width="13.42578125" style="1942" customWidth="1"/>
    <col min="11252" max="11252" width="5.28515625" style="1942" customWidth="1"/>
    <col min="11253" max="11253" width="12.7109375" style="1942" customWidth="1"/>
    <col min="11254" max="11254" width="1.85546875" style="1942" customWidth="1"/>
    <col min="11255" max="11255" width="12.7109375" style="1942" customWidth="1"/>
    <col min="11256" max="11256" width="3.85546875" style="1942" customWidth="1"/>
    <col min="11257" max="11257" width="12.85546875" style="1942" customWidth="1"/>
    <col min="11258" max="11258" width="1.85546875" style="1942" customWidth="1"/>
    <col min="11259" max="11259" width="13.140625" style="1942" customWidth="1"/>
    <col min="11260" max="11260" width="5.5703125" style="1942" customWidth="1"/>
    <col min="11261" max="11261" width="11.85546875" style="1942" customWidth="1"/>
    <col min="11262" max="11262" width="4.42578125" style="1942" bestFit="1" customWidth="1"/>
    <col min="11263" max="11263" width="13.28515625" style="1942" customWidth="1"/>
    <col min="11264" max="11264" width="4" style="1942" bestFit="1" customWidth="1"/>
    <col min="11265" max="11265" width="13.140625" style="1942" customWidth="1"/>
    <col min="11266" max="11271" width="12.42578125" style="1942" customWidth="1"/>
    <col min="11272" max="11502" width="16.7109375" style="1942"/>
    <col min="11503" max="11503" width="13.140625" style="1942" customWidth="1"/>
    <col min="11504" max="11504" width="50.140625" style="1942" customWidth="1"/>
    <col min="11505" max="11505" width="9.140625" style="1942" customWidth="1"/>
    <col min="11506" max="11506" width="7.140625" style="1942" customWidth="1"/>
    <col min="11507" max="11507" width="13.42578125" style="1942" customWidth="1"/>
    <col min="11508" max="11508" width="5.28515625" style="1942" customWidth="1"/>
    <col min="11509" max="11509" width="12.7109375" style="1942" customWidth="1"/>
    <col min="11510" max="11510" width="1.85546875" style="1942" customWidth="1"/>
    <col min="11511" max="11511" width="12.7109375" style="1942" customWidth="1"/>
    <col min="11512" max="11512" width="3.85546875" style="1942" customWidth="1"/>
    <col min="11513" max="11513" width="12.85546875" style="1942" customWidth="1"/>
    <col min="11514" max="11514" width="1.85546875" style="1942" customWidth="1"/>
    <col min="11515" max="11515" width="13.140625" style="1942" customWidth="1"/>
    <col min="11516" max="11516" width="5.5703125" style="1942" customWidth="1"/>
    <col min="11517" max="11517" width="11.85546875" style="1942" customWidth="1"/>
    <col min="11518" max="11518" width="4.42578125" style="1942" bestFit="1" customWidth="1"/>
    <col min="11519" max="11519" width="13.28515625" style="1942" customWidth="1"/>
    <col min="11520" max="11520" width="4" style="1942" bestFit="1" customWidth="1"/>
    <col min="11521" max="11521" width="13.140625" style="1942" customWidth="1"/>
    <col min="11522" max="11527" width="12.42578125" style="1942" customWidth="1"/>
    <col min="11528" max="11758" width="16.7109375" style="1942"/>
    <col min="11759" max="11759" width="13.140625" style="1942" customWidth="1"/>
    <col min="11760" max="11760" width="50.140625" style="1942" customWidth="1"/>
    <col min="11761" max="11761" width="9.140625" style="1942" customWidth="1"/>
    <col min="11762" max="11762" width="7.140625" style="1942" customWidth="1"/>
    <col min="11763" max="11763" width="13.42578125" style="1942" customWidth="1"/>
    <col min="11764" max="11764" width="5.28515625" style="1942" customWidth="1"/>
    <col min="11765" max="11765" width="12.7109375" style="1942" customWidth="1"/>
    <col min="11766" max="11766" width="1.85546875" style="1942" customWidth="1"/>
    <col min="11767" max="11767" width="12.7109375" style="1942" customWidth="1"/>
    <col min="11768" max="11768" width="3.85546875" style="1942" customWidth="1"/>
    <col min="11769" max="11769" width="12.85546875" style="1942" customWidth="1"/>
    <col min="11770" max="11770" width="1.85546875" style="1942" customWidth="1"/>
    <col min="11771" max="11771" width="13.140625" style="1942" customWidth="1"/>
    <col min="11772" max="11772" width="5.5703125" style="1942" customWidth="1"/>
    <col min="11773" max="11773" width="11.85546875" style="1942" customWidth="1"/>
    <col min="11774" max="11774" width="4.42578125" style="1942" bestFit="1" customWidth="1"/>
    <col min="11775" max="11775" width="13.28515625" style="1942" customWidth="1"/>
    <col min="11776" max="11776" width="4" style="1942" bestFit="1" customWidth="1"/>
    <col min="11777" max="11777" width="13.140625" style="1942" customWidth="1"/>
    <col min="11778" max="11783" width="12.42578125" style="1942" customWidth="1"/>
    <col min="11784" max="12014" width="16.7109375" style="1942"/>
    <col min="12015" max="12015" width="13.140625" style="1942" customWidth="1"/>
    <col min="12016" max="12016" width="50.140625" style="1942" customWidth="1"/>
    <col min="12017" max="12017" width="9.140625" style="1942" customWidth="1"/>
    <col min="12018" max="12018" width="7.140625" style="1942" customWidth="1"/>
    <col min="12019" max="12019" width="13.42578125" style="1942" customWidth="1"/>
    <col min="12020" max="12020" width="5.28515625" style="1942" customWidth="1"/>
    <col min="12021" max="12021" width="12.7109375" style="1942" customWidth="1"/>
    <col min="12022" max="12022" width="1.85546875" style="1942" customWidth="1"/>
    <col min="12023" max="12023" width="12.7109375" style="1942" customWidth="1"/>
    <col min="12024" max="12024" width="3.85546875" style="1942" customWidth="1"/>
    <col min="12025" max="12025" width="12.85546875" style="1942" customWidth="1"/>
    <col min="12026" max="12026" width="1.85546875" style="1942" customWidth="1"/>
    <col min="12027" max="12027" width="13.140625" style="1942" customWidth="1"/>
    <col min="12028" max="12028" width="5.5703125" style="1942" customWidth="1"/>
    <col min="12029" max="12029" width="11.85546875" style="1942" customWidth="1"/>
    <col min="12030" max="12030" width="4.42578125" style="1942" bestFit="1" customWidth="1"/>
    <col min="12031" max="12031" width="13.28515625" style="1942" customWidth="1"/>
    <col min="12032" max="12032" width="4" style="1942" bestFit="1" customWidth="1"/>
    <col min="12033" max="12033" width="13.140625" style="1942" customWidth="1"/>
    <col min="12034" max="12039" width="12.42578125" style="1942" customWidth="1"/>
    <col min="12040" max="12270" width="16.7109375" style="1942"/>
    <col min="12271" max="12271" width="13.140625" style="1942" customWidth="1"/>
    <col min="12272" max="12272" width="50.140625" style="1942" customWidth="1"/>
    <col min="12273" max="12273" width="9.140625" style="1942" customWidth="1"/>
    <col min="12274" max="12274" width="7.140625" style="1942" customWidth="1"/>
    <col min="12275" max="12275" width="13.42578125" style="1942" customWidth="1"/>
    <col min="12276" max="12276" width="5.28515625" style="1942" customWidth="1"/>
    <col min="12277" max="12277" width="12.7109375" style="1942" customWidth="1"/>
    <col min="12278" max="12278" width="1.85546875" style="1942" customWidth="1"/>
    <col min="12279" max="12279" width="12.7109375" style="1942" customWidth="1"/>
    <col min="12280" max="12280" width="3.85546875" style="1942" customWidth="1"/>
    <col min="12281" max="12281" width="12.85546875" style="1942" customWidth="1"/>
    <col min="12282" max="12282" width="1.85546875" style="1942" customWidth="1"/>
    <col min="12283" max="12283" width="13.140625" style="1942" customWidth="1"/>
    <col min="12284" max="12284" width="5.5703125" style="1942" customWidth="1"/>
    <col min="12285" max="12285" width="11.85546875" style="1942" customWidth="1"/>
    <col min="12286" max="12286" width="4.42578125" style="1942" bestFit="1" customWidth="1"/>
    <col min="12287" max="12287" width="13.28515625" style="1942" customWidth="1"/>
    <col min="12288" max="12288" width="4" style="1942" bestFit="1" customWidth="1"/>
    <col min="12289" max="12289" width="13.140625" style="1942" customWidth="1"/>
    <col min="12290" max="12295" width="12.42578125" style="1942" customWidth="1"/>
    <col min="12296" max="12526" width="16.7109375" style="1942"/>
    <col min="12527" max="12527" width="13.140625" style="1942" customWidth="1"/>
    <col min="12528" max="12528" width="50.140625" style="1942" customWidth="1"/>
    <col min="12529" max="12529" width="9.140625" style="1942" customWidth="1"/>
    <col min="12530" max="12530" width="7.140625" style="1942" customWidth="1"/>
    <col min="12531" max="12531" width="13.42578125" style="1942" customWidth="1"/>
    <col min="12532" max="12532" width="5.28515625" style="1942" customWidth="1"/>
    <col min="12533" max="12533" width="12.7109375" style="1942" customWidth="1"/>
    <col min="12534" max="12534" width="1.85546875" style="1942" customWidth="1"/>
    <col min="12535" max="12535" width="12.7109375" style="1942" customWidth="1"/>
    <col min="12536" max="12536" width="3.85546875" style="1942" customWidth="1"/>
    <col min="12537" max="12537" width="12.85546875" style="1942" customWidth="1"/>
    <col min="12538" max="12538" width="1.85546875" style="1942" customWidth="1"/>
    <col min="12539" max="12539" width="13.140625" style="1942" customWidth="1"/>
    <col min="12540" max="12540" width="5.5703125" style="1942" customWidth="1"/>
    <col min="12541" max="12541" width="11.85546875" style="1942" customWidth="1"/>
    <col min="12542" max="12542" width="4.42578125" style="1942" bestFit="1" customWidth="1"/>
    <col min="12543" max="12543" width="13.28515625" style="1942" customWidth="1"/>
    <col min="12544" max="12544" width="4" style="1942" bestFit="1" customWidth="1"/>
    <col min="12545" max="12545" width="13.140625" style="1942" customWidth="1"/>
    <col min="12546" max="12551" width="12.42578125" style="1942" customWidth="1"/>
    <col min="12552" max="12782" width="16.7109375" style="1942"/>
    <col min="12783" max="12783" width="13.140625" style="1942" customWidth="1"/>
    <col min="12784" max="12784" width="50.140625" style="1942" customWidth="1"/>
    <col min="12785" max="12785" width="9.140625" style="1942" customWidth="1"/>
    <col min="12786" max="12786" width="7.140625" style="1942" customWidth="1"/>
    <col min="12787" max="12787" width="13.42578125" style="1942" customWidth="1"/>
    <col min="12788" max="12788" width="5.28515625" style="1942" customWidth="1"/>
    <col min="12789" max="12789" width="12.7109375" style="1942" customWidth="1"/>
    <col min="12790" max="12790" width="1.85546875" style="1942" customWidth="1"/>
    <col min="12791" max="12791" width="12.7109375" style="1942" customWidth="1"/>
    <col min="12792" max="12792" width="3.85546875" style="1942" customWidth="1"/>
    <col min="12793" max="12793" width="12.85546875" style="1942" customWidth="1"/>
    <col min="12794" max="12794" width="1.85546875" style="1942" customWidth="1"/>
    <col min="12795" max="12795" width="13.140625" style="1942" customWidth="1"/>
    <col min="12796" max="12796" width="5.5703125" style="1942" customWidth="1"/>
    <col min="12797" max="12797" width="11.85546875" style="1942" customWidth="1"/>
    <col min="12798" max="12798" width="4.42578125" style="1942" bestFit="1" customWidth="1"/>
    <col min="12799" max="12799" width="13.28515625" style="1942" customWidth="1"/>
    <col min="12800" max="12800" width="4" style="1942" bestFit="1" customWidth="1"/>
    <col min="12801" max="12801" width="13.140625" style="1942" customWidth="1"/>
    <col min="12802" max="12807" width="12.42578125" style="1942" customWidth="1"/>
    <col min="12808" max="13038" width="16.7109375" style="1942"/>
    <col min="13039" max="13039" width="13.140625" style="1942" customWidth="1"/>
    <col min="13040" max="13040" width="50.140625" style="1942" customWidth="1"/>
    <col min="13041" max="13041" width="9.140625" style="1942" customWidth="1"/>
    <col min="13042" max="13042" width="7.140625" style="1942" customWidth="1"/>
    <col min="13043" max="13043" width="13.42578125" style="1942" customWidth="1"/>
    <col min="13044" max="13044" width="5.28515625" style="1942" customWidth="1"/>
    <col min="13045" max="13045" width="12.7109375" style="1942" customWidth="1"/>
    <col min="13046" max="13046" width="1.85546875" style="1942" customWidth="1"/>
    <col min="13047" max="13047" width="12.7109375" style="1942" customWidth="1"/>
    <col min="13048" max="13048" width="3.85546875" style="1942" customWidth="1"/>
    <col min="13049" max="13049" width="12.85546875" style="1942" customWidth="1"/>
    <col min="13050" max="13050" width="1.85546875" style="1942" customWidth="1"/>
    <col min="13051" max="13051" width="13.140625" style="1942" customWidth="1"/>
    <col min="13052" max="13052" width="5.5703125" style="1942" customWidth="1"/>
    <col min="13053" max="13053" width="11.85546875" style="1942" customWidth="1"/>
    <col min="13054" max="13054" width="4.42578125" style="1942" bestFit="1" customWidth="1"/>
    <col min="13055" max="13055" width="13.28515625" style="1942" customWidth="1"/>
    <col min="13056" max="13056" width="4" style="1942" bestFit="1" customWidth="1"/>
    <col min="13057" max="13057" width="13.140625" style="1942" customWidth="1"/>
    <col min="13058" max="13063" width="12.42578125" style="1942" customWidth="1"/>
    <col min="13064" max="13294" width="16.7109375" style="1942"/>
    <col min="13295" max="13295" width="13.140625" style="1942" customWidth="1"/>
    <col min="13296" max="13296" width="50.140625" style="1942" customWidth="1"/>
    <col min="13297" max="13297" width="9.140625" style="1942" customWidth="1"/>
    <col min="13298" max="13298" width="7.140625" style="1942" customWidth="1"/>
    <col min="13299" max="13299" width="13.42578125" style="1942" customWidth="1"/>
    <col min="13300" max="13300" width="5.28515625" style="1942" customWidth="1"/>
    <col min="13301" max="13301" width="12.7109375" style="1942" customWidth="1"/>
    <col min="13302" max="13302" width="1.85546875" style="1942" customWidth="1"/>
    <col min="13303" max="13303" width="12.7109375" style="1942" customWidth="1"/>
    <col min="13304" max="13304" width="3.85546875" style="1942" customWidth="1"/>
    <col min="13305" max="13305" width="12.85546875" style="1942" customWidth="1"/>
    <col min="13306" max="13306" width="1.85546875" style="1942" customWidth="1"/>
    <col min="13307" max="13307" width="13.140625" style="1942" customWidth="1"/>
    <col min="13308" max="13308" width="5.5703125" style="1942" customWidth="1"/>
    <col min="13309" max="13309" width="11.85546875" style="1942" customWidth="1"/>
    <col min="13310" max="13310" width="4.42578125" style="1942" bestFit="1" customWidth="1"/>
    <col min="13311" max="13311" width="13.28515625" style="1942" customWidth="1"/>
    <col min="13312" max="13312" width="4" style="1942" bestFit="1" customWidth="1"/>
    <col min="13313" max="13313" width="13.140625" style="1942" customWidth="1"/>
    <col min="13314" max="13319" width="12.42578125" style="1942" customWidth="1"/>
    <col min="13320" max="13550" width="16.7109375" style="1942"/>
    <col min="13551" max="13551" width="13.140625" style="1942" customWidth="1"/>
    <col min="13552" max="13552" width="50.140625" style="1942" customWidth="1"/>
    <col min="13553" max="13553" width="9.140625" style="1942" customWidth="1"/>
    <col min="13554" max="13554" width="7.140625" style="1942" customWidth="1"/>
    <col min="13555" max="13555" width="13.42578125" style="1942" customWidth="1"/>
    <col min="13556" max="13556" width="5.28515625" style="1942" customWidth="1"/>
    <col min="13557" max="13557" width="12.7109375" style="1942" customWidth="1"/>
    <col min="13558" max="13558" width="1.85546875" style="1942" customWidth="1"/>
    <col min="13559" max="13559" width="12.7109375" style="1942" customWidth="1"/>
    <col min="13560" max="13560" width="3.85546875" style="1942" customWidth="1"/>
    <col min="13561" max="13561" width="12.85546875" style="1942" customWidth="1"/>
    <col min="13562" max="13562" width="1.85546875" style="1942" customWidth="1"/>
    <col min="13563" max="13563" width="13.140625" style="1942" customWidth="1"/>
    <col min="13564" max="13564" width="5.5703125" style="1942" customWidth="1"/>
    <col min="13565" max="13565" width="11.85546875" style="1942" customWidth="1"/>
    <col min="13566" max="13566" width="4.42578125" style="1942" bestFit="1" customWidth="1"/>
    <col min="13567" max="13567" width="13.28515625" style="1942" customWidth="1"/>
    <col min="13568" max="13568" width="4" style="1942" bestFit="1" customWidth="1"/>
    <col min="13569" max="13569" width="13.140625" style="1942" customWidth="1"/>
    <col min="13570" max="13575" width="12.42578125" style="1942" customWidth="1"/>
    <col min="13576" max="13806" width="16.7109375" style="1942"/>
    <col min="13807" max="13807" width="13.140625" style="1942" customWidth="1"/>
    <col min="13808" max="13808" width="50.140625" style="1942" customWidth="1"/>
    <col min="13809" max="13809" width="9.140625" style="1942" customWidth="1"/>
    <col min="13810" max="13810" width="7.140625" style="1942" customWidth="1"/>
    <col min="13811" max="13811" width="13.42578125" style="1942" customWidth="1"/>
    <col min="13812" max="13812" width="5.28515625" style="1942" customWidth="1"/>
    <col min="13813" max="13813" width="12.7109375" style="1942" customWidth="1"/>
    <col min="13814" max="13814" width="1.85546875" style="1942" customWidth="1"/>
    <col min="13815" max="13815" width="12.7109375" style="1942" customWidth="1"/>
    <col min="13816" max="13816" width="3.85546875" style="1942" customWidth="1"/>
    <col min="13817" max="13817" width="12.85546875" style="1942" customWidth="1"/>
    <col min="13818" max="13818" width="1.85546875" style="1942" customWidth="1"/>
    <col min="13819" max="13819" width="13.140625" style="1942" customWidth="1"/>
    <col min="13820" max="13820" width="5.5703125" style="1942" customWidth="1"/>
    <col min="13821" max="13821" width="11.85546875" style="1942" customWidth="1"/>
    <col min="13822" max="13822" width="4.42578125" style="1942" bestFit="1" customWidth="1"/>
    <col min="13823" max="13823" width="13.28515625" style="1942" customWidth="1"/>
    <col min="13824" max="13824" width="4" style="1942" bestFit="1" customWidth="1"/>
    <col min="13825" max="13825" width="13.140625" style="1942" customWidth="1"/>
    <col min="13826" max="13831" width="12.42578125" style="1942" customWidth="1"/>
    <col min="13832" max="14062" width="16.7109375" style="1942"/>
    <col min="14063" max="14063" width="13.140625" style="1942" customWidth="1"/>
    <col min="14064" max="14064" width="50.140625" style="1942" customWidth="1"/>
    <col min="14065" max="14065" width="9.140625" style="1942" customWidth="1"/>
    <col min="14066" max="14066" width="7.140625" style="1942" customWidth="1"/>
    <col min="14067" max="14067" width="13.42578125" style="1942" customWidth="1"/>
    <col min="14068" max="14068" width="5.28515625" style="1942" customWidth="1"/>
    <col min="14069" max="14069" width="12.7109375" style="1942" customWidth="1"/>
    <col min="14070" max="14070" width="1.85546875" style="1942" customWidth="1"/>
    <col min="14071" max="14071" width="12.7109375" style="1942" customWidth="1"/>
    <col min="14072" max="14072" width="3.85546875" style="1942" customWidth="1"/>
    <col min="14073" max="14073" width="12.85546875" style="1942" customWidth="1"/>
    <col min="14074" max="14074" width="1.85546875" style="1942" customWidth="1"/>
    <col min="14075" max="14075" width="13.140625" style="1942" customWidth="1"/>
    <col min="14076" max="14076" width="5.5703125" style="1942" customWidth="1"/>
    <col min="14077" max="14077" width="11.85546875" style="1942" customWidth="1"/>
    <col min="14078" max="14078" width="4.42578125" style="1942" bestFit="1" customWidth="1"/>
    <col min="14079" max="14079" width="13.28515625" style="1942" customWidth="1"/>
    <col min="14080" max="14080" width="4" style="1942" bestFit="1" customWidth="1"/>
    <col min="14081" max="14081" width="13.140625" style="1942" customWidth="1"/>
    <col min="14082" max="14087" width="12.42578125" style="1942" customWidth="1"/>
    <col min="14088" max="14318" width="16.7109375" style="1942"/>
    <col min="14319" max="14319" width="13.140625" style="1942" customWidth="1"/>
    <col min="14320" max="14320" width="50.140625" style="1942" customWidth="1"/>
    <col min="14321" max="14321" width="9.140625" style="1942" customWidth="1"/>
    <col min="14322" max="14322" width="7.140625" style="1942" customWidth="1"/>
    <col min="14323" max="14323" width="13.42578125" style="1942" customWidth="1"/>
    <col min="14324" max="14324" width="5.28515625" style="1942" customWidth="1"/>
    <col min="14325" max="14325" width="12.7109375" style="1942" customWidth="1"/>
    <col min="14326" max="14326" width="1.85546875" style="1942" customWidth="1"/>
    <col min="14327" max="14327" width="12.7109375" style="1942" customWidth="1"/>
    <col min="14328" max="14328" width="3.85546875" style="1942" customWidth="1"/>
    <col min="14329" max="14329" width="12.85546875" style="1942" customWidth="1"/>
    <col min="14330" max="14330" width="1.85546875" style="1942" customWidth="1"/>
    <col min="14331" max="14331" width="13.140625" style="1942" customWidth="1"/>
    <col min="14332" max="14332" width="5.5703125" style="1942" customWidth="1"/>
    <col min="14333" max="14333" width="11.85546875" style="1942" customWidth="1"/>
    <col min="14334" max="14334" width="4.42578125" style="1942" bestFit="1" customWidth="1"/>
    <col min="14335" max="14335" width="13.28515625" style="1942" customWidth="1"/>
    <col min="14336" max="14336" width="4" style="1942" bestFit="1" customWidth="1"/>
    <col min="14337" max="14337" width="13.140625" style="1942" customWidth="1"/>
    <col min="14338" max="14343" width="12.42578125" style="1942" customWidth="1"/>
    <col min="14344" max="14574" width="16.7109375" style="1942"/>
    <col min="14575" max="14575" width="13.140625" style="1942" customWidth="1"/>
    <col min="14576" max="14576" width="50.140625" style="1942" customWidth="1"/>
    <col min="14577" max="14577" width="9.140625" style="1942" customWidth="1"/>
    <col min="14578" max="14578" width="7.140625" style="1942" customWidth="1"/>
    <col min="14579" max="14579" width="13.42578125" style="1942" customWidth="1"/>
    <col min="14580" max="14580" width="5.28515625" style="1942" customWidth="1"/>
    <col min="14581" max="14581" width="12.7109375" style="1942" customWidth="1"/>
    <col min="14582" max="14582" width="1.85546875" style="1942" customWidth="1"/>
    <col min="14583" max="14583" width="12.7109375" style="1942" customWidth="1"/>
    <col min="14584" max="14584" width="3.85546875" style="1942" customWidth="1"/>
    <col min="14585" max="14585" width="12.85546875" style="1942" customWidth="1"/>
    <col min="14586" max="14586" width="1.85546875" style="1942" customWidth="1"/>
    <col min="14587" max="14587" width="13.140625" style="1942" customWidth="1"/>
    <col min="14588" max="14588" width="5.5703125" style="1942" customWidth="1"/>
    <col min="14589" max="14589" width="11.85546875" style="1942" customWidth="1"/>
    <col min="14590" max="14590" width="4.42578125" style="1942" bestFit="1" customWidth="1"/>
    <col min="14591" max="14591" width="13.28515625" style="1942" customWidth="1"/>
    <col min="14592" max="14592" width="4" style="1942" bestFit="1" customWidth="1"/>
    <col min="14593" max="14593" width="13.140625" style="1942" customWidth="1"/>
    <col min="14594" max="14599" width="12.42578125" style="1942" customWidth="1"/>
    <col min="14600" max="14830" width="16.7109375" style="1942"/>
    <col min="14831" max="14831" width="13.140625" style="1942" customWidth="1"/>
    <col min="14832" max="14832" width="50.140625" style="1942" customWidth="1"/>
    <col min="14833" max="14833" width="9.140625" style="1942" customWidth="1"/>
    <col min="14834" max="14834" width="7.140625" style="1942" customWidth="1"/>
    <col min="14835" max="14835" width="13.42578125" style="1942" customWidth="1"/>
    <col min="14836" max="14836" width="5.28515625" style="1942" customWidth="1"/>
    <col min="14837" max="14837" width="12.7109375" style="1942" customWidth="1"/>
    <col min="14838" max="14838" width="1.85546875" style="1942" customWidth="1"/>
    <col min="14839" max="14839" width="12.7109375" style="1942" customWidth="1"/>
    <col min="14840" max="14840" width="3.85546875" style="1942" customWidth="1"/>
    <col min="14841" max="14841" width="12.85546875" style="1942" customWidth="1"/>
    <col min="14842" max="14842" width="1.85546875" style="1942" customWidth="1"/>
    <col min="14843" max="14843" width="13.140625" style="1942" customWidth="1"/>
    <col min="14844" max="14844" width="5.5703125" style="1942" customWidth="1"/>
    <col min="14845" max="14845" width="11.85546875" style="1942" customWidth="1"/>
    <col min="14846" max="14846" width="4.42578125" style="1942" bestFit="1" customWidth="1"/>
    <col min="14847" max="14847" width="13.28515625" style="1942" customWidth="1"/>
    <col min="14848" max="14848" width="4" style="1942" bestFit="1" customWidth="1"/>
    <col min="14849" max="14849" width="13.140625" style="1942" customWidth="1"/>
    <col min="14850" max="14855" width="12.42578125" style="1942" customWidth="1"/>
    <col min="14856" max="15086" width="16.7109375" style="1942"/>
    <col min="15087" max="15087" width="13.140625" style="1942" customWidth="1"/>
    <col min="15088" max="15088" width="50.140625" style="1942" customWidth="1"/>
    <col min="15089" max="15089" width="9.140625" style="1942" customWidth="1"/>
    <col min="15090" max="15090" width="7.140625" style="1942" customWidth="1"/>
    <col min="15091" max="15091" width="13.42578125" style="1942" customWidth="1"/>
    <col min="15092" max="15092" width="5.28515625" style="1942" customWidth="1"/>
    <col min="15093" max="15093" width="12.7109375" style="1942" customWidth="1"/>
    <col min="15094" max="15094" width="1.85546875" style="1942" customWidth="1"/>
    <col min="15095" max="15095" width="12.7109375" style="1942" customWidth="1"/>
    <col min="15096" max="15096" width="3.85546875" style="1942" customWidth="1"/>
    <col min="15097" max="15097" width="12.85546875" style="1942" customWidth="1"/>
    <col min="15098" max="15098" width="1.85546875" style="1942" customWidth="1"/>
    <col min="15099" max="15099" width="13.140625" style="1942" customWidth="1"/>
    <col min="15100" max="15100" width="5.5703125" style="1942" customWidth="1"/>
    <col min="15101" max="15101" width="11.85546875" style="1942" customWidth="1"/>
    <col min="15102" max="15102" width="4.42578125" style="1942" bestFit="1" customWidth="1"/>
    <col min="15103" max="15103" width="13.28515625" style="1942" customWidth="1"/>
    <col min="15104" max="15104" width="4" style="1942" bestFit="1" customWidth="1"/>
    <col min="15105" max="15105" width="13.140625" style="1942" customWidth="1"/>
    <col min="15106" max="15111" width="12.42578125" style="1942" customWidth="1"/>
    <col min="15112" max="15342" width="16.7109375" style="1942"/>
    <col min="15343" max="15343" width="13.140625" style="1942" customWidth="1"/>
    <col min="15344" max="15344" width="50.140625" style="1942" customWidth="1"/>
    <col min="15345" max="15345" width="9.140625" style="1942" customWidth="1"/>
    <col min="15346" max="15346" width="7.140625" style="1942" customWidth="1"/>
    <col min="15347" max="15347" width="13.42578125" style="1942" customWidth="1"/>
    <col min="15348" max="15348" width="5.28515625" style="1942" customWidth="1"/>
    <col min="15349" max="15349" width="12.7109375" style="1942" customWidth="1"/>
    <col min="15350" max="15350" width="1.85546875" style="1942" customWidth="1"/>
    <col min="15351" max="15351" width="12.7109375" style="1942" customWidth="1"/>
    <col min="15352" max="15352" width="3.85546875" style="1942" customWidth="1"/>
    <col min="15353" max="15353" width="12.85546875" style="1942" customWidth="1"/>
    <col min="15354" max="15354" width="1.85546875" style="1942" customWidth="1"/>
    <col min="15355" max="15355" width="13.140625" style="1942" customWidth="1"/>
    <col min="15356" max="15356" width="5.5703125" style="1942" customWidth="1"/>
    <col min="15357" max="15357" width="11.85546875" style="1942" customWidth="1"/>
    <col min="15358" max="15358" width="4.42578125" style="1942" bestFit="1" customWidth="1"/>
    <col min="15359" max="15359" width="13.28515625" style="1942" customWidth="1"/>
    <col min="15360" max="15360" width="4" style="1942" bestFit="1" customWidth="1"/>
    <col min="15361" max="15361" width="13.140625" style="1942" customWidth="1"/>
    <col min="15362" max="15367" width="12.42578125" style="1942" customWidth="1"/>
    <col min="15368" max="15598" width="16.7109375" style="1942"/>
    <col min="15599" max="15599" width="13.140625" style="1942" customWidth="1"/>
    <col min="15600" max="15600" width="50.140625" style="1942" customWidth="1"/>
    <col min="15601" max="15601" width="9.140625" style="1942" customWidth="1"/>
    <col min="15602" max="15602" width="7.140625" style="1942" customWidth="1"/>
    <col min="15603" max="15603" width="13.42578125" style="1942" customWidth="1"/>
    <col min="15604" max="15604" width="5.28515625" style="1942" customWidth="1"/>
    <col min="15605" max="15605" width="12.7109375" style="1942" customWidth="1"/>
    <col min="15606" max="15606" width="1.85546875" style="1942" customWidth="1"/>
    <col min="15607" max="15607" width="12.7109375" style="1942" customWidth="1"/>
    <col min="15608" max="15608" width="3.85546875" style="1942" customWidth="1"/>
    <col min="15609" max="15609" width="12.85546875" style="1942" customWidth="1"/>
    <col min="15610" max="15610" width="1.85546875" style="1942" customWidth="1"/>
    <col min="15611" max="15611" width="13.140625" style="1942" customWidth="1"/>
    <col min="15612" max="15612" width="5.5703125" style="1942" customWidth="1"/>
    <col min="15613" max="15613" width="11.85546875" style="1942" customWidth="1"/>
    <col min="15614" max="15614" width="4.42578125" style="1942" bestFit="1" customWidth="1"/>
    <col min="15615" max="15615" width="13.28515625" style="1942" customWidth="1"/>
    <col min="15616" max="15616" width="4" style="1942" bestFit="1" customWidth="1"/>
    <col min="15617" max="15617" width="13.140625" style="1942" customWidth="1"/>
    <col min="15618" max="15623" width="12.42578125" style="1942" customWidth="1"/>
    <col min="15624" max="15854" width="16.7109375" style="1942"/>
    <col min="15855" max="15855" width="13.140625" style="1942" customWidth="1"/>
    <col min="15856" max="15856" width="50.140625" style="1942" customWidth="1"/>
    <col min="15857" max="15857" width="9.140625" style="1942" customWidth="1"/>
    <col min="15858" max="15858" width="7.140625" style="1942" customWidth="1"/>
    <col min="15859" max="15859" width="13.42578125" style="1942" customWidth="1"/>
    <col min="15860" max="15860" width="5.28515625" style="1942" customWidth="1"/>
    <col min="15861" max="15861" width="12.7109375" style="1942" customWidth="1"/>
    <col min="15862" max="15862" width="1.85546875" style="1942" customWidth="1"/>
    <col min="15863" max="15863" width="12.7109375" style="1942" customWidth="1"/>
    <col min="15864" max="15864" width="3.85546875" style="1942" customWidth="1"/>
    <col min="15865" max="15865" width="12.85546875" style="1942" customWidth="1"/>
    <col min="15866" max="15866" width="1.85546875" style="1942" customWidth="1"/>
    <col min="15867" max="15867" width="13.140625" style="1942" customWidth="1"/>
    <col min="15868" max="15868" width="5.5703125" style="1942" customWidth="1"/>
    <col min="15869" max="15869" width="11.85546875" style="1942" customWidth="1"/>
    <col min="15870" max="15870" width="4.42578125" style="1942" bestFit="1" customWidth="1"/>
    <col min="15871" max="15871" width="13.28515625" style="1942" customWidth="1"/>
    <col min="15872" max="15872" width="4" style="1942" bestFit="1" customWidth="1"/>
    <col min="15873" max="15873" width="13.140625" style="1942" customWidth="1"/>
    <col min="15874" max="15879" width="12.42578125" style="1942" customWidth="1"/>
    <col min="15880" max="16110" width="16.7109375" style="1942"/>
    <col min="16111" max="16111" width="13.140625" style="1942" customWidth="1"/>
    <col min="16112" max="16112" width="50.140625" style="1942" customWidth="1"/>
    <col min="16113" max="16113" width="9.140625" style="1942" customWidth="1"/>
    <col min="16114" max="16114" width="7.140625" style="1942" customWidth="1"/>
    <col min="16115" max="16115" width="13.42578125" style="1942" customWidth="1"/>
    <col min="16116" max="16116" width="5.28515625" style="1942" customWidth="1"/>
    <col min="16117" max="16117" width="12.7109375" style="1942" customWidth="1"/>
    <col min="16118" max="16118" width="1.85546875" style="1942" customWidth="1"/>
    <col min="16119" max="16119" width="12.7109375" style="1942" customWidth="1"/>
    <col min="16120" max="16120" width="3.85546875" style="1942" customWidth="1"/>
    <col min="16121" max="16121" width="12.85546875" style="1942" customWidth="1"/>
    <col min="16122" max="16122" width="1.85546875" style="1942" customWidth="1"/>
    <col min="16123" max="16123" width="13.140625" style="1942" customWidth="1"/>
    <col min="16124" max="16124" width="5.5703125" style="1942" customWidth="1"/>
    <col min="16125" max="16125" width="11.85546875" style="1942" customWidth="1"/>
    <col min="16126" max="16126" width="4.42578125" style="1942" bestFit="1" customWidth="1"/>
    <col min="16127" max="16127" width="13.28515625" style="1942" customWidth="1"/>
    <col min="16128" max="16128" width="4" style="1942" bestFit="1" customWidth="1"/>
    <col min="16129" max="16129" width="13.140625" style="1942" customWidth="1"/>
    <col min="16130" max="16135" width="12.42578125" style="1942" customWidth="1"/>
    <col min="16136" max="16384" width="16.7109375" style="1942"/>
  </cols>
  <sheetData>
    <row r="1" spans="1:19" ht="15.95" customHeight="1" x14ac:dyDescent="0.25">
      <c r="A1" s="2574" t="s">
        <v>2133</v>
      </c>
      <c r="B1" s="2574"/>
      <c r="C1" s="2574"/>
      <c r="D1" s="2574"/>
      <c r="E1" s="2574"/>
      <c r="F1" s="2574"/>
      <c r="G1" s="2574"/>
      <c r="H1" s="2574"/>
      <c r="I1" s="2574"/>
      <c r="J1" s="2574"/>
      <c r="K1" s="2574"/>
      <c r="L1" s="2574"/>
      <c r="M1" s="2574"/>
      <c r="N1" s="2574"/>
      <c r="O1" s="2574"/>
      <c r="P1" s="2574"/>
      <c r="Q1" s="2574"/>
      <c r="R1" s="2574"/>
      <c r="S1" s="2574"/>
    </row>
    <row r="2" spans="1:19" ht="15.95" customHeight="1" x14ac:dyDescent="0.25">
      <c r="A2" s="2574" t="s">
        <v>2069</v>
      </c>
      <c r="B2" s="2574"/>
      <c r="C2" s="2574"/>
      <c r="D2" s="2574"/>
      <c r="E2" s="2574"/>
      <c r="F2" s="2574"/>
      <c r="G2" s="2574"/>
      <c r="H2" s="2574"/>
      <c r="I2" s="2574"/>
      <c r="J2" s="2574"/>
      <c r="K2" s="2574"/>
      <c r="L2" s="2574"/>
      <c r="M2" s="2574"/>
      <c r="N2" s="2574"/>
      <c r="O2" s="2574"/>
      <c r="P2" s="2574"/>
      <c r="Q2" s="2574"/>
      <c r="R2" s="2574"/>
      <c r="S2" s="2574"/>
    </row>
    <row r="3" spans="1:19" ht="15.95" customHeight="1" x14ac:dyDescent="0.25">
      <c r="A3" s="2574" t="s">
        <v>1219</v>
      </c>
      <c r="B3" s="2574"/>
      <c r="C3" s="2574"/>
      <c r="D3" s="2574"/>
      <c r="E3" s="2574"/>
      <c r="F3" s="2574"/>
      <c r="G3" s="2574"/>
      <c r="H3" s="2574"/>
      <c r="I3" s="2574"/>
      <c r="J3" s="2574"/>
      <c r="K3" s="2574"/>
      <c r="L3" s="2574"/>
      <c r="M3" s="2574"/>
      <c r="N3" s="2574"/>
      <c r="O3" s="2574"/>
      <c r="P3" s="2574"/>
      <c r="Q3" s="2574"/>
      <c r="R3" s="2574"/>
      <c r="S3" s="2574"/>
    </row>
    <row r="4" spans="1:19" ht="15.95" customHeight="1" x14ac:dyDescent="0.25">
      <c r="A4" s="2575" t="s">
        <v>2134</v>
      </c>
      <c r="B4" s="2575"/>
      <c r="C4" s="2575"/>
      <c r="D4" s="2575"/>
      <c r="E4" s="2575"/>
      <c r="F4" s="2575"/>
      <c r="G4" s="2575"/>
      <c r="H4" s="2575"/>
      <c r="I4" s="2575"/>
      <c r="J4" s="2575"/>
      <c r="K4" s="2575"/>
      <c r="L4" s="2575"/>
      <c r="M4" s="2575"/>
      <c r="N4" s="2575"/>
      <c r="O4" s="2575"/>
      <c r="P4" s="2575"/>
      <c r="Q4" s="2575"/>
      <c r="R4" s="2575"/>
      <c r="S4" s="2575"/>
    </row>
    <row r="5" spans="1:19" ht="15.95" customHeight="1" x14ac:dyDescent="0.25">
      <c r="A5" s="1943"/>
      <c r="B5" s="1943"/>
      <c r="C5" s="1943"/>
      <c r="D5" s="1943"/>
      <c r="E5" s="1943"/>
      <c r="F5" s="1943"/>
      <c r="G5" s="1944"/>
      <c r="H5" s="1945"/>
      <c r="I5" s="1944"/>
      <c r="J5" s="1946"/>
      <c r="K5" s="1944"/>
      <c r="L5" s="1945"/>
      <c r="M5" s="1945"/>
      <c r="N5" s="1945"/>
      <c r="O5" s="1945"/>
      <c r="P5" s="1945"/>
      <c r="Q5" s="1945"/>
      <c r="R5" s="1945"/>
      <c r="S5" s="1945"/>
    </row>
    <row r="6" spans="1:19" ht="15.95" customHeight="1" x14ac:dyDescent="0.25">
      <c r="A6" s="1943"/>
      <c r="B6" s="1943"/>
      <c r="C6" s="1943"/>
      <c r="D6" s="1943"/>
      <c r="E6" s="1943"/>
      <c r="F6" s="1943"/>
      <c r="G6" s="1944"/>
      <c r="H6" s="1945"/>
      <c r="I6" s="1944"/>
      <c r="J6" s="1946"/>
      <c r="K6" s="1944"/>
      <c r="L6" s="1945"/>
      <c r="M6" s="1945"/>
      <c r="N6" s="1945"/>
      <c r="O6" s="1945"/>
      <c r="P6" s="1945"/>
      <c r="Q6" s="1945"/>
      <c r="R6" s="1945"/>
      <c r="S6" s="1945"/>
    </row>
    <row r="7" spans="1:19" ht="20.45" customHeight="1" x14ac:dyDescent="0.25">
      <c r="A7" s="1946"/>
      <c r="B7" s="1944"/>
      <c r="C7" s="1945"/>
      <c r="D7" s="1945"/>
      <c r="E7" s="1946" t="s">
        <v>2135</v>
      </c>
      <c r="F7" s="1946"/>
      <c r="G7" s="1947" t="s">
        <v>2136</v>
      </c>
      <c r="H7" s="1947"/>
      <c r="I7" s="1947"/>
      <c r="J7" s="1946"/>
      <c r="K7" s="1947" t="s">
        <v>2137</v>
      </c>
      <c r="L7" s="1947"/>
      <c r="M7" s="1947"/>
      <c r="N7" s="1945"/>
      <c r="O7" s="1945"/>
      <c r="P7" s="1945"/>
      <c r="Q7" s="1945"/>
      <c r="R7" s="1945"/>
      <c r="S7" s="1945"/>
    </row>
    <row r="8" spans="1:19" ht="15.95" customHeight="1" x14ac:dyDescent="0.25">
      <c r="A8" s="1948"/>
      <c r="B8" s="1949"/>
      <c r="C8" s="1948" t="s">
        <v>1264</v>
      </c>
      <c r="D8" s="1941"/>
      <c r="E8" s="1948" t="s">
        <v>2138</v>
      </c>
      <c r="F8" s="1948"/>
      <c r="G8" s="1948" t="s">
        <v>2139</v>
      </c>
      <c r="H8" s="1941"/>
      <c r="I8" s="1950" t="s">
        <v>2140</v>
      </c>
      <c r="J8" s="1948"/>
      <c r="K8" s="1950" t="str">
        <f>+G8</f>
        <v xml:space="preserve">Prior to </v>
      </c>
      <c r="L8" s="1941"/>
      <c r="M8" s="1950" t="str">
        <f>+I8</f>
        <v>7/01/18 -</v>
      </c>
      <c r="N8" s="1941"/>
      <c r="O8" s="1948" t="s">
        <v>1261</v>
      </c>
      <c r="P8" s="1941"/>
      <c r="Q8" s="1948" t="s">
        <v>2141</v>
      </c>
      <c r="R8" s="1941"/>
      <c r="S8" s="1949" t="s">
        <v>1169</v>
      </c>
    </row>
    <row r="9" spans="1:19" ht="15.95" customHeight="1" x14ac:dyDescent="0.25">
      <c r="A9" s="1949" t="s">
        <v>2142</v>
      </c>
      <c r="B9" s="1949"/>
      <c r="C9" s="1948" t="s">
        <v>2143</v>
      </c>
      <c r="D9" s="1941"/>
      <c r="E9" s="1948" t="s">
        <v>2143</v>
      </c>
      <c r="F9" s="1948"/>
      <c r="G9" s="1951" t="s">
        <v>2144</v>
      </c>
      <c r="H9" s="1941"/>
      <c r="I9" s="1951" t="s">
        <v>2145</v>
      </c>
      <c r="J9" s="1948"/>
      <c r="K9" s="1952" t="str">
        <f>+G9</f>
        <v>6/30/18</v>
      </c>
      <c r="L9" s="1941"/>
      <c r="M9" s="1952" t="str">
        <f>+I9</f>
        <v>6/30/19</v>
      </c>
      <c r="N9" s="1941"/>
      <c r="O9" s="1948" t="s">
        <v>2146</v>
      </c>
      <c r="P9" s="1941"/>
      <c r="Q9" s="1948" t="s">
        <v>1257</v>
      </c>
      <c r="R9" s="1941"/>
      <c r="S9" s="1948" t="s">
        <v>30</v>
      </c>
    </row>
    <row r="10" spans="1:19" ht="18" customHeight="1" x14ac:dyDescent="0.25">
      <c r="A10" s="1953" t="s">
        <v>2147</v>
      </c>
      <c r="B10" s="1941"/>
      <c r="C10" s="1954" t="s">
        <v>2148</v>
      </c>
      <c r="D10" s="1941"/>
      <c r="E10" s="1954" t="s">
        <v>2149</v>
      </c>
      <c r="F10" s="1948"/>
      <c r="G10" s="1955" t="s">
        <v>2150</v>
      </c>
      <c r="H10" s="1956"/>
      <c r="I10" s="1955" t="s">
        <v>2151</v>
      </c>
      <c r="J10" s="1957"/>
      <c r="K10" s="1955" t="s">
        <v>2152</v>
      </c>
      <c r="L10" s="1956"/>
      <c r="M10" s="1955" t="s">
        <v>2153</v>
      </c>
      <c r="N10" s="1956" t="s">
        <v>2154</v>
      </c>
      <c r="O10" s="1955" t="s">
        <v>2155</v>
      </c>
      <c r="P10" s="1956"/>
      <c r="Q10" s="1955" t="s">
        <v>2156</v>
      </c>
      <c r="R10" s="1956"/>
      <c r="S10" s="1955" t="s">
        <v>2157</v>
      </c>
    </row>
    <row r="11" spans="1:19" ht="15.95" customHeight="1" x14ac:dyDescent="0.25">
      <c r="A11" s="1953"/>
      <c r="B11" s="1941"/>
      <c r="C11" s="1954"/>
      <c r="D11" s="1941"/>
      <c r="E11" s="1954"/>
      <c r="F11" s="1948"/>
      <c r="G11" s="1955"/>
      <c r="H11" s="1956"/>
      <c r="I11" s="1955"/>
      <c r="J11" s="1957"/>
      <c r="K11" s="1955"/>
      <c r="L11" s="1956"/>
      <c r="M11" s="1955"/>
      <c r="N11" s="1956"/>
      <c r="O11" s="1955"/>
      <c r="P11" s="1956"/>
      <c r="Q11" s="1955"/>
      <c r="R11" s="1956"/>
      <c r="S11" s="1955"/>
    </row>
    <row r="12" spans="1:19" ht="17.25" customHeight="1" x14ac:dyDescent="0.25">
      <c r="A12" s="1958" t="s">
        <v>2158</v>
      </c>
      <c r="B12" s="1941"/>
      <c r="C12" s="1954"/>
      <c r="D12" s="1941"/>
      <c r="E12" s="1954"/>
      <c r="F12" s="1948"/>
      <c r="G12" s="1955"/>
      <c r="H12" s="1956"/>
      <c r="I12" s="1955"/>
      <c r="J12" s="1957"/>
      <c r="K12" s="1955"/>
      <c r="L12" s="1956"/>
      <c r="M12" s="1955"/>
      <c r="N12" s="1956"/>
      <c r="O12" s="1955"/>
      <c r="P12" s="1956"/>
      <c r="Q12" s="1955"/>
      <c r="R12" s="1956"/>
      <c r="S12" s="1955"/>
    </row>
    <row r="13" spans="1:19" ht="17.25" customHeight="1" x14ac:dyDescent="0.25">
      <c r="A13" s="1958" t="s">
        <v>2159</v>
      </c>
      <c r="B13" s="1960"/>
      <c r="C13" s="1954"/>
      <c r="D13" s="1941"/>
      <c r="E13" s="1954"/>
      <c r="F13" s="1948"/>
      <c r="G13" s="1955"/>
      <c r="H13" s="1956"/>
      <c r="I13" s="1955"/>
      <c r="J13" s="1957"/>
      <c r="K13" s="1955"/>
      <c r="L13" s="1956"/>
      <c r="M13" s="1955"/>
      <c r="N13" s="1956"/>
      <c r="O13" s="1955"/>
      <c r="P13" s="1956"/>
      <c r="Q13" s="1955"/>
      <c r="R13" s="1956"/>
      <c r="S13" s="1955"/>
    </row>
    <row r="14" spans="1:19" ht="17.25" customHeight="1" x14ac:dyDescent="0.25">
      <c r="A14" s="1961" t="s">
        <v>2160</v>
      </c>
      <c r="B14" s="1941"/>
      <c r="C14" s="1941"/>
      <c r="D14" s="1941"/>
      <c r="E14" s="1941"/>
      <c r="F14" s="1948"/>
      <c r="G14" s="1956"/>
      <c r="H14" s="1956"/>
      <c r="I14" s="1956"/>
      <c r="J14" s="1957"/>
      <c r="K14" s="1956"/>
      <c r="L14" s="1956"/>
      <c r="M14" s="1956"/>
      <c r="N14" s="1956"/>
      <c r="O14" s="1956"/>
      <c r="P14" s="1956"/>
      <c r="Q14" s="1956"/>
      <c r="R14" s="1956"/>
      <c r="S14" s="1956"/>
    </row>
    <row r="15" spans="1:19" ht="17.25" customHeight="1" x14ac:dyDescent="0.25">
      <c r="A15" s="1962"/>
      <c r="B15" s="1941"/>
      <c r="C15" s="1941"/>
      <c r="D15" s="1941"/>
      <c r="E15" s="1950"/>
      <c r="F15" s="1948"/>
      <c r="G15" s="1941"/>
      <c r="H15" s="1941"/>
      <c r="I15" s="1963"/>
      <c r="J15" s="1948"/>
      <c r="K15" s="1941"/>
      <c r="L15" s="1941"/>
      <c r="M15" s="1963"/>
      <c r="N15" s="1941"/>
      <c r="O15" s="1941"/>
      <c r="P15" s="1941"/>
      <c r="Q15" s="1941"/>
      <c r="R15" s="1941"/>
      <c r="S15" s="1941"/>
    </row>
    <row r="16" spans="1:19" ht="17.25" customHeight="1" x14ac:dyDescent="0.4">
      <c r="A16" s="1962" t="s">
        <v>2161</v>
      </c>
      <c r="B16" s="1949" t="s">
        <v>1059</v>
      </c>
      <c r="C16" s="1964">
        <v>10.553000000000001</v>
      </c>
      <c r="D16" s="1941"/>
      <c r="E16" s="1950" t="s">
        <v>2162</v>
      </c>
      <c r="F16" s="1948"/>
      <c r="G16" s="1965">
        <v>68136</v>
      </c>
      <c r="H16" s="1966"/>
      <c r="I16" s="1965">
        <v>11006</v>
      </c>
      <c r="J16" s="1966"/>
      <c r="K16" s="1965">
        <v>68136</v>
      </c>
      <c r="L16" s="1966"/>
      <c r="M16" s="1965">
        <v>11006</v>
      </c>
      <c r="N16" s="1967"/>
      <c r="O16" s="1967"/>
      <c r="P16" s="1967"/>
      <c r="Q16" s="1968">
        <f>K16+M16+O16</f>
        <v>79142</v>
      </c>
      <c r="R16" s="1967"/>
      <c r="S16" s="1969" t="s">
        <v>2163</v>
      </c>
    </row>
    <row r="17" spans="1:19" ht="17.25" customHeight="1" x14ac:dyDescent="0.4">
      <c r="A17" s="1962" t="s">
        <v>2161</v>
      </c>
      <c r="B17" s="1949" t="s">
        <v>1059</v>
      </c>
      <c r="C17" s="1964">
        <v>10.553000000000001</v>
      </c>
      <c r="D17" s="1941"/>
      <c r="E17" s="1950" t="s">
        <v>2164</v>
      </c>
      <c r="F17" s="1970"/>
      <c r="G17" s="1971">
        <v>0</v>
      </c>
      <c r="H17" s="1972"/>
      <c r="I17" s="1966">
        <v>60032</v>
      </c>
      <c r="J17" s="1966"/>
      <c r="K17" s="1971">
        <v>0</v>
      </c>
      <c r="L17" s="1966"/>
      <c r="M17" s="1966">
        <v>60032</v>
      </c>
      <c r="N17" s="1966"/>
      <c r="O17" s="1965" t="s">
        <v>1169</v>
      </c>
      <c r="P17" s="1965">
        <v>-2</v>
      </c>
      <c r="Q17" s="1971">
        <v>60032</v>
      </c>
      <c r="R17" s="1967"/>
      <c r="S17" s="1969" t="s">
        <v>2163</v>
      </c>
    </row>
    <row r="18" spans="1:19" ht="17.25" customHeight="1" x14ac:dyDescent="0.4">
      <c r="A18" s="1962"/>
      <c r="B18" s="1941"/>
      <c r="C18" s="1964" t="s">
        <v>2165</v>
      </c>
      <c r="D18" s="1941"/>
      <c r="E18" s="1950"/>
      <c r="F18" s="1948"/>
      <c r="G18" s="1971">
        <f>SUM(G16:G17)</f>
        <v>68136</v>
      </c>
      <c r="H18" s="1941"/>
      <c r="I18" s="1971">
        <f>SUM(I16:I17)</f>
        <v>71038</v>
      </c>
      <c r="J18" s="1948"/>
      <c r="K18" s="1971">
        <f>SUM(K16:K17)</f>
        <v>68136</v>
      </c>
      <c r="L18" s="1941"/>
      <c r="M18" s="1971">
        <f>SUM(M16:M17)</f>
        <v>71038</v>
      </c>
      <c r="N18" s="1941"/>
      <c r="O18" s="1941"/>
      <c r="P18" s="1941"/>
      <c r="Q18" s="1971">
        <f>SUM(Q16:Q17)</f>
        <v>139174</v>
      </c>
      <c r="R18" s="1941"/>
      <c r="S18" s="1941"/>
    </row>
    <row r="19" spans="1:19" ht="17.25" customHeight="1" x14ac:dyDescent="0.25">
      <c r="A19" s="1962"/>
      <c r="B19" s="1941"/>
      <c r="C19" s="1941"/>
      <c r="D19" s="1941"/>
      <c r="E19" s="1950"/>
      <c r="F19" s="1948"/>
      <c r="G19" s="1941"/>
      <c r="H19" s="1941"/>
      <c r="I19" s="1963"/>
      <c r="J19" s="1948"/>
      <c r="K19" s="1941"/>
      <c r="L19" s="1941"/>
      <c r="M19" s="1963"/>
      <c r="N19" s="1941"/>
      <c r="O19" s="1941"/>
      <c r="P19" s="1941"/>
      <c r="Q19" s="1941"/>
      <c r="R19" s="1941"/>
      <c r="S19" s="1941"/>
    </row>
    <row r="20" spans="1:19" ht="17.25" customHeight="1" x14ac:dyDescent="0.25">
      <c r="A20" s="1962" t="s">
        <v>2161</v>
      </c>
      <c r="B20" s="1949" t="s">
        <v>1058</v>
      </c>
      <c r="C20" s="1964">
        <v>10.555</v>
      </c>
      <c r="D20" s="1941"/>
      <c r="E20" s="1950" t="s">
        <v>2166</v>
      </c>
      <c r="F20" s="1948"/>
      <c r="G20" s="1972">
        <v>263720</v>
      </c>
      <c r="H20" s="1973"/>
      <c r="I20" s="1972">
        <v>50168</v>
      </c>
      <c r="J20" s="1972"/>
      <c r="K20" s="1972">
        <v>263720</v>
      </c>
      <c r="L20" s="1972"/>
      <c r="M20" s="1972">
        <v>50168</v>
      </c>
      <c r="N20" s="1941"/>
      <c r="O20" s="1941"/>
      <c r="P20" s="1941"/>
      <c r="Q20" s="1968">
        <f>K20+M20+O20</f>
        <v>313888</v>
      </c>
      <c r="R20" s="1941"/>
      <c r="S20" s="1969" t="s">
        <v>2163</v>
      </c>
    </row>
    <row r="21" spans="1:19" ht="17.25" customHeight="1" x14ac:dyDescent="0.25">
      <c r="A21" s="1962" t="s">
        <v>2161</v>
      </c>
      <c r="B21" s="1949" t="s">
        <v>1058</v>
      </c>
      <c r="C21" s="1964" t="s">
        <v>2167</v>
      </c>
      <c r="D21" s="1941"/>
      <c r="E21" s="1950" t="s">
        <v>2168</v>
      </c>
      <c r="F21" s="1970"/>
      <c r="G21" s="1972"/>
      <c r="H21" s="1972"/>
      <c r="I21" s="1972">
        <v>263093</v>
      </c>
      <c r="J21" s="1973"/>
      <c r="K21" s="1972"/>
      <c r="L21" s="1972"/>
      <c r="M21" s="1972">
        <v>263093</v>
      </c>
      <c r="N21" s="1972"/>
      <c r="O21" s="1972" t="s">
        <v>1169</v>
      </c>
      <c r="P21" s="1972">
        <v>-2</v>
      </c>
      <c r="Q21" s="1974">
        <f>K21+M21+O21</f>
        <v>263093</v>
      </c>
      <c r="R21" s="1967"/>
      <c r="S21" s="1969" t="s">
        <v>2163</v>
      </c>
    </row>
    <row r="22" spans="1:19" ht="10.15" customHeight="1" x14ac:dyDescent="0.4">
      <c r="A22" s="1962"/>
      <c r="B22" s="1949"/>
      <c r="C22" s="1964"/>
      <c r="D22" s="1941"/>
      <c r="E22" s="1950"/>
      <c r="F22" s="1948"/>
      <c r="G22" s="1975"/>
      <c r="H22" s="1967"/>
      <c r="I22" s="1965"/>
      <c r="J22" s="1976"/>
      <c r="K22" s="1975"/>
      <c r="L22" s="1976"/>
      <c r="M22" s="1965"/>
      <c r="N22" s="1976"/>
      <c r="O22" s="1975"/>
      <c r="P22" s="1976"/>
      <c r="Q22" s="1968"/>
      <c r="R22" s="1967"/>
      <c r="S22" s="1969"/>
    </row>
    <row r="23" spans="1:19" ht="17.25" customHeight="1" x14ac:dyDescent="0.4">
      <c r="A23" s="1962"/>
      <c r="B23" s="1949" t="s">
        <v>2169</v>
      </c>
      <c r="C23" s="1964">
        <v>10.555</v>
      </c>
      <c r="D23" s="1941"/>
      <c r="E23" s="1948" t="s">
        <v>2170</v>
      </c>
      <c r="F23" s="1948"/>
      <c r="G23" s="1975"/>
      <c r="H23" s="1967"/>
      <c r="I23" s="1965"/>
      <c r="J23" s="1976"/>
      <c r="K23" s="1965">
        <v>59573</v>
      </c>
      <c r="L23" s="1976"/>
      <c r="M23" s="1965"/>
      <c r="N23" s="1966"/>
      <c r="O23" s="1975"/>
      <c r="P23" s="1976"/>
      <c r="Q23" s="1968">
        <f>K23+M23+O23</f>
        <v>59573</v>
      </c>
      <c r="R23" s="1967"/>
      <c r="S23" s="1969" t="s">
        <v>2163</v>
      </c>
    </row>
    <row r="24" spans="1:19" ht="17.25" customHeight="1" x14ac:dyDescent="0.4">
      <c r="A24" s="1962" t="s">
        <v>2161</v>
      </c>
      <c r="B24" s="1949" t="s">
        <v>2169</v>
      </c>
      <c r="C24" s="1964">
        <v>10.555</v>
      </c>
      <c r="D24" s="1941"/>
      <c r="E24" s="1977" t="s">
        <v>2171</v>
      </c>
      <c r="F24" s="1978"/>
      <c r="G24" s="1979"/>
      <c r="H24" s="1980"/>
      <c r="I24" s="1965"/>
      <c r="J24" s="1981"/>
      <c r="K24" s="1965"/>
      <c r="L24" s="1966"/>
      <c r="M24" s="1965">
        <v>54641</v>
      </c>
      <c r="N24" s="1966"/>
      <c r="O24" s="1965"/>
      <c r="P24" s="1966"/>
      <c r="Q24" s="1974">
        <f>K24+M24+O24</f>
        <v>54641</v>
      </c>
      <c r="R24" s="1967"/>
      <c r="S24" s="1969" t="s">
        <v>2163</v>
      </c>
    </row>
    <row r="25" spans="1:19" ht="17.25" customHeight="1" x14ac:dyDescent="0.4">
      <c r="A25" s="1962"/>
      <c r="B25" s="1949"/>
      <c r="C25" s="1964"/>
      <c r="D25" s="1941"/>
      <c r="E25" s="1977"/>
      <c r="F25" s="1978"/>
      <c r="G25" s="1979"/>
      <c r="H25" s="1980"/>
      <c r="I25" s="1965"/>
      <c r="J25" s="1981"/>
      <c r="K25" s="1965"/>
      <c r="L25" s="1966"/>
      <c r="M25" s="1965"/>
      <c r="N25" s="1966"/>
      <c r="O25" s="1965"/>
      <c r="P25" s="1966"/>
      <c r="Q25" s="1974"/>
      <c r="R25" s="1967"/>
      <c r="S25" s="1969"/>
    </row>
    <row r="26" spans="1:19" ht="17.25" customHeight="1" x14ac:dyDescent="0.4">
      <c r="A26" s="1962"/>
      <c r="B26" s="1982" t="s">
        <v>2172</v>
      </c>
      <c r="C26" s="1983">
        <v>10.555</v>
      </c>
      <c r="D26" s="1984"/>
      <c r="E26" s="1948" t="s">
        <v>2170</v>
      </c>
      <c r="F26" s="1948"/>
      <c r="G26" s="1975"/>
      <c r="H26" s="1967"/>
      <c r="I26" s="1965"/>
      <c r="J26" s="1976"/>
      <c r="K26" s="1965">
        <v>29025</v>
      </c>
      <c r="L26" s="1976"/>
      <c r="M26" s="1965"/>
      <c r="N26" s="1966"/>
      <c r="O26" s="1965"/>
      <c r="P26" s="1966"/>
      <c r="Q26" s="1974">
        <f>K26+M26+O26</f>
        <v>29025</v>
      </c>
      <c r="R26" s="1967"/>
      <c r="S26" s="1969" t="s">
        <v>2163</v>
      </c>
    </row>
    <row r="27" spans="1:19" ht="17.25" customHeight="1" x14ac:dyDescent="0.4">
      <c r="A27" s="1962" t="s">
        <v>2161</v>
      </c>
      <c r="B27" s="1982" t="s">
        <v>2172</v>
      </c>
      <c r="C27" s="1983">
        <v>10.555</v>
      </c>
      <c r="D27" s="1984"/>
      <c r="E27" s="1977" t="s">
        <v>2171</v>
      </c>
      <c r="F27" s="1948"/>
      <c r="G27" s="1975"/>
      <c r="H27" s="1967"/>
      <c r="I27" s="1965"/>
      <c r="J27" s="1976"/>
      <c r="K27" s="1975"/>
      <c r="L27" s="1966"/>
      <c r="M27" s="1965">
        <v>30225</v>
      </c>
      <c r="N27" s="1966"/>
      <c r="O27" s="1965"/>
      <c r="P27" s="1966"/>
      <c r="Q27" s="1974">
        <f>K27+M27+O27</f>
        <v>30225</v>
      </c>
      <c r="R27" s="1967"/>
      <c r="S27" s="1969" t="s">
        <v>2163</v>
      </c>
    </row>
    <row r="28" spans="1:19" ht="6" customHeight="1" x14ac:dyDescent="0.4">
      <c r="A28" s="1962"/>
      <c r="B28" s="1949"/>
      <c r="C28" s="1964"/>
      <c r="D28" s="1941"/>
      <c r="E28" s="1950"/>
      <c r="F28" s="1948"/>
      <c r="G28" s="1976"/>
      <c r="H28" s="1967"/>
      <c r="I28" s="1966"/>
      <c r="J28" s="1976"/>
      <c r="K28" s="1967"/>
      <c r="L28" s="1976"/>
      <c r="M28" s="1965"/>
      <c r="N28" s="1966"/>
      <c r="O28" s="1976"/>
      <c r="P28" s="1976"/>
      <c r="Q28" s="1968"/>
      <c r="R28" s="1967"/>
      <c r="S28" s="1969"/>
    </row>
    <row r="29" spans="1:19" ht="17.25" customHeight="1" x14ac:dyDescent="0.25">
      <c r="A29" s="1958" t="s">
        <v>2159</v>
      </c>
      <c r="B29" s="1949"/>
      <c r="C29" s="1964"/>
      <c r="D29" s="1941"/>
      <c r="E29" s="1948"/>
      <c r="F29" s="1948"/>
      <c r="G29" s="1967"/>
      <c r="H29" s="1967"/>
      <c r="I29" s="1972"/>
      <c r="J29" s="1985"/>
      <c r="K29" s="1967" t="s">
        <v>1169</v>
      </c>
      <c r="L29" s="1967"/>
      <c r="M29" s="1972"/>
      <c r="N29" s="1972"/>
      <c r="O29" s="1967" t="s">
        <v>1169</v>
      </c>
      <c r="P29" s="1967"/>
      <c r="Q29" s="1968"/>
      <c r="R29" s="1967"/>
      <c r="S29" s="1986"/>
    </row>
    <row r="30" spans="1:19" ht="17.25" customHeight="1" x14ac:dyDescent="0.25">
      <c r="A30" s="1958" t="s">
        <v>2173</v>
      </c>
      <c r="B30" s="1941"/>
      <c r="C30" s="1964"/>
      <c r="D30" s="1941"/>
      <c r="E30" s="1948"/>
      <c r="F30" s="1948"/>
      <c r="G30" s="1967"/>
      <c r="H30" s="1967"/>
      <c r="I30" s="1972" t="s">
        <v>1169</v>
      </c>
      <c r="J30" s="1985"/>
      <c r="K30" s="1967" t="s">
        <v>1169</v>
      </c>
      <c r="L30" s="1967"/>
      <c r="M30" s="1972"/>
      <c r="N30" s="1967"/>
      <c r="O30" s="1967"/>
      <c r="P30" s="1967"/>
      <c r="Q30" s="1968"/>
      <c r="R30" s="1967"/>
      <c r="S30" s="1986"/>
    </row>
    <row r="31" spans="1:19" ht="12" customHeight="1" x14ac:dyDescent="0.25">
      <c r="A31" s="1958"/>
      <c r="B31" s="1941"/>
      <c r="C31" s="1964"/>
      <c r="D31" s="1941"/>
      <c r="E31" s="1948"/>
      <c r="F31" s="1948"/>
      <c r="G31" s="1967"/>
      <c r="H31" s="1967"/>
      <c r="I31" s="1972"/>
      <c r="J31" s="1985"/>
      <c r="K31" s="1967"/>
      <c r="L31" s="1967"/>
      <c r="M31" s="1972"/>
      <c r="N31" s="1967"/>
      <c r="O31" s="1967"/>
      <c r="P31" s="1967"/>
      <c r="Q31" s="1968"/>
      <c r="R31" s="1967"/>
      <c r="S31" s="1986"/>
    </row>
    <row r="32" spans="1:19" ht="17.25" hidden="1" customHeight="1" x14ac:dyDescent="0.25">
      <c r="A32" s="1962"/>
      <c r="B32" s="1949" t="s">
        <v>1169</v>
      </c>
      <c r="C32" s="1964"/>
      <c r="D32" s="1941"/>
      <c r="E32" s="1948"/>
      <c r="F32" s="1948"/>
      <c r="G32" s="1967"/>
      <c r="H32" s="1967"/>
      <c r="I32" s="1972" t="s">
        <v>1169</v>
      </c>
      <c r="J32" s="1985"/>
      <c r="K32" s="1967"/>
      <c r="L32" s="1967"/>
      <c r="M32" s="1972"/>
      <c r="N32" s="1967"/>
      <c r="O32" s="1967"/>
      <c r="P32" s="1967"/>
      <c r="Q32" s="1968"/>
      <c r="R32" s="1967"/>
      <c r="S32" s="1986"/>
    </row>
    <row r="33" spans="1:19" ht="17.25" customHeight="1" x14ac:dyDescent="0.25">
      <c r="A33" s="1962" t="s">
        <v>2161</v>
      </c>
      <c r="B33" s="1949" t="s">
        <v>1058</v>
      </c>
      <c r="C33" s="1964">
        <v>10.555</v>
      </c>
      <c r="D33" s="1941"/>
      <c r="E33" s="1950" t="s">
        <v>2174</v>
      </c>
      <c r="F33" s="1948"/>
      <c r="G33" s="1967">
        <v>3593</v>
      </c>
      <c r="H33" s="1967"/>
      <c r="I33" s="1972">
        <v>1539</v>
      </c>
      <c r="J33" s="1973"/>
      <c r="K33" s="1972">
        <v>4243</v>
      </c>
      <c r="L33" s="1972"/>
      <c r="M33" s="1972">
        <v>889</v>
      </c>
      <c r="N33" s="1967"/>
      <c r="O33" s="1967" t="s">
        <v>1169</v>
      </c>
      <c r="P33" s="1967"/>
      <c r="Q33" s="1968">
        <f>O33+M33+K33</f>
        <v>5132</v>
      </c>
      <c r="R33" s="1967"/>
      <c r="S33" s="1986" t="s">
        <v>2163</v>
      </c>
    </row>
    <row r="34" spans="1:19" ht="17.25" hidden="1" customHeight="1" x14ac:dyDescent="0.25">
      <c r="B34" s="1949"/>
      <c r="C34" s="1964"/>
      <c r="D34" s="1941"/>
      <c r="E34" s="1948"/>
      <c r="F34" s="1948"/>
      <c r="G34" s="1967"/>
      <c r="H34" s="1967"/>
      <c r="I34" s="1972"/>
      <c r="J34" s="1973"/>
      <c r="K34" s="1972"/>
      <c r="L34" s="1972"/>
      <c r="M34" s="1972"/>
      <c r="N34" s="1967"/>
      <c r="O34" s="1967"/>
      <c r="P34" s="1967"/>
      <c r="Q34" s="1968"/>
      <c r="R34" s="1967"/>
      <c r="S34" s="1986"/>
    </row>
    <row r="35" spans="1:19" ht="17.25" customHeight="1" x14ac:dyDescent="0.4">
      <c r="A35" s="1962" t="s">
        <v>2161</v>
      </c>
      <c r="B35" s="1949" t="s">
        <v>1058</v>
      </c>
      <c r="C35" s="1964">
        <v>10.555</v>
      </c>
      <c r="D35" s="1941"/>
      <c r="E35" s="1950" t="s">
        <v>2175</v>
      </c>
      <c r="F35" s="1948"/>
      <c r="G35" s="1971">
        <v>0</v>
      </c>
      <c r="H35" s="1972"/>
      <c r="I35" s="1971">
        <v>4295</v>
      </c>
      <c r="J35" s="1973"/>
      <c r="K35" s="1971">
        <v>0</v>
      </c>
      <c r="L35" s="1972"/>
      <c r="M35" s="1971">
        <v>5306</v>
      </c>
      <c r="N35" s="1972"/>
      <c r="O35" s="1971" t="s">
        <v>1169</v>
      </c>
      <c r="P35" s="1967">
        <v>-2</v>
      </c>
      <c r="Q35" s="1988">
        <f>O35+M35+K35</f>
        <v>5306</v>
      </c>
      <c r="R35" s="1967"/>
      <c r="S35" s="1986" t="s">
        <v>2163</v>
      </c>
    </row>
    <row r="36" spans="1:19" ht="17.25" customHeight="1" x14ac:dyDescent="0.4">
      <c r="A36" s="1962"/>
      <c r="B36" s="1949"/>
      <c r="C36" s="1964" t="s">
        <v>2176</v>
      </c>
      <c r="D36" s="1941"/>
      <c r="E36" s="1950"/>
      <c r="F36" s="1948"/>
      <c r="G36" s="1971">
        <f>SUM(G20:G35)</f>
        <v>267313</v>
      </c>
      <c r="H36" s="1972"/>
      <c r="I36" s="1971">
        <f>SUM(I20:I35)</f>
        <v>319095</v>
      </c>
      <c r="J36" s="1973"/>
      <c r="K36" s="1971">
        <f>SUM(K20:K35)</f>
        <v>356561</v>
      </c>
      <c r="L36" s="1972"/>
      <c r="M36" s="1971">
        <f>SUM(M20:M35)</f>
        <v>404322</v>
      </c>
      <c r="N36" s="1972"/>
      <c r="O36" s="1971">
        <f>SUM(O20:O35)</f>
        <v>0</v>
      </c>
      <c r="P36" s="1967"/>
      <c r="Q36" s="1971">
        <f>SUM(Q20:Q35)</f>
        <v>760883</v>
      </c>
      <c r="R36" s="1967"/>
      <c r="S36" s="1986"/>
    </row>
    <row r="37" spans="1:19" ht="7.15" customHeight="1" x14ac:dyDescent="0.4">
      <c r="A37" s="1962"/>
      <c r="B37" s="1949"/>
      <c r="C37" s="1964"/>
      <c r="D37" s="1941"/>
      <c r="E37" s="1950"/>
      <c r="F37" s="1948"/>
      <c r="G37" s="1976"/>
      <c r="H37" s="1967"/>
      <c r="I37" s="1966"/>
      <c r="J37" s="1976"/>
      <c r="K37" s="1976"/>
      <c r="L37" s="1976"/>
      <c r="M37" s="1976"/>
      <c r="N37" s="1976"/>
      <c r="O37" s="1976"/>
      <c r="P37" s="1976"/>
      <c r="Q37" s="1976"/>
      <c r="R37" s="1967"/>
      <c r="S37" s="1969"/>
    </row>
    <row r="38" spans="1:19" ht="17.25" customHeight="1" x14ac:dyDescent="0.4">
      <c r="A38" s="1958" t="s">
        <v>2177</v>
      </c>
      <c r="B38" s="1949"/>
      <c r="C38" s="1964"/>
      <c r="D38" s="1941"/>
      <c r="F38" s="1989" t="s">
        <v>2178</v>
      </c>
      <c r="G38" s="1988">
        <f>SUM(G18,G36)</f>
        <v>335449</v>
      </c>
      <c r="H38" s="1988"/>
      <c r="I38" s="1988">
        <f>SUM(I18,I36)</f>
        <v>390133</v>
      </c>
      <c r="J38" s="1988"/>
      <c r="K38" s="1988">
        <f>SUM(K18,K36)</f>
        <v>424697</v>
      </c>
      <c r="L38" s="1988"/>
      <c r="M38" s="1988">
        <f>SUM(M18,M36)</f>
        <v>475360</v>
      </c>
      <c r="N38" s="1988"/>
      <c r="O38" s="1988">
        <f>SUM(O18,O36)</f>
        <v>0</v>
      </c>
      <c r="P38" s="1988"/>
      <c r="Q38" s="1988">
        <f>SUM(Q18,Q36)</f>
        <v>900057</v>
      </c>
      <c r="R38" s="1967"/>
      <c r="S38" s="1969"/>
    </row>
    <row r="39" spans="1:19" ht="17.25" customHeight="1" x14ac:dyDescent="0.25">
      <c r="A39" s="1948"/>
      <c r="B39" s="1949"/>
      <c r="C39" s="1964"/>
      <c r="D39" s="1941"/>
      <c r="E39" s="1950"/>
      <c r="F39" s="1948"/>
      <c r="G39" s="1967"/>
      <c r="H39" s="1967"/>
      <c r="I39" s="1967"/>
      <c r="J39" s="1985"/>
      <c r="K39" s="1967"/>
      <c r="L39" s="1967"/>
      <c r="M39" s="1967"/>
      <c r="N39" s="1967"/>
      <c r="O39" s="1967"/>
      <c r="P39" s="1967"/>
      <c r="Q39" s="1975"/>
      <c r="R39" s="1967"/>
      <c r="S39" s="1969"/>
    </row>
    <row r="40" spans="1:19" ht="17.25" customHeight="1" x14ac:dyDescent="0.25">
      <c r="A40" s="1958" t="s">
        <v>2179</v>
      </c>
      <c r="B40" s="1949"/>
      <c r="C40" s="1964"/>
      <c r="D40" s="1941"/>
      <c r="E40" s="1950"/>
      <c r="F40" s="1948"/>
      <c r="G40" s="1967"/>
      <c r="H40" s="1967"/>
      <c r="I40" s="1967" t="s">
        <v>1169</v>
      </c>
      <c r="J40" s="1985"/>
      <c r="K40" s="1967"/>
      <c r="L40" s="1967"/>
      <c r="M40" s="1967"/>
      <c r="N40" s="1967"/>
      <c r="O40" s="1967"/>
      <c r="P40" s="1967"/>
      <c r="Q40" s="1975"/>
      <c r="R40" s="1967"/>
      <c r="S40" s="1969"/>
    </row>
    <row r="41" spans="1:19" ht="17.25" customHeight="1" x14ac:dyDescent="0.25">
      <c r="A41" s="1958" t="s">
        <v>2159</v>
      </c>
      <c r="B41" s="1949"/>
      <c r="C41" s="1964"/>
      <c r="D41" s="1941"/>
      <c r="E41" s="1950"/>
      <c r="F41" s="1948"/>
      <c r="G41" s="1967"/>
      <c r="H41" s="1967"/>
      <c r="I41" s="1967" t="s">
        <v>1169</v>
      </c>
      <c r="J41" s="1985"/>
      <c r="K41" s="1967"/>
      <c r="L41" s="1967"/>
      <c r="M41" s="1967"/>
      <c r="N41" s="1967"/>
      <c r="O41" s="1967"/>
      <c r="P41" s="1967"/>
      <c r="Q41" s="1975"/>
      <c r="R41" s="1967"/>
      <c r="S41" s="1969"/>
    </row>
    <row r="42" spans="1:19" ht="17.25" customHeight="1" x14ac:dyDescent="0.25">
      <c r="A42" s="1958" t="s">
        <v>2160</v>
      </c>
      <c r="B42" s="1949"/>
      <c r="C42" s="1964"/>
      <c r="D42" s="1941"/>
      <c r="E42" s="1950" t="s">
        <v>2180</v>
      </c>
      <c r="F42" s="1948"/>
      <c r="G42" s="1967"/>
      <c r="H42" s="1967"/>
      <c r="I42" s="1967" t="s">
        <v>1169</v>
      </c>
      <c r="J42" s="1985"/>
      <c r="K42" s="1967"/>
      <c r="L42" s="1967"/>
      <c r="M42" s="1967"/>
      <c r="N42" s="1967"/>
      <c r="O42" s="1967"/>
      <c r="P42" s="1967"/>
      <c r="Q42" s="1975"/>
      <c r="R42" s="1967"/>
      <c r="S42" s="1969"/>
    </row>
    <row r="43" spans="1:19" ht="13.15" customHeight="1" x14ac:dyDescent="0.25">
      <c r="A43" s="1948"/>
      <c r="B43" s="1941"/>
      <c r="C43" s="1941"/>
      <c r="D43" s="1941"/>
      <c r="E43" s="1941"/>
      <c r="F43" s="1948"/>
      <c r="G43" s="1967" t="s">
        <v>1169</v>
      </c>
      <c r="H43" s="1967"/>
      <c r="I43" s="1967"/>
      <c r="J43" s="1985"/>
      <c r="K43" s="1967"/>
      <c r="L43" s="1967"/>
      <c r="M43" s="1967" t="s">
        <v>1169</v>
      </c>
      <c r="N43" s="1967"/>
      <c r="O43" s="1967"/>
      <c r="P43" s="1967"/>
      <c r="Q43" s="1967" t="s">
        <v>1169</v>
      </c>
      <c r="R43" s="1967"/>
      <c r="S43" s="1967"/>
    </row>
    <row r="44" spans="1:19" ht="17.25" customHeight="1" x14ac:dyDescent="0.25">
      <c r="A44" s="1962"/>
      <c r="B44" s="1949" t="s">
        <v>918</v>
      </c>
      <c r="C44" s="1964">
        <v>84.01</v>
      </c>
      <c r="D44" s="1941"/>
      <c r="E44" s="1948" t="s">
        <v>2181</v>
      </c>
      <c r="F44" s="1948"/>
      <c r="G44" s="1965">
        <v>145280</v>
      </c>
      <c r="H44" s="1965"/>
      <c r="I44" s="1965">
        <v>2794</v>
      </c>
      <c r="J44" s="1965"/>
      <c r="K44" s="1965">
        <v>148074</v>
      </c>
      <c r="L44" s="1965"/>
      <c r="M44" s="1965"/>
      <c r="N44" s="1965"/>
      <c r="O44" s="1965"/>
      <c r="P44" s="1965"/>
      <c r="Q44" s="1968">
        <f>O44+M44+K44</f>
        <v>148074</v>
      </c>
      <c r="R44" s="1967"/>
      <c r="S44" s="1972">
        <v>149607</v>
      </c>
    </row>
    <row r="45" spans="1:19" ht="17.25" customHeight="1" x14ac:dyDescent="0.25">
      <c r="A45" s="1962"/>
      <c r="B45" s="1949" t="s">
        <v>918</v>
      </c>
      <c r="C45" s="1964">
        <v>84.01</v>
      </c>
      <c r="D45" s="1941"/>
      <c r="E45" s="1948" t="s">
        <v>2182</v>
      </c>
      <c r="F45" s="1948"/>
      <c r="G45" s="1965"/>
      <c r="H45" s="1972"/>
      <c r="I45" s="1965">
        <v>116221</v>
      </c>
      <c r="J45" s="1965"/>
      <c r="K45" s="1965"/>
      <c r="L45" s="1965"/>
      <c r="M45" s="1965">
        <v>253802</v>
      </c>
      <c r="N45" s="1965"/>
      <c r="O45" s="1965"/>
      <c r="P45" s="1965">
        <v>-2</v>
      </c>
      <c r="Q45" s="1974">
        <f>O45+M45+K45</f>
        <v>253802</v>
      </c>
      <c r="R45" s="1967"/>
      <c r="S45" s="1972">
        <v>255139</v>
      </c>
    </row>
    <row r="46" spans="1:19" ht="17.25" customHeight="1" x14ac:dyDescent="0.25">
      <c r="A46" s="1962"/>
      <c r="B46" s="1949"/>
      <c r="C46" s="1964"/>
      <c r="D46" s="1941"/>
      <c r="E46" s="1948"/>
      <c r="F46" s="1948"/>
      <c r="G46" s="1965"/>
      <c r="H46" s="1972"/>
      <c r="I46" s="1965"/>
      <c r="J46" s="1965"/>
      <c r="K46" s="1965"/>
      <c r="L46" s="1965"/>
      <c r="M46" s="1965"/>
      <c r="N46" s="1965"/>
      <c r="O46" s="1965"/>
      <c r="P46" s="1965"/>
      <c r="Q46" s="1974"/>
      <c r="R46" s="1967"/>
      <c r="S46" s="1972"/>
    </row>
    <row r="47" spans="1:19" ht="17.25" customHeight="1" x14ac:dyDescent="0.4">
      <c r="A47" s="1962"/>
      <c r="B47" s="1949" t="s">
        <v>2183</v>
      </c>
      <c r="C47" s="1964">
        <v>84.01</v>
      </c>
      <c r="D47" s="1941"/>
      <c r="E47" s="1948" t="s">
        <v>2184</v>
      </c>
      <c r="F47" s="1948"/>
      <c r="G47" s="1966" t="s">
        <v>1169</v>
      </c>
      <c r="H47" s="1972"/>
      <c r="I47" s="1966">
        <v>7000</v>
      </c>
      <c r="J47" s="1965"/>
      <c r="K47" s="1966" t="s">
        <v>1169</v>
      </c>
      <c r="L47" s="1965"/>
      <c r="M47" s="1966">
        <v>7000</v>
      </c>
      <c r="N47" s="1990"/>
      <c r="O47" s="1966" t="s">
        <v>1169</v>
      </c>
      <c r="P47" s="1965"/>
      <c r="Q47" s="1991">
        <f>O47+M47+K47</f>
        <v>7000</v>
      </c>
      <c r="R47" s="1967"/>
      <c r="S47" s="1972">
        <v>15000</v>
      </c>
    </row>
    <row r="48" spans="1:19" ht="17.25" customHeight="1" x14ac:dyDescent="0.4">
      <c r="A48" s="1962"/>
      <c r="B48" s="1949"/>
      <c r="C48" s="1964" t="s">
        <v>2185</v>
      </c>
      <c r="D48" s="1941"/>
      <c r="E48" s="1948"/>
      <c r="F48" s="1948"/>
      <c r="G48" s="1992">
        <f>SUM(G44:G47)</f>
        <v>145280</v>
      </c>
      <c r="H48" s="1972"/>
      <c r="I48" s="1992">
        <f>SUM(I44:I47)</f>
        <v>126015</v>
      </c>
      <c r="J48" s="1965"/>
      <c r="K48" s="1992">
        <f>SUM(K44:K47)</f>
        <v>148074</v>
      </c>
      <c r="L48" s="1965"/>
      <c r="M48" s="1992">
        <f>SUM(M44:M47)</f>
        <v>260802</v>
      </c>
      <c r="N48" s="1965"/>
      <c r="O48" s="1992">
        <f>SUM(O44:O47)</f>
        <v>0</v>
      </c>
      <c r="P48" s="1965"/>
      <c r="Q48" s="1992">
        <f>SUM(Q44:Q47)</f>
        <v>408876</v>
      </c>
      <c r="R48" s="1967"/>
      <c r="S48" s="1972"/>
    </row>
    <row r="49" spans="1:19" ht="17.25" customHeight="1" x14ac:dyDescent="0.25">
      <c r="A49" s="1962"/>
      <c r="B49" s="1949"/>
      <c r="C49" s="1964"/>
      <c r="D49" s="1941"/>
      <c r="E49" s="1948"/>
      <c r="F49" s="1948"/>
      <c r="G49" s="1965"/>
      <c r="H49" s="1972"/>
      <c r="I49" s="1965"/>
      <c r="J49" s="1965"/>
      <c r="K49" s="1965"/>
      <c r="L49" s="1965"/>
      <c r="M49" s="1965"/>
      <c r="N49" s="1965"/>
      <c r="O49" s="1979"/>
      <c r="P49" s="1965"/>
      <c r="Q49" s="1974"/>
      <c r="R49" s="1967"/>
      <c r="S49" s="1972"/>
    </row>
    <row r="50" spans="1:19" ht="17.25" customHeight="1" x14ac:dyDescent="0.25">
      <c r="A50" s="1962"/>
      <c r="B50" s="1949" t="s">
        <v>2186</v>
      </c>
      <c r="C50" s="1993" t="s">
        <v>2187</v>
      </c>
      <c r="D50" s="1941"/>
      <c r="E50" s="1948" t="s">
        <v>2188</v>
      </c>
      <c r="F50" s="1948"/>
      <c r="G50" s="1965">
        <v>3833</v>
      </c>
      <c r="H50" s="1965"/>
      <c r="I50" s="1965">
        <v>5921</v>
      </c>
      <c r="J50" s="1965"/>
      <c r="K50" s="1994">
        <v>9754</v>
      </c>
      <c r="L50" s="1965"/>
      <c r="M50" s="1979"/>
      <c r="N50" s="1965"/>
      <c r="O50" s="1979"/>
      <c r="P50" s="1965"/>
      <c r="Q50" s="1974">
        <f>O50+M50+K50</f>
        <v>9754</v>
      </c>
      <c r="R50" s="1967"/>
      <c r="S50" s="1972">
        <v>10000</v>
      </c>
    </row>
    <row r="51" spans="1:19" ht="17.25" customHeight="1" x14ac:dyDescent="0.4">
      <c r="A51" s="1962"/>
      <c r="B51" s="1949" t="s">
        <v>2186</v>
      </c>
      <c r="C51" s="1993" t="s">
        <v>2187</v>
      </c>
      <c r="D51" s="1941"/>
      <c r="E51" s="1948" t="s">
        <v>2189</v>
      </c>
      <c r="F51" s="1948"/>
      <c r="G51" s="1966">
        <v>0</v>
      </c>
      <c r="H51" s="1965"/>
      <c r="I51" s="1966">
        <v>12356</v>
      </c>
      <c r="J51" s="1965"/>
      <c r="K51" s="1995">
        <v>0</v>
      </c>
      <c r="L51" s="1965"/>
      <c r="M51" s="1966">
        <v>12356</v>
      </c>
      <c r="N51" s="1965"/>
      <c r="O51" s="1981">
        <v>0</v>
      </c>
      <c r="P51" s="1965">
        <v>-2</v>
      </c>
      <c r="Q51" s="1991">
        <f>O51+M51+K51</f>
        <v>12356</v>
      </c>
      <c r="R51" s="1967"/>
      <c r="S51" s="1972">
        <v>23925</v>
      </c>
    </row>
    <row r="52" spans="1:19" ht="17.25" customHeight="1" x14ac:dyDescent="0.4">
      <c r="A52" s="1962"/>
      <c r="B52" s="1949"/>
      <c r="C52" s="1964" t="s">
        <v>2190</v>
      </c>
      <c r="D52" s="1941"/>
      <c r="E52" s="1948"/>
      <c r="F52" s="1948"/>
      <c r="G52" s="1966">
        <f>SUM(G50:G51)</f>
        <v>3833</v>
      </c>
      <c r="H52" s="1972"/>
      <c r="I52" s="1996">
        <f>SUM(I50:I51)</f>
        <v>18277</v>
      </c>
      <c r="J52" s="1965"/>
      <c r="K52" s="1966">
        <f>SUM(K50:K51)</f>
        <v>9754</v>
      </c>
      <c r="L52" s="1965"/>
      <c r="M52" s="1966">
        <f>SUM(M51)</f>
        <v>12356</v>
      </c>
      <c r="N52" s="1965"/>
      <c r="O52" s="1981">
        <f>SUM(O51)</f>
        <v>0</v>
      </c>
      <c r="P52" s="1965"/>
      <c r="Q52" s="1974">
        <f>SUM(Q50:Q51)</f>
        <v>22110</v>
      </c>
      <c r="R52" s="1967"/>
      <c r="S52" s="1972"/>
    </row>
    <row r="53" spans="1:19" ht="17.25" hidden="1" customHeight="1" x14ac:dyDescent="0.25">
      <c r="A53" s="1962"/>
      <c r="B53" s="1949" t="s">
        <v>2191</v>
      </c>
      <c r="C53" s="1964">
        <v>84.027000000000001</v>
      </c>
      <c r="D53" s="1941"/>
      <c r="E53" s="1948" t="s">
        <v>2192</v>
      </c>
      <c r="F53" s="1970"/>
      <c r="G53" s="1965"/>
      <c r="H53" s="1965"/>
      <c r="I53" s="1965"/>
      <c r="J53" s="1965"/>
      <c r="K53" s="1965"/>
      <c r="L53" s="1965"/>
      <c r="M53" s="1965"/>
      <c r="N53" s="1965"/>
      <c r="O53" s="1979"/>
      <c r="P53" s="1965"/>
      <c r="Q53" s="1974">
        <f>O53+M53+K53</f>
        <v>0</v>
      </c>
      <c r="R53" s="1967"/>
      <c r="S53" s="1997" t="s">
        <v>2163</v>
      </c>
    </row>
    <row r="54" spans="1:19" ht="17.25" hidden="1" customHeight="1" x14ac:dyDescent="0.25">
      <c r="A54" s="1962"/>
      <c r="B54" s="1949" t="s">
        <v>2191</v>
      </c>
      <c r="C54" s="1964">
        <v>84.027000000000001</v>
      </c>
      <c r="D54" s="1941"/>
      <c r="E54" s="1948" t="s">
        <v>2193</v>
      </c>
      <c r="F54" s="1970"/>
      <c r="G54" s="1965"/>
      <c r="H54" s="1972"/>
      <c r="I54" s="1998"/>
      <c r="J54" s="1965"/>
      <c r="K54" s="1965"/>
      <c r="L54" s="1965"/>
      <c r="M54" s="1998"/>
      <c r="N54" s="1965"/>
      <c r="O54" s="1965"/>
      <c r="P54" s="1965"/>
      <c r="Q54" s="1974">
        <f>O54+M54+K54</f>
        <v>0</v>
      </c>
      <c r="R54" s="1967"/>
      <c r="S54" s="1997" t="s">
        <v>2163</v>
      </c>
    </row>
    <row r="55" spans="1:19" ht="12" hidden="1" customHeight="1" x14ac:dyDescent="0.25">
      <c r="A55" s="1962"/>
      <c r="B55" s="1949"/>
      <c r="C55" s="1964"/>
      <c r="D55" s="1941"/>
      <c r="E55" s="1948"/>
      <c r="F55" s="1948"/>
      <c r="G55" s="1965"/>
      <c r="H55" s="1972"/>
      <c r="I55" s="1965"/>
      <c r="J55" s="1965"/>
      <c r="K55" s="1965"/>
      <c r="L55" s="1965"/>
      <c r="M55" s="1965"/>
      <c r="N55" s="1965"/>
      <c r="O55" s="1965"/>
      <c r="P55" s="1965"/>
      <c r="Q55" s="1968"/>
      <c r="R55" s="1967"/>
      <c r="S55" s="1972"/>
    </row>
    <row r="56" spans="1:19" ht="12" customHeight="1" x14ac:dyDescent="0.25">
      <c r="A56" s="1962"/>
      <c r="B56" s="1949"/>
      <c r="C56" s="1964"/>
      <c r="D56" s="1941"/>
      <c r="E56" s="1948"/>
      <c r="F56" s="1948"/>
      <c r="G56" s="1965"/>
      <c r="H56" s="1972"/>
      <c r="I56" s="1965"/>
      <c r="J56" s="1965"/>
      <c r="K56" s="1965"/>
      <c r="L56" s="1965"/>
      <c r="M56" s="1965"/>
      <c r="N56" s="1965"/>
      <c r="O56" s="1965"/>
      <c r="P56" s="1965"/>
      <c r="Q56" s="1968"/>
      <c r="R56" s="1967"/>
      <c r="S56" s="1972"/>
    </row>
    <row r="57" spans="1:19" ht="17.25" customHeight="1" x14ac:dyDescent="0.25">
      <c r="A57" s="1962"/>
      <c r="B57" s="1999" t="s">
        <v>758</v>
      </c>
      <c r="C57" s="1964">
        <v>84.367000000000004</v>
      </c>
      <c r="D57" s="1941"/>
      <c r="E57" s="1948" t="s">
        <v>2194</v>
      </c>
      <c r="F57" s="1948"/>
      <c r="G57" s="1972">
        <v>50273</v>
      </c>
      <c r="H57" s="1973"/>
      <c r="I57" s="1980" t="s">
        <v>1169</v>
      </c>
      <c r="J57" s="1972"/>
      <c r="K57" s="1972">
        <v>50273</v>
      </c>
      <c r="L57" s="1972"/>
      <c r="M57" s="1972" t="s">
        <v>1169</v>
      </c>
      <c r="N57" s="1967"/>
      <c r="O57" s="1967" t="s">
        <v>1169</v>
      </c>
      <c r="P57" s="1972"/>
      <c r="Q57" s="1968">
        <f>O57+M57+K57</f>
        <v>50273</v>
      </c>
      <c r="R57" s="1967"/>
      <c r="S57" s="1972">
        <v>50273</v>
      </c>
    </row>
    <row r="58" spans="1:19" ht="17.25" customHeight="1" x14ac:dyDescent="0.4">
      <c r="A58" s="1962"/>
      <c r="B58" s="1999" t="s">
        <v>758</v>
      </c>
      <c r="C58" s="1964">
        <v>84.367000000000004</v>
      </c>
      <c r="D58" s="1941"/>
      <c r="E58" s="1948" t="s">
        <v>2195</v>
      </c>
      <c r="F58" s="1948"/>
      <c r="G58" s="1966">
        <v>0</v>
      </c>
      <c r="H58" s="1972"/>
      <c r="I58" s="1996">
        <v>52141</v>
      </c>
      <c r="J58" s="1965"/>
      <c r="K58" s="1966" t="s">
        <v>1169</v>
      </c>
      <c r="L58" s="1965"/>
      <c r="M58" s="1966">
        <v>54465</v>
      </c>
      <c r="N58" s="1990"/>
      <c r="O58" s="1966" t="s">
        <v>1169</v>
      </c>
      <c r="P58" s="1965">
        <v>-2</v>
      </c>
      <c r="Q58" s="1991">
        <f>O58+M58+K58</f>
        <v>54465</v>
      </c>
      <c r="R58" s="1967"/>
      <c r="S58" s="1972">
        <v>54465</v>
      </c>
    </row>
    <row r="59" spans="1:19" ht="17.25" customHeight="1" x14ac:dyDescent="0.4">
      <c r="A59" s="1962"/>
      <c r="B59" s="1999"/>
      <c r="C59" s="1964" t="s">
        <v>2242</v>
      </c>
      <c r="D59" s="1941"/>
      <c r="E59" s="1948"/>
      <c r="F59" s="1948"/>
      <c r="G59" s="1976">
        <f>SUM(G57:G58)</f>
        <v>50273</v>
      </c>
      <c r="H59" s="1967"/>
      <c r="I59" s="1966">
        <f>SUM(I58)</f>
        <v>52141</v>
      </c>
      <c r="J59" s="1975"/>
      <c r="K59" s="1976">
        <f>SUM(K57:K58)</f>
        <v>50273</v>
      </c>
      <c r="L59" s="1975"/>
      <c r="M59" s="1966">
        <f>SUM(M58)</f>
        <v>54465</v>
      </c>
      <c r="N59" s="2000"/>
      <c r="O59" s="1975"/>
      <c r="P59" s="1965"/>
      <c r="Q59" s="1991">
        <f>SUM(Q57:Q58)</f>
        <v>104738</v>
      </c>
      <c r="R59" s="1967"/>
      <c r="S59" s="1972"/>
    </row>
    <row r="60" spans="1:19" ht="17.25" customHeight="1" x14ac:dyDescent="0.4">
      <c r="A60" s="1958" t="s">
        <v>2196</v>
      </c>
      <c r="B60" s="1949"/>
      <c r="C60" s="1964"/>
      <c r="D60" s="1941"/>
      <c r="E60" s="1950"/>
      <c r="F60" s="1948"/>
      <c r="G60" s="1992">
        <f>SUM(G48+G52+G57)</f>
        <v>199386</v>
      </c>
      <c r="H60" s="1967"/>
      <c r="I60" s="1992">
        <f>SUM(I48+I52+I58)</f>
        <v>196433</v>
      </c>
      <c r="J60" s="1985"/>
      <c r="K60" s="1992">
        <f>SUM(K48+K52+K57)</f>
        <v>208101</v>
      </c>
      <c r="L60" s="1967"/>
      <c r="M60" s="1992">
        <f>SUM(M48+M52+M58)</f>
        <v>327623</v>
      </c>
      <c r="N60" s="1967"/>
      <c r="O60" s="1992">
        <f>SUM(O48:O58)</f>
        <v>0</v>
      </c>
      <c r="P60" s="2001"/>
      <c r="Q60" s="1992">
        <f>SUM(Q48+Q52+Q57+Q58)</f>
        <v>535724</v>
      </c>
      <c r="R60" s="1967"/>
      <c r="S60" s="1986"/>
    </row>
    <row r="61" spans="1:19" ht="17.25" customHeight="1" x14ac:dyDescent="0.4">
      <c r="A61" s="1958"/>
      <c r="B61" s="1949"/>
      <c r="C61" s="1964"/>
      <c r="D61" s="1941"/>
      <c r="E61" s="1950"/>
      <c r="F61" s="1948"/>
      <c r="G61" s="1992"/>
      <c r="H61" s="1967"/>
      <c r="I61" s="1992"/>
      <c r="J61" s="1985"/>
      <c r="K61" s="1992"/>
      <c r="L61" s="1967"/>
      <c r="M61" s="1992"/>
      <c r="N61" s="1967"/>
      <c r="O61" s="1992"/>
      <c r="P61" s="2001"/>
      <c r="Q61" s="1992"/>
      <c r="R61" s="1967"/>
      <c r="S61" s="1986"/>
    </row>
    <row r="62" spans="1:19" ht="17.25" hidden="1" customHeight="1" x14ac:dyDescent="0.2">
      <c r="A62" s="2002" t="s">
        <v>2197</v>
      </c>
      <c r="B62" s="1940"/>
      <c r="C62" s="1940"/>
      <c r="D62" s="1940"/>
      <c r="E62" s="1940"/>
      <c r="F62" s="1959"/>
      <c r="G62" s="2003"/>
      <c r="H62" s="2003"/>
      <c r="I62" s="2003"/>
      <c r="J62" s="2004"/>
      <c r="K62" s="2003"/>
      <c r="L62" s="2003"/>
      <c r="M62" s="2003"/>
      <c r="N62" s="2003"/>
      <c r="O62" s="2003"/>
      <c r="P62" s="2004"/>
      <c r="Q62" s="2003"/>
      <c r="R62" s="2003"/>
      <c r="S62" s="2003"/>
    </row>
    <row r="63" spans="1:19" ht="5.25" hidden="1" customHeight="1" x14ac:dyDescent="0.2">
      <c r="A63" s="2002"/>
      <c r="B63" s="1940"/>
      <c r="C63" s="1940"/>
      <c r="D63" s="1940"/>
      <c r="E63" s="1940"/>
      <c r="F63" s="1959"/>
      <c r="G63" s="2003"/>
      <c r="H63" s="2003"/>
      <c r="I63" s="2003"/>
      <c r="J63" s="2004"/>
      <c r="K63" s="2003"/>
      <c r="L63" s="2003"/>
      <c r="M63" s="2005"/>
      <c r="N63" s="2003"/>
      <c r="O63" s="2003"/>
      <c r="P63" s="2004"/>
      <c r="Q63" s="2006"/>
      <c r="R63" s="2003"/>
      <c r="S63" s="2003"/>
    </row>
    <row r="64" spans="1:19" ht="17.25" hidden="1" customHeight="1" x14ac:dyDescent="0.2">
      <c r="A64" s="2007"/>
      <c r="B64" s="1940" t="s">
        <v>2198</v>
      </c>
      <c r="C64" s="2008">
        <v>84.027000000000001</v>
      </c>
      <c r="D64" s="1940"/>
      <c r="E64" s="1940" t="s">
        <v>2199</v>
      </c>
      <c r="F64" s="1959"/>
      <c r="G64" s="2003"/>
      <c r="H64" s="2003"/>
      <c r="I64" s="2009"/>
      <c r="J64" s="2010"/>
      <c r="K64" s="2011"/>
      <c r="L64" s="2009"/>
      <c r="M64" s="2011">
        <v>0</v>
      </c>
      <c r="N64" s="2009"/>
      <c r="O64" s="2009" t="s">
        <v>1169</v>
      </c>
      <c r="P64" s="2010"/>
      <c r="Q64" s="2012">
        <f>O64+M64+K64</f>
        <v>0</v>
      </c>
      <c r="R64" s="2009"/>
      <c r="S64" s="2009">
        <v>11909</v>
      </c>
    </row>
    <row r="65" spans="1:19" ht="17.25" hidden="1" customHeight="1" x14ac:dyDescent="0.2">
      <c r="A65" s="2007"/>
      <c r="B65" s="1940" t="s">
        <v>2198</v>
      </c>
      <c r="C65" s="2008">
        <v>84.027000000000001</v>
      </c>
      <c r="D65" s="1940"/>
      <c r="E65" s="1940" t="s">
        <v>2200</v>
      </c>
      <c r="F65" s="1959"/>
      <c r="G65" s="2013">
        <v>0</v>
      </c>
      <c r="H65" s="2003"/>
      <c r="I65" s="2014">
        <v>0</v>
      </c>
      <c r="J65" s="2010"/>
      <c r="K65" s="2015">
        <v>0</v>
      </c>
      <c r="L65" s="2009"/>
      <c r="M65" s="2015">
        <v>0</v>
      </c>
      <c r="N65" s="2009"/>
      <c r="O65" s="2014">
        <v>0</v>
      </c>
      <c r="P65" s="2010"/>
      <c r="Q65" s="2016">
        <f>O65+M65+K65</f>
        <v>0</v>
      </c>
      <c r="R65" s="2009"/>
      <c r="S65" s="2017">
        <v>11909</v>
      </c>
    </row>
    <row r="66" spans="1:19" ht="17.25" hidden="1" customHeight="1" x14ac:dyDescent="0.2">
      <c r="A66" s="2018" t="s">
        <v>2201</v>
      </c>
      <c r="B66" s="2019"/>
      <c r="C66" s="2008"/>
      <c r="D66" s="1940"/>
      <c r="E66" s="1959"/>
      <c r="F66" s="1959"/>
      <c r="G66" s="2005">
        <f>SUM(G63:G65)</f>
        <v>0</v>
      </c>
      <c r="H66" s="2003"/>
      <c r="I66" s="2005">
        <f>SUM(I63:I65)</f>
        <v>0</v>
      </c>
      <c r="J66" s="2004"/>
      <c r="K66" s="2005">
        <f>SUM(K63:K65)</f>
        <v>0</v>
      </c>
      <c r="L66" s="2003"/>
      <c r="M66" s="2005">
        <f>SUM(M63:M65)</f>
        <v>0</v>
      </c>
      <c r="N66" s="2003"/>
      <c r="O66" s="2005">
        <f>SUM(O63:O65)</f>
        <v>0</v>
      </c>
      <c r="P66" s="2020"/>
      <c r="Q66" s="2005">
        <f>SUM(Q63:Q65)</f>
        <v>0</v>
      </c>
      <c r="R66" s="2003"/>
      <c r="S66" s="2021"/>
    </row>
    <row r="67" spans="1:19" ht="17.25" customHeight="1" x14ac:dyDescent="0.4">
      <c r="A67" s="1958"/>
      <c r="B67" s="1949"/>
      <c r="C67" s="1964"/>
      <c r="D67" s="1941"/>
      <c r="E67" s="1950"/>
      <c r="F67" s="1948"/>
      <c r="G67" s="1992"/>
      <c r="H67" s="1967"/>
      <c r="I67" s="1992"/>
      <c r="J67" s="1985"/>
      <c r="K67" s="1992"/>
      <c r="L67" s="1967"/>
      <c r="M67" s="1992"/>
      <c r="N67" s="1967"/>
      <c r="O67" s="1992"/>
      <c r="P67" s="2001"/>
      <c r="Q67" s="1992"/>
      <c r="R67" s="1967"/>
      <c r="S67" s="1986"/>
    </row>
    <row r="68" spans="1:19" ht="17.25" hidden="1" customHeight="1" x14ac:dyDescent="0.25">
      <c r="A68" s="1958" t="s">
        <v>2159</v>
      </c>
      <c r="B68" s="1949"/>
      <c r="C68" s="1964"/>
      <c r="D68" s="1941"/>
      <c r="E68" s="1948"/>
      <c r="F68" s="1948"/>
      <c r="G68" s="1965"/>
      <c r="H68" s="1972"/>
      <c r="I68" s="1965"/>
      <c r="J68" s="1975"/>
      <c r="K68" s="1975"/>
      <c r="L68" s="1975"/>
      <c r="M68" s="1965"/>
      <c r="N68" s="1975"/>
      <c r="O68" s="1975"/>
      <c r="P68" s="1965"/>
      <c r="Q68" s="1968"/>
      <c r="R68" s="1967"/>
      <c r="S68" s="1986"/>
    </row>
    <row r="69" spans="1:19" ht="17.25" hidden="1" customHeight="1" x14ac:dyDescent="0.25">
      <c r="A69" s="1958" t="s">
        <v>2202</v>
      </c>
      <c r="B69" s="1949"/>
      <c r="C69" s="1964" t="s">
        <v>1169</v>
      </c>
      <c r="D69" s="1941"/>
      <c r="E69" s="1948" t="s">
        <v>1169</v>
      </c>
      <c r="F69" s="1948"/>
      <c r="G69" s="1965"/>
      <c r="H69" s="1972"/>
      <c r="I69" s="1965"/>
      <c r="J69" s="1975"/>
      <c r="K69" s="1975"/>
      <c r="L69" s="1975"/>
      <c r="M69" s="1965"/>
      <c r="N69" s="1975"/>
      <c r="O69" s="1975"/>
      <c r="P69" s="1965"/>
      <c r="Q69" s="1968"/>
      <c r="R69" s="1967"/>
      <c r="S69" s="1986"/>
    </row>
    <row r="70" spans="1:19" ht="17.25" hidden="1" customHeight="1" x14ac:dyDescent="0.25">
      <c r="A70" s="1958"/>
      <c r="B70" s="1949" t="s">
        <v>2203</v>
      </c>
      <c r="C70" s="1964">
        <v>84.02</v>
      </c>
      <c r="D70" s="1941"/>
      <c r="E70" s="1948" t="s">
        <v>2204</v>
      </c>
      <c r="F70" s="1948"/>
      <c r="G70" s="1965"/>
      <c r="H70" s="1972"/>
      <c r="I70" s="1965"/>
      <c r="J70" s="1975"/>
      <c r="K70" s="1975"/>
      <c r="L70" s="1975"/>
      <c r="M70" s="1965"/>
      <c r="N70" s="1975"/>
      <c r="O70" s="1975"/>
      <c r="P70" s="1965"/>
      <c r="Q70" s="1968">
        <f>O70+M70+K70</f>
        <v>0</v>
      </c>
      <c r="R70" s="1967"/>
      <c r="S70" s="1967"/>
    </row>
    <row r="71" spans="1:19" ht="17.25" hidden="1" customHeight="1" x14ac:dyDescent="0.4">
      <c r="A71" s="1962"/>
      <c r="B71" s="1949" t="s">
        <v>2203</v>
      </c>
      <c r="C71" s="1964">
        <v>84.02</v>
      </c>
      <c r="D71" s="1941"/>
      <c r="E71" s="1948" t="s">
        <v>2205</v>
      </c>
      <c r="F71" s="1948"/>
      <c r="G71" s="1966">
        <v>0</v>
      </c>
      <c r="H71" s="1972"/>
      <c r="I71" s="1966">
        <v>0</v>
      </c>
      <c r="J71" s="1965"/>
      <c r="K71" s="1966" t="s">
        <v>1169</v>
      </c>
      <c r="L71" s="1965"/>
      <c r="M71" s="1966">
        <v>0</v>
      </c>
      <c r="N71" s="1990"/>
      <c r="O71" s="1966" t="s">
        <v>1169</v>
      </c>
      <c r="P71" s="1965"/>
      <c r="Q71" s="1991">
        <f>O71+M71+K71</f>
        <v>0</v>
      </c>
      <c r="R71" s="1967"/>
      <c r="S71" s="1967"/>
    </row>
    <row r="72" spans="1:19" ht="17.25" hidden="1" customHeight="1" x14ac:dyDescent="0.4">
      <c r="A72" s="1962"/>
      <c r="B72" s="2022"/>
      <c r="C72" s="1964"/>
      <c r="D72" s="1941"/>
      <c r="E72" s="2023"/>
      <c r="F72" s="1948"/>
      <c r="G72" s="1976"/>
      <c r="H72" s="1967"/>
      <c r="I72" s="1966"/>
      <c r="J72" s="1975"/>
      <c r="K72" s="1976"/>
      <c r="L72" s="1975"/>
      <c r="M72" s="1966"/>
      <c r="N72" s="2000"/>
      <c r="O72" s="1976"/>
      <c r="P72" s="1965"/>
      <c r="Q72" s="1988"/>
      <c r="R72" s="1967"/>
      <c r="S72" s="1986"/>
    </row>
    <row r="73" spans="1:19" ht="17.25" customHeight="1" x14ac:dyDescent="0.4">
      <c r="A73" s="1958" t="s">
        <v>2159</v>
      </c>
      <c r="B73" s="1941"/>
      <c r="C73" s="2024"/>
      <c r="D73" s="1941"/>
      <c r="E73" s="1950"/>
      <c r="F73" s="1948"/>
      <c r="G73" s="1992"/>
      <c r="H73" s="1967"/>
      <c r="I73" s="1992"/>
      <c r="J73" s="1985"/>
      <c r="K73" s="1992"/>
      <c r="L73" s="1967"/>
      <c r="M73" s="1992"/>
      <c r="N73" s="1992"/>
      <c r="O73" s="1992"/>
      <c r="P73" s="1967"/>
      <c r="Q73" s="1988"/>
      <c r="R73" s="1967"/>
      <c r="S73" s="1986"/>
    </row>
    <row r="74" spans="1:19" ht="17.25" customHeight="1" x14ac:dyDescent="0.4">
      <c r="A74" s="1961" t="s">
        <v>2206</v>
      </c>
      <c r="B74" s="1941"/>
      <c r="C74" s="2024"/>
      <c r="D74" s="1941"/>
      <c r="E74" s="1941"/>
      <c r="F74" s="1948"/>
      <c r="G74" s="1988"/>
      <c r="H74" s="1988"/>
      <c r="I74" s="1988"/>
      <c r="J74" s="1988"/>
      <c r="K74" s="1988"/>
      <c r="L74" s="1988"/>
      <c r="M74" s="1988"/>
      <c r="N74" s="1988"/>
      <c r="O74" s="1988"/>
      <c r="P74" s="1988"/>
      <c r="Q74" s="1988"/>
      <c r="R74" s="2025"/>
      <c r="S74" s="2025"/>
    </row>
    <row r="75" spans="1:19" ht="17.25" customHeight="1" x14ac:dyDescent="0.4">
      <c r="A75" s="1961"/>
      <c r="B75" s="1941" t="s">
        <v>2207</v>
      </c>
      <c r="C75" s="2024">
        <v>84.126000000000005</v>
      </c>
      <c r="D75" s="1941"/>
      <c r="E75" s="2026" t="s">
        <v>2208</v>
      </c>
      <c r="F75" s="1948"/>
      <c r="G75" s="2027">
        <v>74743</v>
      </c>
      <c r="H75" s="1991"/>
      <c r="I75" s="2027">
        <v>4008</v>
      </c>
      <c r="J75" s="1991"/>
      <c r="K75" s="1974">
        <v>78751</v>
      </c>
      <c r="L75" s="1991"/>
      <c r="M75" s="1974">
        <v>0</v>
      </c>
      <c r="N75" s="1991"/>
      <c r="O75" s="1991"/>
      <c r="P75" s="1991"/>
      <c r="Q75" s="1974">
        <f>O75+M75+K75</f>
        <v>78751</v>
      </c>
      <c r="R75" s="2025"/>
      <c r="S75" s="2028">
        <v>78751</v>
      </c>
    </row>
    <row r="76" spans="1:19" ht="17.25" customHeight="1" x14ac:dyDescent="0.4">
      <c r="A76" s="1961"/>
      <c r="B76" s="1941" t="s">
        <v>2207</v>
      </c>
      <c r="C76" s="2024">
        <v>84.126000000000005</v>
      </c>
      <c r="D76" s="1941"/>
      <c r="E76" s="2026" t="s">
        <v>2209</v>
      </c>
      <c r="F76" s="1948"/>
      <c r="G76" s="2029" t="s">
        <v>1169</v>
      </c>
      <c r="H76" s="1991"/>
      <c r="I76" s="2030">
        <v>80240</v>
      </c>
      <c r="J76" s="1991"/>
      <c r="K76" s="2029">
        <v>0</v>
      </c>
      <c r="L76" s="1991"/>
      <c r="M76" s="2030">
        <v>86037</v>
      </c>
      <c r="N76" s="1991"/>
      <c r="O76" s="1991">
        <v>0</v>
      </c>
      <c r="P76" s="1991"/>
      <c r="Q76" s="1991">
        <f>O76+M76+K76</f>
        <v>86037</v>
      </c>
      <c r="R76" s="2025"/>
      <c r="S76" s="2031">
        <v>92910</v>
      </c>
    </row>
    <row r="77" spans="1:19" ht="17.25" customHeight="1" x14ac:dyDescent="0.4">
      <c r="A77" s="1958" t="s">
        <v>2210</v>
      </c>
      <c r="B77" s="1941"/>
      <c r="C77" s="2024"/>
      <c r="D77" s="1941"/>
      <c r="E77" s="1964" t="s">
        <v>2211</v>
      </c>
      <c r="F77" s="1948"/>
      <c r="G77" s="1991">
        <f>SUM(G75:G76)</f>
        <v>74743</v>
      </c>
      <c r="H77" s="1991" t="s">
        <v>1169</v>
      </c>
      <c r="I77" s="1991">
        <f>SUM(I75:I76)</f>
        <v>84248</v>
      </c>
      <c r="J77" s="1991"/>
      <c r="K77" s="1991">
        <f>SUM(K75:K76)</f>
        <v>78751</v>
      </c>
      <c r="L77" s="1991" t="s">
        <v>1169</v>
      </c>
      <c r="M77" s="1991">
        <f>SUM(M75:M76)</f>
        <v>86037</v>
      </c>
      <c r="N77" s="1991"/>
      <c r="O77" s="1991" t="s">
        <v>2212</v>
      </c>
      <c r="P77" s="1991"/>
      <c r="Q77" s="1991">
        <f>SUM(Q75:Q76)</f>
        <v>164788</v>
      </c>
      <c r="R77" s="2025"/>
      <c r="S77" s="2025" t="s">
        <v>1169</v>
      </c>
    </row>
    <row r="78" spans="1:19" ht="17.25" customHeight="1" x14ac:dyDescent="0.4">
      <c r="A78" s="1958" t="s">
        <v>2213</v>
      </c>
      <c r="B78" s="1941"/>
      <c r="C78" s="2024"/>
      <c r="D78" s="1941"/>
      <c r="E78" s="1964"/>
      <c r="F78" s="1948"/>
      <c r="G78" s="1991"/>
      <c r="H78" s="1991"/>
      <c r="I78" s="1991"/>
      <c r="J78" s="1991"/>
      <c r="K78" s="1991"/>
      <c r="L78" s="1991"/>
      <c r="M78" s="1991"/>
      <c r="N78" s="1991"/>
      <c r="O78" s="1991"/>
      <c r="P78" s="1991"/>
      <c r="Q78" s="1991"/>
      <c r="R78" s="2025"/>
      <c r="S78" s="2025"/>
    </row>
    <row r="79" spans="1:19" ht="17.25" customHeight="1" x14ac:dyDescent="0.4">
      <c r="A79" s="1958"/>
      <c r="B79" s="1941"/>
      <c r="C79" s="2024"/>
      <c r="D79" s="1941"/>
      <c r="E79" s="1964"/>
      <c r="F79" s="1948"/>
      <c r="G79" s="1991"/>
      <c r="H79" s="1991"/>
      <c r="I79" s="1991"/>
      <c r="J79" s="1991"/>
      <c r="K79" s="1991"/>
      <c r="L79" s="1991"/>
      <c r="M79" s="1991"/>
      <c r="N79" s="1991"/>
      <c r="O79" s="1991"/>
      <c r="P79" s="1991"/>
      <c r="Q79" s="1991"/>
      <c r="R79" s="2025"/>
      <c r="S79" s="2025"/>
    </row>
    <row r="80" spans="1:19" ht="17.25" customHeight="1" x14ac:dyDescent="0.4">
      <c r="A80" s="1958" t="s">
        <v>2214</v>
      </c>
      <c r="B80" s="1941"/>
      <c r="C80" s="2024"/>
      <c r="D80" s="1941"/>
      <c r="E80" s="1964"/>
      <c r="F80" s="1948"/>
      <c r="G80" s="1991"/>
      <c r="H80" s="1991"/>
      <c r="I80" s="1991"/>
      <c r="J80" s="1991"/>
      <c r="K80" s="1991"/>
      <c r="L80" s="1991"/>
      <c r="M80" s="1991"/>
      <c r="N80" s="1991"/>
      <c r="O80" s="1991"/>
      <c r="P80" s="1991"/>
      <c r="Q80" s="1991"/>
      <c r="R80" s="2025"/>
      <c r="S80" s="2025"/>
    </row>
    <row r="81" spans="1:19" ht="17.25" customHeight="1" x14ac:dyDescent="0.4">
      <c r="A81" s="1958" t="s">
        <v>2215</v>
      </c>
      <c r="B81" s="1941"/>
      <c r="C81" s="2024"/>
      <c r="D81" s="1941"/>
      <c r="E81" s="1964"/>
      <c r="F81" s="1948"/>
      <c r="G81" s="1991"/>
      <c r="H81" s="1991"/>
      <c r="I81" s="1991"/>
      <c r="J81" s="1991"/>
      <c r="K81" s="1991"/>
      <c r="L81" s="1991"/>
      <c r="M81" s="1991"/>
      <c r="N81" s="1991"/>
      <c r="O81" s="1991"/>
      <c r="P81" s="1991"/>
      <c r="Q81" s="1991"/>
      <c r="R81" s="2025"/>
      <c r="S81" s="2025"/>
    </row>
    <row r="82" spans="1:19" ht="17.25" customHeight="1" x14ac:dyDescent="0.4">
      <c r="A82" s="1958" t="s">
        <v>2216</v>
      </c>
      <c r="B82" s="1941"/>
      <c r="C82" s="2024"/>
      <c r="D82" s="1941"/>
      <c r="E82" s="1964"/>
      <c r="F82" s="1948"/>
      <c r="G82" s="1991"/>
      <c r="H82" s="1991"/>
      <c r="I82" s="1991"/>
      <c r="J82" s="1991"/>
      <c r="K82" s="1991"/>
      <c r="L82" s="1991"/>
      <c r="M82" s="1991"/>
      <c r="N82" s="1991"/>
      <c r="O82" s="1991"/>
      <c r="P82" s="1991"/>
      <c r="Q82" s="1991"/>
      <c r="R82" s="2025"/>
      <c r="S82" s="2025"/>
    </row>
    <row r="83" spans="1:19" ht="17.25" customHeight="1" x14ac:dyDescent="0.4">
      <c r="A83" s="1958"/>
      <c r="B83" s="1941"/>
      <c r="C83" s="2024"/>
      <c r="D83" s="1941"/>
      <c r="E83" s="1964"/>
      <c r="F83" s="1948"/>
      <c r="G83" s="1991"/>
      <c r="H83" s="1991"/>
      <c r="I83" s="1991"/>
      <c r="J83" s="1991"/>
      <c r="K83" s="1991"/>
      <c r="L83" s="1991"/>
      <c r="M83" s="1991"/>
      <c r="N83" s="1991"/>
      <c r="O83" s="1991"/>
      <c r="P83" s="1991"/>
      <c r="Q83" s="1991"/>
      <c r="R83" s="2025"/>
      <c r="S83" s="2025"/>
    </row>
    <row r="84" spans="1:19" ht="17.25" customHeight="1" x14ac:dyDescent="0.4">
      <c r="A84" s="1958"/>
      <c r="B84" s="1949" t="s">
        <v>2243</v>
      </c>
      <c r="C84" s="1964" t="s">
        <v>2217</v>
      </c>
      <c r="D84" s="1941"/>
      <c r="E84" s="1948" t="s">
        <v>2218</v>
      </c>
      <c r="F84" s="1948"/>
      <c r="G84" s="1992">
        <v>0</v>
      </c>
      <c r="H84" s="1967"/>
      <c r="I84" s="1992">
        <v>10000</v>
      </c>
      <c r="J84" s="1985"/>
      <c r="K84" s="1992">
        <v>0</v>
      </c>
      <c r="L84" s="1967"/>
      <c r="M84" s="1992">
        <v>10000</v>
      </c>
      <c r="N84" s="1967"/>
      <c r="O84" s="1992">
        <v>0</v>
      </c>
      <c r="P84" s="1967"/>
      <c r="Q84" s="1991">
        <f>O84+M84+K84</f>
        <v>10000</v>
      </c>
      <c r="R84" s="1967"/>
      <c r="S84" s="1986">
        <v>25000</v>
      </c>
    </row>
    <row r="85" spans="1:19" ht="17.25" customHeight="1" x14ac:dyDescent="0.4">
      <c r="A85" s="1958"/>
      <c r="B85" s="1949"/>
      <c r="C85" s="1964"/>
      <c r="D85" s="1941"/>
      <c r="E85" s="1948"/>
      <c r="F85" s="1948"/>
      <c r="G85" s="1992"/>
      <c r="H85" s="1967"/>
      <c r="I85" s="1992"/>
      <c r="J85" s="1985"/>
      <c r="K85" s="1992"/>
      <c r="L85" s="1967"/>
      <c r="M85" s="1992"/>
      <c r="N85" s="1967"/>
      <c r="O85" s="1992"/>
      <c r="P85" s="1967"/>
      <c r="Q85" s="1988"/>
      <c r="R85" s="1967"/>
      <c r="S85" s="1986"/>
    </row>
    <row r="86" spans="1:19" ht="17.25" customHeight="1" x14ac:dyDescent="0.4">
      <c r="A86" s="1958" t="s">
        <v>2219</v>
      </c>
      <c r="B86" s="1941"/>
      <c r="C86" s="2024"/>
      <c r="D86" s="1941"/>
      <c r="E86" s="1941"/>
      <c r="F86" s="1948"/>
      <c r="G86" s="1988">
        <f>SUM(G60,G70,G77)</f>
        <v>274129</v>
      </c>
      <c r="H86" s="1988"/>
      <c r="I86" s="1988">
        <f>SUM(I60,I77,I71,I65,I84)</f>
        <v>290681</v>
      </c>
      <c r="J86" s="1968" t="s">
        <v>1169</v>
      </c>
      <c r="K86" s="1988">
        <f>SUM(K60,K77,K71,K65,K84)</f>
        <v>286852</v>
      </c>
      <c r="L86" s="1968" t="s">
        <v>1169</v>
      </c>
      <c r="M86" s="1988">
        <f>SUM(M60,M77,M71,M65,M84)</f>
        <v>423660</v>
      </c>
      <c r="N86" s="1968" t="s">
        <v>1169</v>
      </c>
      <c r="O86" s="1988">
        <f>SUM(O60,O77,O71,O65,O84)</f>
        <v>0</v>
      </c>
      <c r="P86" s="1968" t="s">
        <v>1169</v>
      </c>
      <c r="Q86" s="1988">
        <f>SUM(Q60,Q77,Q71,Q65,Q84)</f>
        <v>710512</v>
      </c>
      <c r="R86" s="1988"/>
      <c r="S86" s="2025" t="s">
        <v>1169</v>
      </c>
    </row>
    <row r="87" spans="1:19" ht="17.25" customHeight="1" x14ac:dyDescent="0.4">
      <c r="A87" s="1961" t="s">
        <v>1169</v>
      </c>
      <c r="B87" s="1941"/>
      <c r="C87" s="2024"/>
      <c r="D87" s="1941"/>
      <c r="E87" s="1941"/>
      <c r="F87" s="1948"/>
      <c r="G87" s="1988"/>
      <c r="H87" s="1988"/>
      <c r="I87" s="1988"/>
      <c r="J87" s="1988"/>
      <c r="K87" s="1988"/>
      <c r="L87" s="1988"/>
      <c r="M87" s="1988"/>
      <c r="N87" s="1988"/>
      <c r="O87" s="1988"/>
      <c r="P87" s="1988"/>
      <c r="Q87" s="1988"/>
      <c r="R87" s="2025"/>
      <c r="S87" s="2028"/>
    </row>
    <row r="88" spans="1:19" ht="17.25" customHeight="1" x14ac:dyDescent="0.4">
      <c r="A88" s="1961"/>
      <c r="B88" s="1941"/>
      <c r="P88" s="1988"/>
      <c r="Q88" s="1988"/>
      <c r="R88" s="2025"/>
      <c r="S88" s="2034"/>
    </row>
    <row r="89" spans="1:19" ht="10.15" hidden="1" customHeight="1" x14ac:dyDescent="0.4">
      <c r="A89" s="1961" t="s">
        <v>2220</v>
      </c>
      <c r="B89" s="1941"/>
      <c r="C89" s="2024"/>
      <c r="D89" s="1941"/>
      <c r="E89" s="1941"/>
      <c r="F89" s="1948"/>
      <c r="G89" s="1988"/>
      <c r="H89" s="1988"/>
      <c r="I89" s="1988"/>
      <c r="J89" s="1988"/>
      <c r="K89" s="1988"/>
      <c r="L89" s="1988"/>
      <c r="M89" s="1988"/>
      <c r="N89" s="1988"/>
      <c r="O89" s="1988"/>
      <c r="P89" s="1988"/>
      <c r="Q89" s="1988"/>
      <c r="R89" s="2025"/>
      <c r="S89" s="2025"/>
    </row>
    <row r="90" spans="1:19" ht="17.25" hidden="1" customHeight="1" x14ac:dyDescent="0.4">
      <c r="A90" s="1961"/>
      <c r="B90" s="1941"/>
      <c r="C90" s="2024"/>
      <c r="D90" s="1941"/>
      <c r="E90" s="1941"/>
      <c r="F90" s="1948"/>
      <c r="G90" s="1988"/>
      <c r="H90" s="1988"/>
      <c r="I90" s="1988"/>
      <c r="J90" s="1988"/>
      <c r="K90" s="1988"/>
      <c r="L90" s="1988"/>
      <c r="M90" s="1988"/>
      <c r="N90" s="1988"/>
      <c r="O90" s="1988"/>
      <c r="P90" s="1988"/>
      <c r="Q90" s="1988"/>
      <c r="R90" s="2025"/>
      <c r="S90" s="2025"/>
    </row>
    <row r="91" spans="1:19" ht="17.25" hidden="1" customHeight="1" x14ac:dyDescent="0.4">
      <c r="A91" s="1961" t="s">
        <v>2206</v>
      </c>
      <c r="B91" s="1941"/>
      <c r="C91" s="2024"/>
      <c r="D91" s="1941"/>
      <c r="E91" s="1963"/>
      <c r="F91" s="1948"/>
      <c r="G91" s="2027"/>
      <c r="H91" s="1991"/>
      <c r="I91" s="2027"/>
      <c r="J91" s="1991"/>
      <c r="K91" s="1974"/>
      <c r="L91" s="1991"/>
      <c r="M91" s="1974"/>
      <c r="N91" s="1991"/>
      <c r="O91" s="1991"/>
      <c r="P91" s="1991"/>
      <c r="Q91" s="1974">
        <f>O91+M91+K91</f>
        <v>0</v>
      </c>
      <c r="R91" s="2025"/>
      <c r="S91" s="2028"/>
    </row>
    <row r="92" spans="1:19" ht="17.25" hidden="1" customHeight="1" x14ac:dyDescent="0.4">
      <c r="A92" s="1961"/>
      <c r="B92" s="1941"/>
      <c r="C92" s="2024"/>
      <c r="D92" s="1941"/>
      <c r="E92" s="1963"/>
      <c r="F92" s="1948"/>
      <c r="G92" s="1991"/>
      <c r="H92" s="1991"/>
      <c r="I92" s="1991"/>
      <c r="J92" s="1991"/>
      <c r="K92" s="1991"/>
      <c r="L92" s="1991"/>
      <c r="M92" s="1991"/>
      <c r="N92" s="1991"/>
      <c r="O92" s="1991">
        <v>0</v>
      </c>
      <c r="P92" s="1991"/>
      <c r="Q92" s="1991">
        <f>O92+M92+K92</f>
        <v>0</v>
      </c>
      <c r="R92" s="2025"/>
      <c r="S92" s="2028"/>
    </row>
    <row r="93" spans="1:19" ht="17.25" hidden="1" customHeight="1" x14ac:dyDescent="0.4">
      <c r="A93" s="1961"/>
      <c r="B93" s="1941"/>
      <c r="C93" s="2024"/>
      <c r="D93" s="1941"/>
      <c r="E93" s="1963" t="s">
        <v>1169</v>
      </c>
      <c r="F93" s="1948"/>
      <c r="G93" s="1991">
        <f>SUM(G91:G92)</f>
        <v>0</v>
      </c>
      <c r="H93" s="1991" t="s">
        <v>1169</v>
      </c>
      <c r="I93" s="1991">
        <f>SUM(I91:I92)</f>
        <v>0</v>
      </c>
      <c r="J93" s="1991"/>
      <c r="K93" s="1991">
        <f>SUM(K91:K92)</f>
        <v>0</v>
      </c>
      <c r="L93" s="1991" t="s">
        <v>1169</v>
      </c>
      <c r="M93" s="1991">
        <f>SUM(M91:M92)</f>
        <v>0</v>
      </c>
      <c r="N93" s="1991"/>
      <c r="O93" s="1991" t="s">
        <v>2212</v>
      </c>
      <c r="P93" s="1991"/>
      <c r="Q93" s="1991">
        <f>SUM(Q91:Q92)</f>
        <v>0</v>
      </c>
      <c r="R93" s="2025"/>
      <c r="S93" s="2025" t="s">
        <v>1169</v>
      </c>
    </row>
    <row r="94" spans="1:19" ht="12" hidden="1" customHeight="1" x14ac:dyDescent="0.4">
      <c r="A94" s="1958" t="s">
        <v>2221</v>
      </c>
      <c r="B94" s="1941"/>
      <c r="C94" s="2024"/>
      <c r="D94" s="1941"/>
      <c r="E94" s="1941"/>
      <c r="F94" s="1948"/>
      <c r="G94" s="1988"/>
      <c r="H94" s="1988"/>
      <c r="I94" s="1988"/>
      <c r="J94" s="1988"/>
      <c r="K94" s="1988"/>
      <c r="L94" s="1988"/>
      <c r="M94" s="1988"/>
      <c r="N94" s="1988"/>
      <c r="O94" s="1988"/>
      <c r="P94" s="1988"/>
      <c r="Q94" s="1988"/>
      <c r="R94" s="2025"/>
      <c r="S94" s="2025"/>
    </row>
    <row r="95" spans="1:19" ht="17.25" customHeight="1" x14ac:dyDescent="0.4">
      <c r="A95" s="1961"/>
      <c r="B95" s="1949"/>
      <c r="C95" s="2032"/>
      <c r="D95" s="2026"/>
      <c r="E95" s="2026"/>
      <c r="F95" s="1948"/>
      <c r="G95" s="1988"/>
      <c r="H95" s="1988"/>
      <c r="I95" s="1988"/>
      <c r="J95" s="1988"/>
      <c r="K95" s="1988"/>
      <c r="L95" s="1988"/>
      <c r="M95" s="1988"/>
      <c r="N95" s="1988"/>
      <c r="O95" s="1988"/>
      <c r="P95" s="1988"/>
      <c r="Q95" s="1988"/>
      <c r="R95" s="2025"/>
      <c r="S95" s="2025"/>
    </row>
    <row r="96" spans="1:19" s="2035" customFormat="1" ht="17.25" customHeight="1" x14ac:dyDescent="0.4">
      <c r="A96" s="1958" t="s">
        <v>2244</v>
      </c>
      <c r="B96" s="1949"/>
      <c r="C96" s="2032"/>
      <c r="D96" s="2026"/>
      <c r="E96" s="2026"/>
      <c r="F96" s="1948"/>
      <c r="G96" s="1968"/>
      <c r="H96" s="1968"/>
      <c r="I96" s="1968"/>
      <c r="J96" s="1968"/>
      <c r="K96" s="1968"/>
      <c r="L96" s="1968"/>
      <c r="M96" s="1968"/>
      <c r="N96" s="1988"/>
      <c r="O96" s="1988"/>
      <c r="P96" s="1988"/>
      <c r="Q96" s="1988"/>
      <c r="R96" s="2025"/>
      <c r="S96" s="2025"/>
    </row>
    <row r="97" spans="1:19" s="2035" customFormat="1" ht="17.25" customHeight="1" x14ac:dyDescent="0.4">
      <c r="A97" s="1958" t="s">
        <v>2245</v>
      </c>
      <c r="B97" s="1949"/>
      <c r="C97" s="2032"/>
      <c r="D97" s="2026"/>
      <c r="E97" s="2026"/>
      <c r="F97" s="1948"/>
      <c r="G97" s="1968"/>
      <c r="H97" s="1968"/>
      <c r="I97" s="1968"/>
      <c r="J97" s="1968"/>
      <c r="K97" s="1968"/>
      <c r="L97" s="1968"/>
      <c r="M97" s="1968"/>
      <c r="N97" s="1988"/>
      <c r="O97" s="1988"/>
      <c r="P97" s="1988"/>
      <c r="Q97" s="1988"/>
      <c r="R97" s="2025"/>
      <c r="S97" s="2025"/>
    </row>
    <row r="98" spans="1:19" s="2035" customFormat="1" ht="17.25" customHeight="1" x14ac:dyDescent="0.4">
      <c r="A98" s="1958"/>
      <c r="B98" s="1949" t="s">
        <v>2222</v>
      </c>
      <c r="C98" s="1964">
        <v>93.778000000000006</v>
      </c>
      <c r="D98" s="1941"/>
      <c r="E98" s="1963" t="s">
        <v>2223</v>
      </c>
      <c r="F98" s="1948"/>
      <c r="G98" s="1968">
        <v>8125</v>
      </c>
      <c r="H98" s="1968"/>
      <c r="I98" s="1974">
        <v>3530</v>
      </c>
      <c r="J98" s="1974"/>
      <c r="K98" s="1974">
        <v>12142</v>
      </c>
      <c r="L98" s="1974"/>
      <c r="M98" s="1974"/>
      <c r="N98" s="1988"/>
      <c r="O98" s="1988"/>
      <c r="P98" s="1988"/>
      <c r="Q98" s="1968">
        <f>O98+M98+K98</f>
        <v>12142</v>
      </c>
      <c r="R98" s="2025"/>
      <c r="S98" s="1986" t="s">
        <v>2163</v>
      </c>
    </row>
    <row r="99" spans="1:19" s="2035" customFormat="1" ht="17.25" customHeight="1" x14ac:dyDescent="0.4">
      <c r="A99" s="1958"/>
      <c r="B99" s="1949" t="s">
        <v>2222</v>
      </c>
      <c r="C99" s="1964">
        <v>93.778000000000006</v>
      </c>
      <c r="D99" s="1941"/>
      <c r="E99" s="1963" t="s">
        <v>2224</v>
      </c>
      <c r="F99" s="1970"/>
      <c r="G99" s="2036">
        <v>0</v>
      </c>
      <c r="H99" s="1991"/>
      <c r="I99" s="1974">
        <v>9010</v>
      </c>
      <c r="J99" s="1991"/>
      <c r="K99" s="2036">
        <v>0</v>
      </c>
      <c r="L99" s="1991"/>
      <c r="M99" s="2037">
        <v>12825</v>
      </c>
      <c r="N99" s="1991"/>
      <c r="O99" s="1988"/>
      <c r="P99" s="1988"/>
      <c r="Q99" s="2038">
        <f>O99+M99+K99</f>
        <v>12825</v>
      </c>
      <c r="R99" s="2025"/>
      <c r="S99" s="1986" t="s">
        <v>2163</v>
      </c>
    </row>
    <row r="100" spans="1:19" s="2035" customFormat="1" ht="16.899999999999999" customHeight="1" x14ac:dyDescent="0.4">
      <c r="A100" s="1958"/>
      <c r="B100" s="1949"/>
      <c r="C100" s="2024"/>
      <c r="D100" s="1941"/>
      <c r="E100" s="1964" t="s">
        <v>2225</v>
      </c>
      <c r="F100" s="1948"/>
      <c r="G100" s="2039">
        <f>SUM(G98:G99)</f>
        <v>8125</v>
      </c>
      <c r="H100" s="1988"/>
      <c r="I100" s="2039">
        <f>SUM(I98:I99)</f>
        <v>12540</v>
      </c>
      <c r="J100" s="1991"/>
      <c r="K100" s="2039">
        <f>SUM(K98:K99)</f>
        <v>12142</v>
      </c>
      <c r="L100" s="1991"/>
      <c r="M100" s="2039">
        <f>SUM(M98:M99)</f>
        <v>12825</v>
      </c>
      <c r="N100" s="1988"/>
      <c r="O100" s="2039">
        <f>SUM(O98:O99)</f>
        <v>0</v>
      </c>
      <c r="P100" s="1988"/>
      <c r="Q100" s="2039">
        <f>SUM(Q98:Q99)</f>
        <v>24967</v>
      </c>
      <c r="R100" s="2025"/>
      <c r="S100" s="2025"/>
    </row>
    <row r="101" spans="1:19" s="2035" customFormat="1" ht="8.4499999999999993" customHeight="1" x14ac:dyDescent="0.25">
      <c r="A101" s="1958"/>
      <c r="B101" s="1949"/>
      <c r="C101" s="1964"/>
      <c r="D101" s="1941"/>
      <c r="E101" s="1950"/>
      <c r="F101" s="1948"/>
      <c r="G101" s="1967"/>
      <c r="H101" s="1967"/>
      <c r="I101" s="1967"/>
      <c r="J101" s="1985"/>
      <c r="K101" s="1967"/>
      <c r="L101" s="1967"/>
      <c r="M101" s="1967"/>
      <c r="N101" s="1967"/>
      <c r="O101" s="1967"/>
      <c r="P101" s="1967"/>
      <c r="Q101" s="1968"/>
      <c r="R101" s="1967"/>
      <c r="S101" s="1986"/>
    </row>
    <row r="102" spans="1:19" s="2035" customFormat="1" ht="17.25" customHeight="1" x14ac:dyDescent="0.4">
      <c r="A102" s="2040" t="s">
        <v>2226</v>
      </c>
      <c r="B102" s="1941"/>
      <c r="C102" s="1941"/>
      <c r="D102" s="1941"/>
      <c r="E102" s="1941"/>
      <c r="F102" s="1948"/>
      <c r="G102" s="1988">
        <f>+G93+G100</f>
        <v>8125</v>
      </c>
      <c r="H102" s="1967"/>
      <c r="I102" s="1988">
        <f>+I93+I100</f>
        <v>12540</v>
      </c>
      <c r="J102" s="1985"/>
      <c r="K102" s="1988">
        <f>+K93+K100</f>
        <v>12142</v>
      </c>
      <c r="L102" s="1967"/>
      <c r="M102" s="1988">
        <f>+M93+M100</f>
        <v>12825</v>
      </c>
      <c r="N102" s="1967"/>
      <c r="O102" s="1988">
        <f>SUM(O98:O100)</f>
        <v>0</v>
      </c>
      <c r="P102" s="1967"/>
      <c r="Q102" s="1988">
        <f>+Q93+Q100</f>
        <v>24967</v>
      </c>
      <c r="R102" s="1967"/>
      <c r="S102" s="1986"/>
    </row>
    <row r="103" spans="1:19" ht="12.6" customHeight="1" x14ac:dyDescent="0.4">
      <c r="F103" s="1948"/>
      <c r="G103" s="1992"/>
      <c r="H103" s="1941"/>
      <c r="I103" s="1941"/>
      <c r="J103" s="1948"/>
      <c r="K103" s="1941"/>
      <c r="L103" s="1941"/>
      <c r="M103" s="1941"/>
      <c r="N103" s="1941"/>
      <c r="O103" s="1941"/>
      <c r="P103" s="1941"/>
      <c r="Q103" s="1941"/>
      <c r="R103" s="1941"/>
      <c r="S103" s="1941"/>
    </row>
    <row r="104" spans="1:19" ht="17.25" customHeight="1" x14ac:dyDescent="0.4">
      <c r="A104" s="1948"/>
      <c r="B104" s="1941"/>
      <c r="C104" s="1941"/>
      <c r="D104" s="1941"/>
      <c r="E104" s="2041"/>
      <c r="F104" s="1948"/>
      <c r="G104" s="2042">
        <f>G38+G86+G102</f>
        <v>617703</v>
      </c>
      <c r="H104" s="2042"/>
      <c r="I104" s="2042">
        <f>I38+I86+I102</f>
        <v>693354</v>
      </c>
      <c r="J104" s="2042"/>
      <c r="K104" s="2042">
        <f>K38+K86+K102</f>
        <v>723691</v>
      </c>
      <c r="L104" s="2042"/>
      <c r="M104" s="2042">
        <f>M38+M86+M102</f>
        <v>911845</v>
      </c>
      <c r="N104" s="2042"/>
      <c r="O104" s="2042">
        <f>O38+O86+O102</f>
        <v>0</v>
      </c>
      <c r="P104" s="2042"/>
      <c r="Q104" s="2042">
        <f>Q38+Q86+Q102</f>
        <v>1635536</v>
      </c>
      <c r="R104" s="1941"/>
      <c r="S104" s="1941"/>
    </row>
    <row r="105" spans="1:19" ht="17.25" customHeight="1" x14ac:dyDescent="0.25">
      <c r="A105" s="1958" t="s">
        <v>2227</v>
      </c>
      <c r="B105" s="1941"/>
      <c r="C105" s="1941"/>
      <c r="D105" s="1941"/>
      <c r="E105" s="1941"/>
      <c r="F105" s="1948"/>
      <c r="G105" s="1941"/>
      <c r="H105" s="1941"/>
      <c r="I105" s="1941"/>
      <c r="J105" s="1948"/>
      <c r="K105" s="1941"/>
      <c r="L105" s="1941"/>
      <c r="M105" s="1941"/>
      <c r="N105" s="1941"/>
      <c r="O105" s="1941"/>
      <c r="P105" s="1941"/>
      <c r="Q105" s="1941"/>
      <c r="R105" s="1941"/>
      <c r="S105" s="1941"/>
    </row>
    <row r="106" spans="1:19" ht="17.25" hidden="1" customHeight="1" thickBot="1" x14ac:dyDescent="0.3">
      <c r="A106" s="1948"/>
      <c r="B106" s="1941"/>
      <c r="C106" s="1941"/>
      <c r="D106" s="1941"/>
      <c r="E106" s="1941"/>
      <c r="F106" s="1948"/>
      <c r="G106" s="1941"/>
      <c r="H106" s="1941"/>
      <c r="I106" s="1941"/>
      <c r="J106" s="1948"/>
      <c r="K106" s="1941"/>
      <c r="L106" s="1941"/>
      <c r="M106" s="1941"/>
      <c r="N106" s="1941"/>
      <c r="O106" s="1941"/>
      <c r="P106" s="1941"/>
      <c r="Q106" s="1941"/>
      <c r="R106" s="1941"/>
      <c r="S106" s="1941"/>
    </row>
    <row r="107" spans="1:19" ht="17.25" customHeight="1" x14ac:dyDescent="0.25">
      <c r="A107" s="1948"/>
      <c r="B107" s="1941"/>
      <c r="C107" s="1941"/>
      <c r="D107" s="1941"/>
      <c r="E107" s="1941"/>
      <c r="F107" s="1948"/>
      <c r="G107" s="1941"/>
      <c r="H107" s="1941"/>
      <c r="I107" s="1941"/>
      <c r="J107" s="1948"/>
      <c r="K107" s="1941"/>
      <c r="L107" s="1941"/>
      <c r="M107" s="1941"/>
      <c r="N107" s="1941"/>
      <c r="O107" s="1941"/>
      <c r="P107" s="1941"/>
      <c r="Q107" s="1941"/>
      <c r="R107" s="1941"/>
      <c r="S107" s="1941"/>
    </row>
    <row r="108" spans="1:19" ht="17.25" customHeight="1" x14ac:dyDescent="0.25">
      <c r="A108" s="1948"/>
      <c r="B108" s="1941"/>
      <c r="C108" s="1941"/>
      <c r="D108" s="1941"/>
      <c r="E108" s="1941"/>
      <c r="F108" s="1948"/>
      <c r="G108" s="1968">
        <f>+G38+G60</f>
        <v>534835</v>
      </c>
      <c r="H108" s="1968"/>
      <c r="I108" s="1968">
        <f>+I38+I60</f>
        <v>586566</v>
      </c>
      <c r="J108" s="1968"/>
      <c r="K108" s="1968">
        <f>+K38+K60</f>
        <v>632798</v>
      </c>
      <c r="L108" s="1968"/>
      <c r="M108" s="1968">
        <f>+M38+M60</f>
        <v>802983</v>
      </c>
      <c r="N108" s="1968"/>
      <c r="O108" s="1968">
        <f>+O38+O60</f>
        <v>0</v>
      </c>
      <c r="P108" s="1968"/>
      <c r="Q108" s="1968">
        <f>+Q38+Q60</f>
        <v>1435781</v>
      </c>
      <c r="R108" s="1967"/>
      <c r="S108" s="1967"/>
    </row>
    <row r="109" spans="1:19" ht="17.25" customHeight="1" x14ac:dyDescent="0.25">
      <c r="A109" s="1961" t="s">
        <v>2228</v>
      </c>
      <c r="B109" s="1949"/>
      <c r="C109" s="1941"/>
      <c r="D109" s="1941"/>
      <c r="E109" s="1941"/>
      <c r="F109" s="1948"/>
      <c r="G109" s="1967"/>
      <c r="H109" s="1967"/>
      <c r="I109" s="1967"/>
      <c r="J109" s="1985"/>
      <c r="K109" s="1967"/>
      <c r="L109" s="1967"/>
      <c r="M109" s="1967"/>
      <c r="N109" s="1967"/>
      <c r="O109" s="1967"/>
      <c r="P109" s="1967"/>
      <c r="Q109" s="1967"/>
      <c r="R109" s="1967"/>
      <c r="S109" s="1967"/>
    </row>
    <row r="110" spans="1:19" ht="17.25" customHeight="1" x14ac:dyDescent="0.4">
      <c r="A110" s="1948"/>
      <c r="B110" s="1941"/>
      <c r="C110" s="2024"/>
      <c r="D110" s="1941"/>
      <c r="E110" s="1941"/>
      <c r="F110" s="1948"/>
      <c r="G110" s="1976">
        <f>SUM(G70,G77,G102)</f>
        <v>82868</v>
      </c>
      <c r="H110" s="1976"/>
      <c r="I110" s="1976">
        <f>SUM(I70,I77,I102,I66+I84)</f>
        <v>106788</v>
      </c>
      <c r="J110" s="1976"/>
      <c r="K110" s="1976">
        <f>SUM(K70,K77,K102)</f>
        <v>90893</v>
      </c>
      <c r="L110" s="1976"/>
      <c r="M110" s="1976">
        <f>SUM(M70,M77,M102,M66+M84)</f>
        <v>108862</v>
      </c>
      <c r="N110" s="1976"/>
      <c r="O110" s="1976">
        <f>SUM(O77,O102)</f>
        <v>0</v>
      </c>
      <c r="P110" s="1976"/>
      <c r="Q110" s="1976">
        <f>SUM(Q70,Q77,Q102,Q66+Q84)</f>
        <v>199755</v>
      </c>
      <c r="R110" s="2025"/>
      <c r="S110" s="2025"/>
    </row>
    <row r="111" spans="1:19" ht="17.25" customHeight="1" x14ac:dyDescent="0.4">
      <c r="A111" s="2043" t="s">
        <v>2229</v>
      </c>
      <c r="B111" s="1941"/>
      <c r="C111" s="2024"/>
      <c r="D111" s="1941"/>
      <c r="E111" s="1941"/>
      <c r="F111" s="1948"/>
      <c r="G111" s="1976"/>
      <c r="H111" s="1975"/>
      <c r="I111" s="1976"/>
      <c r="J111" s="2044"/>
      <c r="K111" s="1976"/>
      <c r="L111" s="2025"/>
      <c r="M111" s="1976"/>
      <c r="N111" s="2025"/>
      <c r="O111" s="1976"/>
      <c r="P111" s="2025"/>
      <c r="Q111" s="1976"/>
      <c r="R111" s="2025"/>
      <c r="S111" s="2025"/>
    </row>
    <row r="112" spans="1:19" ht="17.25" customHeight="1" x14ac:dyDescent="0.4">
      <c r="A112" s="1961"/>
      <c r="B112" s="1941"/>
      <c r="C112" s="2045"/>
      <c r="D112" s="1941"/>
      <c r="E112" s="1941"/>
      <c r="F112" s="1948"/>
      <c r="G112" s="2042">
        <f>G108+G110</f>
        <v>617703</v>
      </c>
      <c r="H112" s="2042"/>
      <c r="I112" s="2042">
        <f t="shared" ref="I112:Q112" si="0">I108+I110</f>
        <v>693354</v>
      </c>
      <c r="J112" s="2042"/>
      <c r="K112" s="2042">
        <f t="shared" si="0"/>
        <v>723691</v>
      </c>
      <c r="L112" s="2042"/>
      <c r="M112" s="2042">
        <f t="shared" si="0"/>
        <v>911845</v>
      </c>
      <c r="N112" s="2042"/>
      <c r="O112" s="2042">
        <f t="shared" si="0"/>
        <v>0</v>
      </c>
      <c r="P112" s="2042"/>
      <c r="Q112" s="2042">
        <f t="shared" si="0"/>
        <v>1635536</v>
      </c>
      <c r="R112" s="2046" t="s">
        <v>1169</v>
      </c>
      <c r="S112" s="1967"/>
    </row>
    <row r="113" spans="1:19" ht="17.25" customHeight="1" x14ac:dyDescent="0.25">
      <c r="A113" s="1961" t="s">
        <v>2227</v>
      </c>
      <c r="B113" s="1941"/>
      <c r="C113" s="2045"/>
      <c r="D113" s="1941"/>
      <c r="E113" s="1941"/>
      <c r="F113" s="1948"/>
      <c r="G113" s="2047"/>
      <c r="H113" s="1967"/>
      <c r="I113" s="2047" t="s">
        <v>1169</v>
      </c>
      <c r="J113" s="1985"/>
      <c r="K113" s="2047"/>
      <c r="L113" s="2046"/>
      <c r="M113" s="2047"/>
      <c r="N113" s="2046"/>
      <c r="O113" s="2047"/>
      <c r="P113" s="2046"/>
      <c r="Q113" s="2047"/>
      <c r="R113" s="2046" t="s">
        <v>1169</v>
      </c>
      <c r="S113" s="1967"/>
    </row>
    <row r="114" spans="1:19" ht="17.25" customHeight="1" x14ac:dyDescent="0.25">
      <c r="A114" s="2048" t="s">
        <v>2230</v>
      </c>
      <c r="B114" s="1941"/>
      <c r="C114" s="1941"/>
      <c r="D114" s="1941"/>
      <c r="E114" s="1941"/>
      <c r="F114" s="1948"/>
      <c r="G114" s="1967"/>
      <c r="H114" s="1967"/>
      <c r="I114" s="1967" t="s">
        <v>1169</v>
      </c>
      <c r="J114" s="1985"/>
      <c r="K114" s="1967"/>
      <c r="L114" s="1967"/>
      <c r="M114" s="1967" t="s">
        <v>1169</v>
      </c>
      <c r="N114" s="1967"/>
      <c r="O114" s="1967"/>
      <c r="P114" s="1967"/>
      <c r="Q114" s="1967"/>
      <c r="R114" s="1967"/>
      <c r="S114" s="1967"/>
    </row>
    <row r="115" spans="1:19" ht="17.25" customHeight="1" x14ac:dyDescent="0.25">
      <c r="A115" s="2049" t="s">
        <v>2231</v>
      </c>
      <c r="B115" s="1941"/>
      <c r="C115" s="2045"/>
      <c r="D115" s="1941"/>
      <c r="E115" s="1941"/>
      <c r="F115" s="1948"/>
      <c r="G115" s="1967"/>
      <c r="H115" s="1967"/>
      <c r="I115" s="1967" t="s">
        <v>1169</v>
      </c>
      <c r="J115" s="1985"/>
      <c r="K115" s="1967"/>
      <c r="L115" s="1967"/>
      <c r="M115" s="1967"/>
      <c r="N115" s="1967"/>
      <c r="O115" s="1967"/>
      <c r="P115" s="1967"/>
      <c r="Q115" s="1967"/>
      <c r="R115" s="1967"/>
      <c r="S115" s="1967"/>
    </row>
    <row r="116" spans="1:19" ht="17.25" customHeight="1" x14ac:dyDescent="0.25">
      <c r="A116" s="2049" t="s">
        <v>2232</v>
      </c>
      <c r="B116" s="1941"/>
      <c r="C116" s="2045"/>
      <c r="D116" s="1941"/>
      <c r="E116" s="1941"/>
      <c r="F116" s="1948"/>
      <c r="G116" s="1967"/>
      <c r="H116" s="1967"/>
      <c r="I116" s="1967" t="s">
        <v>1169</v>
      </c>
      <c r="J116" s="1985"/>
      <c r="K116" s="1967"/>
      <c r="L116" s="1967"/>
      <c r="M116" s="1967"/>
      <c r="N116" s="1967"/>
      <c r="O116" s="1967"/>
      <c r="P116" s="1967"/>
      <c r="Q116" s="1967"/>
      <c r="R116" s="1967"/>
      <c r="S116" s="1967"/>
    </row>
    <row r="117" spans="1:19" ht="17.25" customHeight="1" x14ac:dyDescent="0.25">
      <c r="A117" s="2049" t="s">
        <v>2233</v>
      </c>
    </row>
    <row r="118" spans="1:19" ht="17.25" customHeight="1" x14ac:dyDescent="0.2">
      <c r="A118" s="2048" t="s">
        <v>2234</v>
      </c>
    </row>
    <row r="121" spans="1:19" ht="15.95" customHeight="1" x14ac:dyDescent="0.25">
      <c r="I121" s="1968"/>
      <c r="J121" s="1968"/>
      <c r="K121" s="1968"/>
      <c r="L121" s="1968"/>
      <c r="M121" s="1968"/>
    </row>
    <row r="122" spans="1:19" ht="15.95" customHeight="1" x14ac:dyDescent="0.25">
      <c r="I122" s="1968"/>
      <c r="J122" s="1968"/>
      <c r="K122" s="1968"/>
      <c r="L122" s="1968"/>
      <c r="M122" s="1968"/>
    </row>
    <row r="123" spans="1:19" ht="15.95" customHeight="1" x14ac:dyDescent="0.25">
      <c r="I123" s="1968"/>
      <c r="J123" s="1968"/>
      <c r="K123" s="1968"/>
      <c r="L123" s="1968"/>
      <c r="M123" s="1968"/>
    </row>
    <row r="124" spans="1:19" ht="15.95" customHeight="1" x14ac:dyDescent="0.25">
      <c r="I124" s="1968"/>
      <c r="J124" s="1968"/>
      <c r="K124" s="1968"/>
      <c r="L124" s="1968"/>
      <c r="M124" s="1968"/>
    </row>
    <row r="125" spans="1:19" ht="15.95" customHeight="1" x14ac:dyDescent="0.25">
      <c r="I125" s="1968"/>
      <c r="J125" s="1968"/>
      <c r="K125" s="1968"/>
      <c r="L125" s="1968"/>
      <c r="M125" s="1968"/>
    </row>
    <row r="126" spans="1:19" ht="15.95" customHeight="1" x14ac:dyDescent="0.25">
      <c r="I126" s="1968"/>
      <c r="J126" s="1968"/>
      <c r="K126" s="1968"/>
      <c r="L126" s="1968"/>
      <c r="M126" s="1968"/>
    </row>
    <row r="127" spans="1:19" ht="15.95" customHeight="1" x14ac:dyDescent="0.25">
      <c r="I127" s="1968"/>
      <c r="J127" s="1968"/>
      <c r="K127" s="1968"/>
      <c r="L127" s="1968"/>
      <c r="M127" s="1968"/>
    </row>
  </sheetData>
  <mergeCells count="4">
    <mergeCell ref="A1:S1"/>
    <mergeCell ref="A2:S2"/>
    <mergeCell ref="A3:S3"/>
    <mergeCell ref="A4:S4"/>
  </mergeCells>
  <printOptions gridLinesSet="0"/>
  <pageMargins left="0.7" right="0.2" top="0.5" bottom="0.5" header="0.3" footer="0.3"/>
  <pageSetup scale="60" fitToHeight="0" orientation="landscape" r:id="rId1"/>
  <rowBreaks count="1" manualBreakCount="1">
    <brk id="6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1" t="s">
        <v>1168</v>
      </c>
      <c r="B2" s="2191"/>
      <c r="C2" s="2191"/>
      <c r="D2" s="2191"/>
      <c r="E2" s="2191"/>
      <c r="F2" s="2191"/>
      <c r="G2" s="2191"/>
      <c r="H2" s="2191"/>
      <c r="I2" s="2191"/>
      <c r="J2" s="219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05" t="s">
        <v>1632</v>
      </c>
      <c r="B35" s="2206"/>
      <c r="C35" s="2206"/>
      <c r="D35" s="2206"/>
      <c r="E35" s="2207"/>
      <c r="F35" s="2207"/>
      <c r="G35" s="2207"/>
      <c r="H35" s="2207"/>
      <c r="I35" s="220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05" t="s">
        <v>313</v>
      </c>
      <c r="B47" s="2208"/>
      <c r="C47" s="2208"/>
      <c r="D47" s="2208"/>
      <c r="E47" s="2209"/>
      <c r="F47" s="2209"/>
      <c r="G47" s="2209"/>
      <c r="H47" s="2209"/>
      <c r="I47" s="220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2066</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12"/>
      <c r="C57" s="2213"/>
      <c r="D57" s="2213"/>
      <c r="E57" s="2213"/>
      <c r="F57" s="2213"/>
      <c r="G57" s="2213"/>
      <c r="H57" s="2213"/>
      <c r="I57" s="2213"/>
      <c r="J57" s="2214"/>
    </row>
    <row r="58" spans="1:10" s="181" customFormat="1" x14ac:dyDescent="0.2">
      <c r="A58" s="253"/>
      <c r="B58" s="2215"/>
      <c r="C58" s="2216"/>
      <c r="D58" s="2216"/>
      <c r="E58" s="2216"/>
      <c r="F58" s="2216"/>
      <c r="G58" s="2216"/>
      <c r="H58" s="2216"/>
      <c r="I58" s="2216"/>
      <c r="J58" s="2217"/>
    </row>
    <row r="59" spans="1:10" s="181" customFormat="1" x14ac:dyDescent="0.2">
      <c r="A59" s="253"/>
      <c r="B59" s="2215"/>
      <c r="C59" s="2216"/>
      <c r="D59" s="2216"/>
      <c r="E59" s="2216"/>
      <c r="F59" s="2216"/>
      <c r="G59" s="2216"/>
      <c r="H59" s="2216"/>
      <c r="I59" s="2216"/>
      <c r="J59" s="2217"/>
    </row>
    <row r="60" spans="1:10" s="181" customFormat="1" x14ac:dyDescent="0.2">
      <c r="A60" s="253"/>
      <c r="B60" s="2215"/>
      <c r="C60" s="2216"/>
      <c r="D60" s="2216"/>
      <c r="E60" s="2216"/>
      <c r="F60" s="2216"/>
      <c r="G60" s="2216"/>
      <c r="H60" s="2216"/>
      <c r="I60" s="2216"/>
      <c r="J60" s="2217"/>
    </row>
    <row r="61" spans="1:10" s="181" customFormat="1" x14ac:dyDescent="0.2">
      <c r="A61" s="253"/>
      <c r="B61" s="2215"/>
      <c r="C61" s="2216"/>
      <c r="D61" s="2216"/>
      <c r="E61" s="2216"/>
      <c r="F61" s="2216"/>
      <c r="G61" s="2216"/>
      <c r="H61" s="2216"/>
      <c r="I61" s="2216"/>
      <c r="J61" s="2217"/>
    </row>
    <row r="62" spans="1:10" s="181" customFormat="1" x14ac:dyDescent="0.2">
      <c r="A62" s="253"/>
      <c r="B62" s="2215"/>
      <c r="C62" s="2216"/>
      <c r="D62" s="2216"/>
      <c r="E62" s="2216"/>
      <c r="F62" s="2216"/>
      <c r="G62" s="2216"/>
      <c r="H62" s="2216"/>
      <c r="I62" s="2216"/>
      <c r="J62" s="2217"/>
    </row>
    <row r="63" spans="1:10" s="181" customFormat="1" x14ac:dyDescent="0.2">
      <c r="A63" s="253"/>
      <c r="B63" s="2215"/>
      <c r="C63" s="2216"/>
      <c r="D63" s="2216"/>
      <c r="E63" s="2216"/>
      <c r="F63" s="2216"/>
      <c r="G63" s="2216"/>
      <c r="H63" s="2216"/>
      <c r="I63" s="2216"/>
      <c r="J63" s="2217"/>
    </row>
    <row r="64" spans="1:10" s="181" customFormat="1" x14ac:dyDescent="0.2">
      <c r="A64" s="253"/>
      <c r="B64" s="2215"/>
      <c r="C64" s="2216"/>
      <c r="D64" s="2216"/>
      <c r="E64" s="2216"/>
      <c r="F64" s="2216"/>
      <c r="G64" s="2216"/>
      <c r="H64" s="2216"/>
      <c r="I64" s="2216"/>
      <c r="J64" s="2217"/>
    </row>
    <row r="65" spans="1:10" s="181" customFormat="1" x14ac:dyDescent="0.2">
      <c r="A65" s="253"/>
      <c r="B65" s="2215"/>
      <c r="C65" s="2216"/>
      <c r="D65" s="2216"/>
      <c r="E65" s="2216"/>
      <c r="F65" s="2216"/>
      <c r="G65" s="2216"/>
      <c r="H65" s="2216"/>
      <c r="I65" s="2216"/>
      <c r="J65" s="2217"/>
    </row>
    <row r="66" spans="1:10" s="181" customFormat="1" x14ac:dyDescent="0.2">
      <c r="A66" s="253"/>
      <c r="B66" s="2215"/>
      <c r="C66" s="2216"/>
      <c r="D66" s="2216"/>
      <c r="E66" s="2216"/>
      <c r="F66" s="2216"/>
      <c r="G66" s="2216"/>
      <c r="H66" s="2216"/>
      <c r="I66" s="2216"/>
      <c r="J66" s="2217"/>
    </row>
    <row r="67" spans="1:10" s="181" customFormat="1" ht="9" customHeight="1" x14ac:dyDescent="0.2">
      <c r="A67" s="254"/>
      <c r="B67" s="2218"/>
      <c r="C67" s="2219"/>
      <c r="D67" s="2219"/>
      <c r="E67" s="2219"/>
      <c r="F67" s="2219"/>
      <c r="G67" s="2219"/>
      <c r="H67" s="2219"/>
      <c r="I67" s="2219"/>
      <c r="J67" s="22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05" t="s">
        <v>1323</v>
      </c>
      <c r="B70" s="2208"/>
      <c r="C70" s="2208"/>
      <c r="D70" s="2208"/>
      <c r="E70" s="2209"/>
      <c r="F70" s="2209"/>
      <c r="G70" s="2209"/>
      <c r="H70" s="2209"/>
      <c r="I70" s="220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1901</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0" t="s">
        <v>1320</v>
      </c>
      <c r="B83" s="2210"/>
      <c r="C83" s="2210"/>
      <c r="D83" s="221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92" t="s">
        <v>2270</v>
      </c>
      <c r="C102" s="2193"/>
      <c r="D102" s="2193"/>
      <c r="E102" s="2193"/>
      <c r="F102" s="2193"/>
      <c r="G102" s="2193"/>
      <c r="H102" s="2193"/>
      <c r="I102" s="2194"/>
    </row>
    <row r="103" spans="1:9" s="181" customFormat="1" ht="11.25" customHeight="1" x14ac:dyDescent="0.2">
      <c r="A103" s="316"/>
      <c r="B103" s="2195"/>
      <c r="C103" s="2196"/>
      <c r="D103" s="2196"/>
      <c r="E103" s="2196"/>
      <c r="F103" s="2196"/>
      <c r="G103" s="2196"/>
      <c r="H103" s="2196"/>
      <c r="I103" s="2197"/>
    </row>
    <row r="104" spans="1:9" s="181" customFormat="1" ht="11.25" customHeight="1" x14ac:dyDescent="0.2">
      <c r="A104" s="316"/>
      <c r="B104" s="2195"/>
      <c r="C104" s="2196"/>
      <c r="D104" s="2196"/>
      <c r="E104" s="2196"/>
      <c r="F104" s="2196"/>
      <c r="G104" s="2196"/>
      <c r="H104" s="2196"/>
      <c r="I104" s="2197"/>
    </row>
    <row r="105" spans="1:9" s="181" customFormat="1" x14ac:dyDescent="0.2">
      <c r="A105" s="316"/>
      <c r="B105" s="2195"/>
      <c r="C105" s="2196"/>
      <c r="D105" s="2196"/>
      <c r="E105" s="2196"/>
      <c r="F105" s="2196"/>
      <c r="G105" s="2196"/>
      <c r="H105" s="2196"/>
      <c r="I105" s="2197"/>
    </row>
    <row r="106" spans="1:9" s="181" customFormat="1" ht="11.25" customHeight="1" x14ac:dyDescent="0.2">
      <c r="A106" s="316"/>
      <c r="B106" s="2195"/>
      <c r="C106" s="2196"/>
      <c r="D106" s="2196"/>
      <c r="E106" s="2196"/>
      <c r="F106" s="2196"/>
      <c r="G106" s="2196"/>
      <c r="H106" s="2196"/>
      <c r="I106" s="2197"/>
    </row>
    <row r="107" spans="1:9" s="181" customFormat="1" ht="11.25" customHeight="1" x14ac:dyDescent="0.2">
      <c r="A107" s="316"/>
      <c r="B107" s="2195"/>
      <c r="C107" s="2196"/>
      <c r="D107" s="2196"/>
      <c r="E107" s="2196"/>
      <c r="F107" s="2196"/>
      <c r="G107" s="2196"/>
      <c r="H107" s="2196"/>
      <c r="I107" s="2197"/>
    </row>
    <row r="108" spans="1:9" s="181" customFormat="1" ht="11.25" customHeight="1" x14ac:dyDescent="0.2">
      <c r="A108" s="316"/>
      <c r="B108" s="2195"/>
      <c r="C108" s="2196"/>
      <c r="D108" s="2196"/>
      <c r="E108" s="2196"/>
      <c r="F108" s="2196"/>
      <c r="G108" s="2196"/>
      <c r="H108" s="2196"/>
      <c r="I108" s="2197"/>
    </row>
    <row r="109" spans="1:9" s="181" customFormat="1" ht="11.25" customHeight="1" x14ac:dyDescent="0.2">
      <c r="A109" s="316"/>
      <c r="B109" s="2195"/>
      <c r="C109" s="2196"/>
      <c r="D109" s="2196"/>
      <c r="E109" s="2196"/>
      <c r="F109" s="2196"/>
      <c r="G109" s="2196"/>
      <c r="H109" s="2196"/>
      <c r="I109" s="2197"/>
    </row>
    <row r="110" spans="1:9" s="181" customFormat="1" ht="11.25" customHeight="1" x14ac:dyDescent="0.2">
      <c r="A110" s="316"/>
      <c r="B110" s="2195"/>
      <c r="C110" s="2196"/>
      <c r="D110" s="2196"/>
      <c r="E110" s="2196"/>
      <c r="F110" s="2196"/>
      <c r="G110" s="2196"/>
      <c r="H110" s="2196"/>
      <c r="I110" s="2197"/>
    </row>
    <row r="111" spans="1:9" s="181" customFormat="1" ht="11.25" customHeight="1" x14ac:dyDescent="0.2">
      <c r="A111" s="316"/>
      <c r="B111" s="2195"/>
      <c r="C111" s="2196"/>
      <c r="D111" s="2196"/>
      <c r="E111" s="2196"/>
      <c r="F111" s="2196"/>
      <c r="G111" s="2196"/>
      <c r="H111" s="2196"/>
      <c r="I111" s="2197"/>
    </row>
    <row r="112" spans="1:9" s="181" customFormat="1" ht="11.25" customHeight="1" x14ac:dyDescent="0.2">
      <c r="A112" s="316"/>
      <c r="B112" s="2198"/>
      <c r="C112" s="2199"/>
      <c r="D112" s="2199"/>
      <c r="E112" s="2199"/>
      <c r="F112" s="2199"/>
      <c r="G112" s="2199"/>
      <c r="H112" s="2199"/>
      <c r="I112" s="22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1" t="s">
        <v>2068</v>
      </c>
      <c r="D114" s="220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02" t="s">
        <v>1330</v>
      </c>
      <c r="D117" s="2203"/>
      <c r="E117" s="2204"/>
      <c r="F117" s="2204"/>
      <c r="G117" s="2204"/>
      <c r="H117" s="2204"/>
      <c r="I117" s="304"/>
    </row>
    <row r="118" spans="1:9" s="181" customFormat="1" ht="24" customHeight="1" x14ac:dyDescent="0.2">
      <c r="A118" s="316"/>
      <c r="B118" s="316"/>
      <c r="C118" s="316"/>
      <c r="D118" s="323" t="s">
        <v>2289</v>
      </c>
      <c r="E118" s="322"/>
      <c r="F118" s="324"/>
      <c r="G118" s="1836"/>
      <c r="H118" s="322"/>
      <c r="I118" s="304"/>
    </row>
    <row r="119" spans="1:9" s="181" customFormat="1" ht="11.25" customHeight="1" x14ac:dyDescent="0.2">
      <c r="A119" s="325"/>
      <c r="B119" s="325"/>
      <c r="C119" s="326"/>
      <c r="D119" s="327" t="s">
        <v>361</v>
      </c>
      <c r="E119" s="310"/>
      <c r="F119" s="1835" t="s">
        <v>1902</v>
      </c>
      <c r="G119" s="328"/>
      <c r="H119" s="328"/>
      <c r="I119" s="304"/>
    </row>
    <row r="120" spans="1:9" x14ac:dyDescent="0.2">
      <c r="A120" s="329"/>
      <c r="B120" s="180"/>
      <c r="C120" s="330"/>
      <c r="D120" s="256"/>
      <c r="E120" s="256"/>
      <c r="F120" s="256"/>
      <c r="G120" s="256"/>
      <c r="H120" s="256"/>
      <c r="I120" s="304"/>
    </row>
    <row r="121" spans="1:9" x14ac:dyDescent="0.2">
      <c r="A121" s="329"/>
      <c r="B121" s="1484"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77" t="s">
        <v>2071</v>
      </c>
      <c r="B1" s="2577"/>
      <c r="C1" s="2577"/>
      <c r="D1" s="2577"/>
      <c r="E1" s="2577"/>
      <c r="F1" s="2577"/>
    </row>
    <row r="2" spans="1:7" ht="13.5" customHeight="1" x14ac:dyDescent="0.2">
      <c r="A2" s="2571" t="s">
        <v>2069</v>
      </c>
      <c r="B2" s="2571"/>
      <c r="C2" s="2571"/>
      <c r="D2" s="2571"/>
      <c r="E2" s="2571"/>
      <c r="F2" s="2571"/>
      <c r="G2" s="1269"/>
    </row>
    <row r="3" spans="1:7" ht="15.75" customHeight="1" x14ac:dyDescent="0.2">
      <c r="A3" s="2578" t="s">
        <v>1271</v>
      </c>
      <c r="B3" s="2578"/>
      <c r="C3" s="2578"/>
      <c r="D3" s="2578"/>
      <c r="E3" s="2578"/>
      <c r="F3" s="2578"/>
    </row>
    <row r="4" spans="1:7" ht="13.5" customHeight="1" x14ac:dyDescent="0.2">
      <c r="A4" s="2579" t="s">
        <v>1985</v>
      </c>
      <c r="B4" s="2579"/>
      <c r="C4" s="2579"/>
      <c r="D4" s="2579"/>
      <c r="E4" s="2579"/>
      <c r="F4" s="2579"/>
    </row>
    <row r="5" spans="1:7" ht="8.25" customHeight="1" x14ac:dyDescent="0.2">
      <c r="C5" s="317"/>
      <c r="D5" s="317"/>
    </row>
    <row r="6" spans="1:7" ht="13.5" customHeight="1" x14ac:dyDescent="0.2">
      <c r="A6" s="1270" t="s">
        <v>1727</v>
      </c>
      <c r="C6" s="317"/>
      <c r="D6" s="317"/>
    </row>
    <row r="7" spans="1:7" ht="60.95" customHeight="1" x14ac:dyDescent="0.2">
      <c r="A7" s="2576" t="s">
        <v>2126</v>
      </c>
      <c r="B7" s="2576"/>
      <c r="C7" s="2576"/>
      <c r="D7" s="2576"/>
      <c r="E7" s="2576"/>
      <c r="F7" s="2576"/>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1547</v>
      </c>
      <c r="B10" s="1274"/>
      <c r="C10" s="1275"/>
      <c r="D10" s="1274" t="s">
        <v>1548</v>
      </c>
      <c r="E10" s="1275" t="s">
        <v>2066</v>
      </c>
      <c r="F10" s="1274" t="s">
        <v>99</v>
      </c>
      <c r="G10" s="1272"/>
    </row>
    <row r="11" spans="1:7" ht="12" customHeight="1" x14ac:dyDescent="0.2">
      <c r="A11" s="1273"/>
      <c r="B11" s="1274"/>
      <c r="C11" s="1896"/>
      <c r="D11" s="1274"/>
      <c r="E11" s="1896"/>
      <c r="F11" s="1274"/>
      <c r="G11" s="1272"/>
    </row>
    <row r="12" spans="1:7" x14ac:dyDescent="0.2">
      <c r="A12" s="1270" t="s">
        <v>1586</v>
      </c>
      <c r="C12" s="1254"/>
      <c r="D12" s="1254"/>
    </row>
    <row r="13" spans="1:7" ht="15" customHeight="1" x14ac:dyDescent="0.2">
      <c r="A13" s="2576" t="s">
        <v>2127</v>
      </c>
      <c r="B13" s="2576"/>
      <c r="C13" s="2576"/>
      <c r="D13" s="2576"/>
      <c r="E13" s="2576"/>
      <c r="F13" s="2576"/>
    </row>
    <row r="14" spans="1:7" ht="9.75" customHeight="1" x14ac:dyDescent="0.2">
      <c r="C14" s="1254"/>
      <c r="D14" s="1254"/>
    </row>
    <row r="15" spans="1:7" ht="13.5" customHeight="1" x14ac:dyDescent="0.2">
      <c r="C15" s="1934" t="s">
        <v>1270</v>
      </c>
      <c r="D15" s="2581" t="s">
        <v>1269</v>
      </c>
      <c r="E15" s="2581"/>
      <c r="F15" s="2581"/>
    </row>
    <row r="16" spans="1:7" ht="13.5" customHeight="1" x14ac:dyDescent="0.2">
      <c r="A16" s="1276"/>
      <c r="B16" s="1270" t="s">
        <v>1268</v>
      </c>
      <c r="C16" s="1934" t="s">
        <v>1267</v>
      </c>
      <c r="D16" s="2582" t="s">
        <v>1587</v>
      </c>
      <c r="E16" s="2582"/>
      <c r="F16" s="2582"/>
    </row>
    <row r="17" spans="1:6" ht="20.45" customHeight="1" x14ac:dyDescent="0.2">
      <c r="A17" s="1277"/>
      <c r="B17" s="1278" t="s">
        <v>2128</v>
      </c>
      <c r="C17" s="1279"/>
      <c r="D17" s="2580"/>
      <c r="E17" s="2580"/>
      <c r="F17" s="2580"/>
    </row>
    <row r="18" spans="1:6" ht="20.65" hidden="1" customHeight="1" x14ac:dyDescent="0.2">
      <c r="A18" s="1277"/>
      <c r="B18" s="1278"/>
      <c r="C18" s="1279"/>
      <c r="D18" s="2580"/>
      <c r="E18" s="2580"/>
      <c r="F18" s="2580"/>
    </row>
    <row r="19" spans="1:6" ht="20.65" hidden="1" customHeight="1" x14ac:dyDescent="0.2">
      <c r="A19" s="1277"/>
      <c r="B19" s="1278"/>
      <c r="C19" s="1279"/>
      <c r="D19" s="2580"/>
      <c r="E19" s="2580"/>
      <c r="F19" s="2580"/>
    </row>
    <row r="20" spans="1:6" ht="20.65" hidden="1" customHeight="1" x14ac:dyDescent="0.2">
      <c r="A20" s="1277"/>
      <c r="B20" s="1278"/>
      <c r="C20" s="1279"/>
      <c r="D20" s="2580"/>
      <c r="E20" s="2580"/>
      <c r="F20" s="2580"/>
    </row>
    <row r="21" spans="1:6" ht="20.65" hidden="1" customHeight="1" x14ac:dyDescent="0.2">
      <c r="A21" s="1277"/>
      <c r="B21" s="1278"/>
      <c r="C21" s="1279"/>
      <c r="D21" s="2580"/>
      <c r="E21" s="2580"/>
      <c r="F21" s="2580"/>
    </row>
    <row r="22" spans="1:6" ht="20.65" hidden="1" customHeight="1" x14ac:dyDescent="0.2">
      <c r="A22" s="1277"/>
      <c r="B22" s="1278"/>
      <c r="C22" s="1279"/>
      <c r="D22" s="2580"/>
      <c r="E22" s="2580"/>
      <c r="F22" s="2580"/>
    </row>
    <row r="23" spans="1:6" ht="20.65" hidden="1" customHeight="1" x14ac:dyDescent="0.2">
      <c r="A23" s="1277"/>
      <c r="B23" s="1278"/>
      <c r="C23" s="1279"/>
      <c r="D23" s="2580"/>
      <c r="E23" s="2580"/>
      <c r="F23" s="2580"/>
    </row>
    <row r="24" spans="1:6" ht="20.65" hidden="1" customHeight="1" x14ac:dyDescent="0.2">
      <c r="A24" s="1277"/>
      <c r="B24" s="1278"/>
      <c r="C24" s="1279"/>
      <c r="D24" s="2580"/>
      <c r="E24" s="2580"/>
      <c r="F24" s="2580"/>
    </row>
    <row r="25" spans="1:6" ht="20.65" hidden="1" customHeight="1" x14ac:dyDescent="0.2">
      <c r="A25" s="1277"/>
      <c r="B25" s="1278"/>
      <c r="C25" s="1279"/>
      <c r="D25" s="2580"/>
      <c r="E25" s="2580"/>
      <c r="F25" s="2580"/>
    </row>
    <row r="26" spans="1:6" ht="20.65" hidden="1" customHeight="1" x14ac:dyDescent="0.2">
      <c r="A26" s="1277"/>
      <c r="B26" s="1278"/>
      <c r="C26" s="1279"/>
      <c r="D26" s="2580"/>
      <c r="E26" s="2580"/>
      <c r="F26" s="2580"/>
    </row>
    <row r="27" spans="1:6" ht="20.65" hidden="1" customHeight="1" x14ac:dyDescent="0.2">
      <c r="A27" s="1277"/>
      <c r="B27" s="1278"/>
      <c r="C27" s="1279"/>
      <c r="D27" s="2580"/>
      <c r="E27" s="2580"/>
      <c r="F27" s="2580"/>
    </row>
    <row r="28" spans="1:6" ht="20.65" hidden="1" customHeight="1" x14ac:dyDescent="0.2">
      <c r="A28" s="1277"/>
      <c r="B28" s="1278"/>
      <c r="C28" s="1279"/>
      <c r="D28" s="2580"/>
      <c r="E28" s="2580"/>
      <c r="F28" s="2580"/>
    </row>
    <row r="29" spans="1:6" ht="20.65" hidden="1" customHeight="1" x14ac:dyDescent="0.2">
      <c r="A29" s="1277"/>
      <c r="B29" s="1278"/>
      <c r="C29" s="1279"/>
      <c r="D29" s="2580"/>
      <c r="E29" s="2580"/>
      <c r="F29" s="2580"/>
    </row>
    <row r="30" spans="1:6" ht="12" customHeight="1" x14ac:dyDescent="0.2">
      <c r="A30" s="328"/>
      <c r="B30" s="328"/>
      <c r="C30" s="1458"/>
      <c r="D30" s="1897"/>
      <c r="E30" s="1280"/>
    </row>
    <row r="31" spans="1:6" ht="12" customHeight="1" x14ac:dyDescent="0.2">
      <c r="A31" s="1281" t="s">
        <v>1549</v>
      </c>
      <c r="B31" s="328"/>
      <c r="C31" s="1458"/>
      <c r="D31" s="1897"/>
      <c r="E31" s="1280"/>
    </row>
    <row r="32" spans="1:6" ht="30" customHeight="1" x14ac:dyDescent="0.2">
      <c r="A32" s="2586" t="s">
        <v>2129</v>
      </c>
      <c r="B32" s="2586"/>
      <c r="C32" s="2586"/>
      <c r="D32" s="2586"/>
      <c r="E32" s="2586"/>
      <c r="F32" s="2586"/>
    </row>
    <row r="33" spans="1:9" ht="13.5" customHeight="1" x14ac:dyDescent="0.2">
      <c r="A33" s="328" t="s">
        <v>1434</v>
      </c>
      <c r="B33" s="328"/>
      <c r="C33" s="1282">
        <v>84866</v>
      </c>
      <c r="D33" s="1897"/>
      <c r="E33" s="1280"/>
    </row>
    <row r="34" spans="1:9" ht="13.5" customHeight="1" x14ac:dyDescent="0.2">
      <c r="A34" s="328" t="s">
        <v>1834</v>
      </c>
      <c r="B34" s="328"/>
      <c r="C34" s="1283">
        <v>0</v>
      </c>
      <c r="D34" s="1897" t="s">
        <v>1588</v>
      </c>
      <c r="E34" s="2587">
        <f>+C33+C34</f>
        <v>84866</v>
      </c>
      <c r="F34" s="2588"/>
      <c r="I34" s="1935"/>
    </row>
    <row r="35" spans="1:9" ht="13.5" customHeight="1" x14ac:dyDescent="0.2">
      <c r="A35" s="328"/>
      <c r="B35" s="328"/>
      <c r="C35" s="1936"/>
      <c r="D35" s="1897"/>
      <c r="E35" s="1937"/>
      <c r="F35" s="1938"/>
    </row>
    <row r="36" spans="1:9" ht="13.5" customHeight="1" x14ac:dyDescent="0.2">
      <c r="A36" s="1281" t="s">
        <v>2130</v>
      </c>
      <c r="B36" s="328"/>
      <c r="C36" s="1936"/>
      <c r="D36" s="1897"/>
      <c r="E36" s="1937"/>
      <c r="F36" s="1938"/>
    </row>
    <row r="37" spans="1:9" ht="13.5" customHeight="1" x14ac:dyDescent="0.2">
      <c r="A37" s="2589" t="s">
        <v>2235</v>
      </c>
      <c r="B37" s="2589"/>
      <c r="C37" s="2589"/>
      <c r="D37" s="2589"/>
      <c r="E37" s="2589"/>
      <c r="F37" s="2589"/>
    </row>
    <row r="38" spans="1:9" ht="13.5" customHeight="1" x14ac:dyDescent="0.2">
      <c r="A38" s="2589"/>
      <c r="B38" s="2589"/>
      <c r="C38" s="2589"/>
      <c r="D38" s="2589"/>
      <c r="E38" s="2589"/>
      <c r="F38" s="2589"/>
    </row>
    <row r="39" spans="1:9" ht="13.5" customHeight="1" x14ac:dyDescent="0.2">
      <c r="A39" s="328"/>
      <c r="B39" s="328"/>
      <c r="C39" s="1936"/>
      <c r="D39" s="1897"/>
      <c r="E39" s="1937"/>
      <c r="F39" s="1938"/>
    </row>
    <row r="40" spans="1:9" ht="13.5" customHeight="1" x14ac:dyDescent="0.2">
      <c r="A40" s="1281" t="s">
        <v>2131</v>
      </c>
      <c r="B40" s="328"/>
      <c r="C40" s="1936"/>
      <c r="D40" s="1897"/>
      <c r="E40" s="1937"/>
      <c r="F40" s="1938"/>
    </row>
    <row r="41" spans="1:9" ht="12" customHeight="1" x14ac:dyDescent="0.2">
      <c r="A41" s="2583" t="s">
        <v>2236</v>
      </c>
      <c r="B41" s="2583"/>
      <c r="C41" s="2583"/>
      <c r="D41" s="2583"/>
      <c r="E41" s="2583"/>
      <c r="F41" s="2583"/>
    </row>
    <row r="42" spans="1:9" ht="12" customHeight="1" x14ac:dyDescent="0.2">
      <c r="A42" s="2583"/>
      <c r="B42" s="2583"/>
      <c r="C42" s="2583"/>
      <c r="D42" s="2583"/>
      <c r="E42" s="2583"/>
      <c r="F42" s="2583"/>
    </row>
    <row r="43" spans="1:9" ht="12" customHeight="1" x14ac:dyDescent="0.2">
      <c r="A43" s="2583"/>
      <c r="B43" s="2583"/>
      <c r="C43" s="2583"/>
      <c r="D43" s="2583"/>
      <c r="E43" s="2583"/>
      <c r="F43" s="2583"/>
    </row>
    <row r="44" spans="1:9" ht="13.5" customHeight="1" x14ac:dyDescent="0.2">
      <c r="A44" s="1939"/>
      <c r="B44" s="1939"/>
      <c r="C44" s="1939"/>
      <c r="D44" s="1939"/>
      <c r="E44" s="1939"/>
      <c r="F44" s="1939"/>
    </row>
    <row r="45" spans="1:9" ht="13.5" customHeight="1" x14ac:dyDescent="0.2">
      <c r="A45" s="1281" t="s">
        <v>2132</v>
      </c>
      <c r="B45" s="328"/>
      <c r="C45" s="1458"/>
      <c r="D45" s="1897"/>
      <c r="E45" s="1280"/>
    </row>
    <row r="46" spans="1:9" ht="14.25" customHeight="1" x14ac:dyDescent="0.2">
      <c r="A46" s="328" t="s">
        <v>1484</v>
      </c>
      <c r="B46" s="328"/>
      <c r="C46" s="1898"/>
      <c r="D46" s="1897"/>
      <c r="E46" s="1280"/>
    </row>
    <row r="47" spans="1:9" ht="14.25" customHeight="1" x14ac:dyDescent="0.2">
      <c r="A47" s="328"/>
      <c r="B47" s="328" t="s">
        <v>1435</v>
      </c>
      <c r="C47" s="1285" t="s">
        <v>383</v>
      </c>
      <c r="D47" s="1897"/>
      <c r="E47" s="1280"/>
    </row>
    <row r="48" spans="1:9" ht="14.25" customHeight="1" x14ac:dyDescent="0.2">
      <c r="A48" s="328"/>
      <c r="B48" s="328" t="s">
        <v>1436</v>
      </c>
      <c r="C48" s="1285" t="s">
        <v>383</v>
      </c>
      <c r="D48" s="1897"/>
      <c r="E48" s="1280"/>
    </row>
    <row r="49" spans="1:6" ht="14.25" customHeight="1" x14ac:dyDescent="0.2">
      <c r="A49" s="328"/>
      <c r="B49" s="328" t="s">
        <v>1437</v>
      </c>
      <c r="C49" s="1285" t="s">
        <v>383</v>
      </c>
      <c r="D49" s="1897"/>
      <c r="E49" s="1280"/>
    </row>
    <row r="50" spans="1:6" ht="14.25" customHeight="1" x14ac:dyDescent="0.2">
      <c r="A50" s="328"/>
      <c r="B50" s="328" t="s">
        <v>1438</v>
      </c>
      <c r="C50" s="1285" t="s">
        <v>383</v>
      </c>
      <c r="D50" s="1897"/>
      <c r="E50" s="1280"/>
    </row>
    <row r="51" spans="1:6" ht="14.25" customHeight="1" x14ac:dyDescent="0.2">
      <c r="A51" s="328" t="s">
        <v>1439</v>
      </c>
      <c r="B51" s="328"/>
      <c r="C51" s="1895" t="s">
        <v>383</v>
      </c>
      <c r="D51" s="1897"/>
      <c r="E51" s="1280"/>
    </row>
    <row r="52" spans="1:6" ht="14.25" customHeight="1" x14ac:dyDescent="0.2">
      <c r="A52" s="328" t="s">
        <v>1440</v>
      </c>
      <c r="B52" s="328"/>
      <c r="C52" s="1286" t="s">
        <v>572</v>
      </c>
      <c r="D52" s="1897"/>
      <c r="E52" s="1280"/>
    </row>
    <row r="53" spans="1:6" ht="14.25" customHeight="1" x14ac:dyDescent="0.2">
      <c r="A53" s="328"/>
      <c r="B53" s="328"/>
      <c r="C53" s="1898" t="s">
        <v>1441</v>
      </c>
      <c r="D53" s="1897"/>
      <c r="E53" s="1280"/>
    </row>
    <row r="54" spans="1:6" ht="13.5" customHeight="1" x14ac:dyDescent="0.2">
      <c r="B54" s="322"/>
      <c r="C54" s="1287"/>
      <c r="D54" s="1287"/>
    </row>
    <row r="55" spans="1:6" x14ac:dyDescent="0.2">
      <c r="A55" s="1288" t="s">
        <v>1729</v>
      </c>
      <c r="C55" s="317"/>
      <c r="D55" s="317"/>
    </row>
    <row r="56" spans="1:6" s="322" customFormat="1" ht="11.25" customHeight="1" x14ac:dyDescent="0.2">
      <c r="A56" s="1289"/>
      <c r="B56" s="1290"/>
      <c r="C56" s="1290"/>
      <c r="D56" s="1290"/>
      <c r="E56" s="1290"/>
      <c r="F56" s="1290"/>
    </row>
    <row r="57" spans="1:6" s="322" customFormat="1" ht="6" customHeight="1" x14ac:dyDescent="0.2">
      <c r="A57" s="1291"/>
    </row>
    <row r="58" spans="1:6" s="1293" customFormat="1" ht="23.25" customHeight="1" x14ac:dyDescent="0.2">
      <c r="A58" s="1292">
        <v>5</v>
      </c>
      <c r="B58" s="2584" t="s">
        <v>1589</v>
      </c>
      <c r="C58" s="2584"/>
      <c r="D58" s="2584"/>
      <c r="E58" s="1392"/>
    </row>
    <row r="59" spans="1:6" s="1293" customFormat="1" ht="3.75" customHeight="1" x14ac:dyDescent="0.2">
      <c r="A59" s="1292"/>
      <c r="B59" s="1933"/>
      <c r="C59" s="1933"/>
      <c r="D59" s="1933"/>
      <c r="E59" s="1392"/>
    </row>
    <row r="60" spans="1:6" s="1293" customFormat="1" ht="20.25" customHeight="1" x14ac:dyDescent="0.2">
      <c r="A60" s="1294">
        <v>6</v>
      </c>
      <c r="B60" s="2585" t="s">
        <v>1550</v>
      </c>
      <c r="C60" s="2585"/>
      <c r="D60" s="2585"/>
    </row>
    <row r="61" spans="1:6" ht="14.25" customHeight="1" x14ac:dyDescent="0.2">
      <c r="A61" s="1294"/>
      <c r="B61" s="2585"/>
      <c r="C61" s="2585"/>
      <c r="D61" s="2585"/>
    </row>
  </sheetData>
  <mergeCells count="28">
    <mergeCell ref="A41:F43"/>
    <mergeCell ref="B58:D58"/>
    <mergeCell ref="B60:D60"/>
    <mergeCell ref="B61:D61"/>
    <mergeCell ref="D27:F27"/>
    <mergeCell ref="D28:F28"/>
    <mergeCell ref="D29:F29"/>
    <mergeCell ref="A32:F32"/>
    <mergeCell ref="E34:F34"/>
    <mergeCell ref="A37:F38"/>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52" right="0.27" top="0.43" bottom="0" header="0.26" footer="0.5"/>
  <pageSetup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1" t="s">
        <v>2071</v>
      </c>
      <c r="C1" s="2602"/>
      <c r="D1" s="2602"/>
      <c r="E1" s="2602"/>
      <c r="F1" s="2602"/>
      <c r="G1" s="2602"/>
      <c r="H1" s="2602"/>
      <c r="I1" s="2602"/>
      <c r="J1" s="1402"/>
    </row>
    <row r="2" spans="2:10" s="317" customFormat="1" ht="12.75" customHeight="1" x14ac:dyDescent="0.2">
      <c r="B2" s="2603" t="s">
        <v>2069</v>
      </c>
      <c r="C2" s="2604"/>
      <c r="D2" s="2604"/>
      <c r="E2" s="2604"/>
      <c r="F2" s="2604"/>
      <c r="G2" s="2604"/>
      <c r="H2" s="2604"/>
      <c r="I2" s="2604"/>
      <c r="J2" s="1402"/>
    </row>
    <row r="3" spans="2:10" s="317" customFormat="1" ht="12.75" customHeight="1" x14ac:dyDescent="0.2">
      <c r="B3" s="2605" t="s">
        <v>1285</v>
      </c>
      <c r="C3" s="2606"/>
      <c r="D3" s="2606"/>
      <c r="E3" s="2606"/>
      <c r="F3" s="2606"/>
      <c r="G3" s="2606"/>
      <c r="H3" s="2606"/>
      <c r="I3" s="2606"/>
      <c r="J3" s="1403"/>
    </row>
    <row r="4" spans="2:10" s="317" customFormat="1" ht="12.75" customHeight="1" x14ac:dyDescent="0.2">
      <c r="B4" s="2605" t="s">
        <v>1985</v>
      </c>
      <c r="C4" s="2606"/>
      <c r="D4" s="2606"/>
      <c r="E4" s="2606"/>
      <c r="F4" s="2606"/>
      <c r="G4" s="2606"/>
      <c r="H4" s="2606"/>
      <c r="I4" s="2606"/>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605" t="s">
        <v>1284</v>
      </c>
      <c r="C7" s="2606"/>
      <c r="D7" s="2606"/>
      <c r="E7" s="2606"/>
      <c r="F7" s="2606"/>
      <c r="G7" s="2606"/>
      <c r="H7" s="2606"/>
      <c r="I7" s="260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2"/>
    </row>
    <row r="11" spans="2:10" s="317" customFormat="1" ht="13.5" customHeight="1" x14ac:dyDescent="0.2">
      <c r="B11" s="1342" t="s">
        <v>1282</v>
      </c>
      <c r="C11" s="2607" t="s">
        <v>1164</v>
      </c>
      <c r="D11" s="2607"/>
      <c r="E11" s="1412"/>
      <c r="F11" s="1412"/>
      <c r="G11" s="1412"/>
    </row>
    <row r="12" spans="2:10" s="317" customFormat="1" ht="11.45" customHeight="1" x14ac:dyDescent="0.2">
      <c r="B12" s="1350"/>
      <c r="C12" s="1413" t="s">
        <v>1442</v>
      </c>
      <c r="D12" s="1414"/>
      <c r="E12" s="1252"/>
    </row>
    <row r="13" spans="2:10" s="317" customFormat="1" ht="12.75" customHeight="1" x14ac:dyDescent="0.2">
      <c r="B13" s="1415"/>
      <c r="C13" s="1380"/>
      <c r="D13" s="1380"/>
      <c r="E13" s="1252"/>
    </row>
    <row r="14" spans="2:10" s="317" customFormat="1" ht="12.75" customHeight="1" x14ac:dyDescent="0.2">
      <c r="B14" s="1361" t="s">
        <v>1281</v>
      </c>
      <c r="C14" s="1276"/>
      <c r="E14" s="1252"/>
    </row>
    <row r="15" spans="2:10" s="317" customFormat="1" ht="13.5" customHeight="1" x14ac:dyDescent="0.2">
      <c r="B15" s="1416" t="s">
        <v>1278</v>
      </c>
      <c r="C15" s="1417"/>
      <c r="D15" s="1391"/>
      <c r="E15" s="1418"/>
      <c r="F15" s="1293" t="s">
        <v>885</v>
      </c>
      <c r="G15" s="1418" t="s">
        <v>2066</v>
      </c>
      <c r="H15" s="1293" t="s">
        <v>1276</v>
      </c>
      <c r="I15" s="1293"/>
    </row>
    <row r="16" spans="2:10" s="317" customFormat="1" ht="8.4499999999999993" customHeight="1" x14ac:dyDescent="0.2">
      <c r="B16" s="1361"/>
      <c r="C16" s="1276"/>
      <c r="E16" s="1376"/>
      <c r="F16" s="1293"/>
      <c r="G16" s="322"/>
      <c r="H16" s="1293"/>
      <c r="I16" s="1293"/>
    </row>
    <row r="17" spans="2:9" s="317" customFormat="1" ht="13.5" customHeight="1" x14ac:dyDescent="0.2">
      <c r="B17" s="1416" t="s">
        <v>1277</v>
      </c>
      <c r="C17" s="1417"/>
      <c r="D17" s="1391"/>
      <c r="E17" s="1419"/>
      <c r="F17" s="1251"/>
      <c r="G17" s="1419"/>
      <c r="H17" s="1293"/>
      <c r="I17" s="1293"/>
    </row>
    <row r="18" spans="2:9" s="317" customFormat="1" ht="12.75" customHeight="1" x14ac:dyDescent="0.2">
      <c r="B18" s="1416" t="s">
        <v>1443</v>
      </c>
      <c r="C18" s="1417"/>
      <c r="D18" s="1391"/>
      <c r="E18" s="1418"/>
      <c r="F18" s="1293" t="s">
        <v>885</v>
      </c>
      <c r="G18" s="1418" t="s">
        <v>2066</v>
      </c>
      <c r="H18" s="1293" t="s">
        <v>1276</v>
      </c>
      <c r="I18" s="1293"/>
    </row>
    <row r="19" spans="2:9" s="317" customFormat="1" ht="8.4499999999999993" customHeight="1" x14ac:dyDescent="0.2">
      <c r="B19" s="1361"/>
      <c r="C19" s="1276"/>
      <c r="E19" s="1376"/>
      <c r="F19" s="1293"/>
      <c r="G19" s="322"/>
      <c r="H19" s="1293"/>
      <c r="I19" s="1293"/>
    </row>
    <row r="20" spans="2:9" s="317" customFormat="1" ht="13.5" customHeight="1" x14ac:dyDescent="0.2">
      <c r="B20" s="1416" t="s">
        <v>1590</v>
      </c>
      <c r="C20" s="1417"/>
      <c r="D20" s="1391"/>
      <c r="E20" s="1418"/>
      <c r="F20" s="1293" t="s">
        <v>885</v>
      </c>
      <c r="G20" s="1418" t="s">
        <v>2066</v>
      </c>
      <c r="H20" s="1293" t="s">
        <v>99</v>
      </c>
      <c r="I20" s="1293"/>
    </row>
    <row r="21" spans="2:9" s="317" customFormat="1" ht="12.75" customHeight="1" x14ac:dyDescent="0.2">
      <c r="B21" s="1361"/>
      <c r="C21" s="1276"/>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6"/>
      <c r="E23" s="1376"/>
      <c r="F23" s="1293"/>
      <c r="G23" s="322"/>
      <c r="H23" s="1293"/>
      <c r="I23" s="1293"/>
    </row>
    <row r="24" spans="2:9" s="317" customFormat="1" ht="13.5" customHeight="1" x14ac:dyDescent="0.2">
      <c r="B24" s="1416" t="s">
        <v>1278</v>
      </c>
      <c r="C24" s="1417"/>
      <c r="D24" s="1391"/>
      <c r="E24" s="1418" t="s">
        <v>2066</v>
      </c>
      <c r="F24" s="1293" t="s">
        <v>885</v>
      </c>
      <c r="G24" s="1418"/>
      <c r="H24" s="1293" t="s">
        <v>1276</v>
      </c>
      <c r="I24" s="1293"/>
    </row>
    <row r="25" spans="2:9" s="317" customFormat="1" ht="8.4499999999999993" customHeight="1" x14ac:dyDescent="0.2">
      <c r="B25" s="1361"/>
      <c r="C25" s="1276"/>
      <c r="E25" s="1376"/>
      <c r="F25" s="1293"/>
      <c r="G25" s="322"/>
      <c r="H25" s="1293"/>
      <c r="I25" s="1293"/>
    </row>
    <row r="26" spans="2:9" s="317" customFormat="1" ht="13.5" customHeight="1" x14ac:dyDescent="0.2">
      <c r="B26" s="1416" t="s">
        <v>1277</v>
      </c>
      <c r="C26" s="1417"/>
      <c r="D26" s="1391"/>
      <c r="E26" s="1419"/>
      <c r="F26" s="1251"/>
      <c r="G26" s="1419"/>
      <c r="H26" s="1293"/>
      <c r="I26" s="1293"/>
    </row>
    <row r="27" spans="2:9" s="317" customFormat="1" ht="12.75" customHeight="1" x14ac:dyDescent="0.2">
      <c r="B27" s="1416" t="s">
        <v>1443</v>
      </c>
      <c r="C27" s="1417"/>
      <c r="D27" s="1391"/>
      <c r="E27" s="1418"/>
      <c r="F27" s="1293" t="s">
        <v>885</v>
      </c>
      <c r="G27" s="1418" t="s">
        <v>2066</v>
      </c>
      <c r="H27" s="1293" t="s">
        <v>1276</v>
      </c>
      <c r="I27" s="1293"/>
    </row>
    <row r="28" spans="2:9" s="317" customFormat="1" ht="12.75" customHeight="1" x14ac:dyDescent="0.2">
      <c r="B28" s="1361"/>
      <c r="C28" s="1276"/>
      <c r="E28" s="1252"/>
    </row>
    <row r="29" spans="2:9" s="317" customFormat="1" ht="12.75" customHeight="1" x14ac:dyDescent="0.2">
      <c r="B29" s="1361" t="s">
        <v>1275</v>
      </c>
      <c r="C29" s="1276"/>
      <c r="D29" s="2608" t="s">
        <v>2237</v>
      </c>
      <c r="E29" s="2608"/>
      <c r="F29" s="2608"/>
      <c r="G29" s="2608"/>
      <c r="H29" s="2608"/>
      <c r="I29" s="2608"/>
    </row>
    <row r="30" spans="2:9" s="317" customFormat="1" x14ac:dyDescent="0.2">
      <c r="B30" s="1361"/>
      <c r="C30" s="322"/>
      <c r="D30" s="1413" t="s">
        <v>1744</v>
      </c>
      <c r="E30" s="1414"/>
      <c r="F30" s="1414"/>
      <c r="G30" s="1414"/>
      <c r="H30" s="1414"/>
      <c r="I30" s="1414"/>
    </row>
    <row r="31" spans="2:9" s="317" customFormat="1" ht="9.9499999999999993" customHeight="1" x14ac:dyDescent="0.2">
      <c r="B31" s="1361"/>
      <c r="E31" s="1252"/>
    </row>
    <row r="32" spans="2:9" s="317" customFormat="1" x14ac:dyDescent="0.2">
      <c r="B32" s="1361" t="s">
        <v>1274</v>
      </c>
      <c r="C32" s="1276"/>
      <c r="E32" s="1252"/>
    </row>
    <row r="33" spans="2:9" ht="13.5" customHeight="1" x14ac:dyDescent="0.2">
      <c r="B33" s="1361" t="s">
        <v>1551</v>
      </c>
      <c r="C33" s="1276"/>
      <c r="E33" s="1418" t="s">
        <v>2066</v>
      </c>
      <c r="F33" s="1293" t="s">
        <v>885</v>
      </c>
      <c r="G33" s="1418"/>
      <c r="H33" s="1293" t="s">
        <v>99</v>
      </c>
    </row>
    <row r="35" spans="2:9" x14ac:dyDescent="0.2">
      <c r="B35" s="1421" t="s">
        <v>1745</v>
      </c>
      <c r="C35" s="1422"/>
      <c r="D35" s="1261"/>
    </row>
    <row r="36" spans="2:9" ht="6" customHeight="1" x14ac:dyDescent="0.2">
      <c r="B36" s="1421"/>
      <c r="C36" s="1422"/>
      <c r="D36" s="1261"/>
    </row>
    <row r="37" spans="2:9" ht="17.25" customHeight="1" x14ac:dyDescent="0.2">
      <c r="B37" s="1423" t="s">
        <v>1746</v>
      </c>
      <c r="C37" s="2609" t="s">
        <v>1747</v>
      </c>
      <c r="D37" s="2610"/>
      <c r="E37" s="2610"/>
      <c r="F37" s="2611"/>
      <c r="G37" s="2609" t="s">
        <v>1591</v>
      </c>
      <c r="H37" s="2610"/>
      <c r="I37" s="2611"/>
    </row>
    <row r="38" spans="2:9" ht="16.5" customHeight="1" x14ac:dyDescent="0.2">
      <c r="B38" s="1424" t="s">
        <v>2238</v>
      </c>
      <c r="C38" s="2597" t="s">
        <v>2239</v>
      </c>
      <c r="D38" s="2598"/>
      <c r="E38" s="2598"/>
      <c r="F38" s="2599"/>
      <c r="G38" s="2612">
        <v>475360</v>
      </c>
      <c r="H38" s="2613"/>
      <c r="I38" s="2614"/>
    </row>
    <row r="39" spans="2:9" ht="16.5" hidden="1" customHeight="1" x14ac:dyDescent="0.2">
      <c r="B39" s="1424"/>
      <c r="C39" s="2597"/>
      <c r="D39" s="2598"/>
      <c r="E39" s="2598"/>
      <c r="F39" s="2599"/>
      <c r="G39" s="2600"/>
      <c r="H39" s="2600"/>
      <c r="I39" s="2600"/>
    </row>
    <row r="40" spans="2:9" ht="16.5" hidden="1" customHeight="1" x14ac:dyDescent="0.2">
      <c r="B40" s="1424"/>
      <c r="C40" s="2597"/>
      <c r="D40" s="2598"/>
      <c r="E40" s="2598"/>
      <c r="F40" s="2599"/>
      <c r="G40" s="2600"/>
      <c r="H40" s="2600"/>
      <c r="I40" s="2600"/>
    </row>
    <row r="41" spans="2:9" ht="16.5" hidden="1" customHeight="1" x14ac:dyDescent="0.2">
      <c r="B41" s="1424"/>
      <c r="C41" s="2597"/>
      <c r="D41" s="2598"/>
      <c r="E41" s="2598"/>
      <c r="F41" s="2599"/>
      <c r="G41" s="2600"/>
      <c r="H41" s="2600"/>
      <c r="I41" s="2600"/>
    </row>
    <row r="42" spans="2:9" ht="16.5" customHeight="1" x14ac:dyDescent="0.2">
      <c r="B42" s="1424"/>
      <c r="C42" s="2597"/>
      <c r="D42" s="2598"/>
      <c r="E42" s="2598"/>
      <c r="F42" s="2599"/>
      <c r="G42" s="2600"/>
      <c r="H42" s="2600"/>
      <c r="I42" s="2600"/>
    </row>
    <row r="43" spans="2:9" ht="16.5" customHeight="1" x14ac:dyDescent="0.2">
      <c r="B43" s="1424"/>
      <c r="C43" s="2590" t="s">
        <v>1592</v>
      </c>
      <c r="D43" s="2591"/>
      <c r="E43" s="2591"/>
      <c r="F43" s="2592"/>
      <c r="G43" s="2593">
        <f>SUM(G38:I42)</f>
        <v>475360</v>
      </c>
      <c r="H43" s="2593"/>
      <c r="I43" s="2593"/>
    </row>
    <row r="44" spans="2:9" ht="12.75" customHeight="1" x14ac:dyDescent="0.2"/>
    <row r="45" spans="2:9" ht="12.75" customHeight="1" x14ac:dyDescent="0.2">
      <c r="B45" s="1415" t="s">
        <v>2240</v>
      </c>
      <c r="D45" s="2594">
        <v>911845</v>
      </c>
      <c r="E45" s="2595"/>
    </row>
    <row r="46" spans="2:9" ht="5.25" customHeight="1" x14ac:dyDescent="0.2">
      <c r="B46" s="1425"/>
      <c r="D46" s="1426"/>
      <c r="E46" s="1427"/>
    </row>
    <row r="47" spans="2:9" ht="12.75" customHeight="1" x14ac:dyDescent="0.2">
      <c r="B47" s="1293" t="s">
        <v>1593</v>
      </c>
      <c r="C47" s="1293"/>
      <c r="D47" s="1428">
        <f>+G43/D45</f>
        <v>0.52131667114476687</v>
      </c>
      <c r="E47" s="1429"/>
      <c r="F47" s="1430"/>
      <c r="I47" s="1431"/>
    </row>
    <row r="48" spans="2:9" ht="9.9499999999999993" customHeight="1" x14ac:dyDescent="0.2"/>
    <row r="49" spans="1:9" x14ac:dyDescent="0.2">
      <c r="B49" s="1361" t="s">
        <v>1273</v>
      </c>
      <c r="C49" s="1276"/>
      <c r="D49" s="1276"/>
      <c r="E49" s="2596">
        <v>750000</v>
      </c>
      <c r="F49" s="2596"/>
      <c r="G49" s="2596"/>
      <c r="H49" s="322"/>
    </row>
    <row r="51" spans="1:9" ht="13.5" customHeight="1" x14ac:dyDescent="0.2">
      <c r="B51" s="1361" t="s">
        <v>1272</v>
      </c>
      <c r="C51" s="1276"/>
      <c r="E51" s="1418"/>
      <c r="F51" s="1293" t="s">
        <v>885</v>
      </c>
      <c r="G51" s="1418" t="s">
        <v>2066</v>
      </c>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1748</v>
      </c>
      <c r="C54" s="1440"/>
      <c r="D54" s="1440"/>
    </row>
    <row r="55" spans="1:9" s="1441" customFormat="1" ht="12.75" customHeight="1" x14ac:dyDescent="0.2">
      <c r="A55" s="1438"/>
      <c r="B55" s="1442" t="s">
        <v>1594</v>
      </c>
      <c r="C55" s="1438"/>
      <c r="D55" s="1438"/>
    </row>
    <row r="56" spans="1:9" s="1441" customFormat="1" ht="12.75" customHeight="1" x14ac:dyDescent="0.2">
      <c r="A56" s="1438"/>
      <c r="B56" s="1442" t="s">
        <v>1595</v>
      </c>
      <c r="C56" s="1438"/>
      <c r="D56" s="1438"/>
    </row>
    <row r="57" spans="1:9" s="1441" customFormat="1" ht="3.95" customHeight="1" x14ac:dyDescent="0.2">
      <c r="A57" s="1438"/>
      <c r="B57" s="1442"/>
      <c r="C57" s="1438"/>
      <c r="D57" s="1438"/>
    </row>
    <row r="58" spans="1:9" s="1441" customFormat="1" ht="13.5" customHeight="1" x14ac:dyDescent="0.2">
      <c r="A58" s="1438"/>
      <c r="B58" s="1443" t="s">
        <v>1749</v>
      </c>
      <c r="C58" s="1444"/>
      <c r="D58" s="1444"/>
    </row>
    <row r="59" spans="1:9" s="1441" customFormat="1" ht="3.95" customHeight="1" x14ac:dyDescent="0.2">
      <c r="A59" s="1438"/>
      <c r="B59" s="1443"/>
      <c r="C59" s="1444"/>
      <c r="D59" s="1444"/>
    </row>
    <row r="60" spans="1:9" s="1441" customFormat="1" ht="13.5" customHeight="1" x14ac:dyDescent="0.2">
      <c r="A60" s="1438"/>
      <c r="B60" s="1443" t="s">
        <v>1750</v>
      </c>
      <c r="C60" s="1444"/>
      <c r="D60" s="1444"/>
    </row>
    <row r="61" spans="1:9" s="1441" customFormat="1" ht="3.95" customHeight="1" x14ac:dyDescent="0.2">
      <c r="A61" s="1438"/>
      <c r="B61" s="1443"/>
      <c r="C61" s="1444"/>
      <c r="D61" s="1444"/>
    </row>
    <row r="62" spans="1:9" s="1441" customFormat="1" ht="12.75" customHeight="1" x14ac:dyDescent="0.2">
      <c r="A62" s="1438"/>
      <c r="B62" s="1443" t="s">
        <v>1751</v>
      </c>
      <c r="C62" s="1444"/>
      <c r="D62" s="1444"/>
    </row>
    <row r="63" spans="1:9" s="1441" customFormat="1" ht="13.5" customHeight="1" x14ac:dyDescent="0.2">
      <c r="A63" s="1438"/>
      <c r="B63" s="1442" t="s">
        <v>1596</v>
      </c>
      <c r="C63" s="1438"/>
      <c r="D63" s="143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1" t="str">
        <f>'Single Audit Cover'!A7</f>
        <v>Geneseo CUSD 228</v>
      </c>
      <c r="C1" s="2601"/>
      <c r="D1" s="2601"/>
      <c r="E1" s="2601"/>
      <c r="F1" s="2601"/>
      <c r="G1" s="2601"/>
      <c r="H1" s="2601"/>
      <c r="I1" s="2601"/>
      <c r="J1" s="2601"/>
      <c r="K1" s="2601"/>
      <c r="L1" s="1367"/>
      <c r="M1" s="1367"/>
    </row>
    <row r="2" spans="1:13" ht="12" customHeight="1" x14ac:dyDescent="0.2">
      <c r="B2" s="2603">
        <f>'Single Audit Cover'!E7</f>
        <v>28037228026</v>
      </c>
      <c r="C2" s="2603"/>
      <c r="D2" s="2603"/>
      <c r="E2" s="2603"/>
      <c r="F2" s="2603"/>
      <c r="G2" s="2603"/>
      <c r="H2" s="2603"/>
      <c r="I2" s="2603"/>
      <c r="J2" s="2603"/>
      <c r="K2" s="2603"/>
      <c r="L2" s="1368"/>
      <c r="M2" s="1369"/>
    </row>
    <row r="3" spans="1:13" ht="10.35" customHeight="1" x14ac:dyDescent="0.2">
      <c r="B3" s="2617" t="s">
        <v>1285</v>
      </c>
      <c r="C3" s="2617"/>
      <c r="D3" s="2617"/>
      <c r="E3" s="2617"/>
      <c r="F3" s="2617"/>
      <c r="G3" s="2617"/>
      <c r="H3" s="2617"/>
      <c r="I3" s="2617"/>
      <c r="J3" s="2617"/>
      <c r="K3" s="2617"/>
      <c r="L3" s="1370"/>
      <c r="M3" s="1370"/>
    </row>
    <row r="4" spans="1:13" ht="14.25" customHeight="1" x14ac:dyDescent="0.2">
      <c r="B4" s="2618" t="str">
        <f>'Single Audit Cover'!A4</f>
        <v>Year Ending June 30, 2019</v>
      </c>
      <c r="C4" s="2618"/>
      <c r="D4" s="2618"/>
      <c r="E4" s="2618"/>
      <c r="F4" s="2618"/>
      <c r="G4" s="2618"/>
      <c r="H4" s="2618"/>
      <c r="I4" s="2618"/>
      <c r="J4" s="2618"/>
      <c r="K4" s="2618"/>
      <c r="L4" s="313"/>
      <c r="M4" s="313"/>
    </row>
    <row r="5" spans="1:13" ht="7.5" customHeight="1" x14ac:dyDescent="0.2">
      <c r="B5" s="1254" t="s">
        <v>1169</v>
      </c>
      <c r="C5" s="1254"/>
    </row>
    <row r="6" spans="1:13" ht="7.5" customHeight="1" x14ac:dyDescent="0.2">
      <c r="B6" s="1371"/>
      <c r="C6" s="1371"/>
      <c r="D6" s="1372"/>
      <c r="E6" s="1372"/>
      <c r="F6" s="1372"/>
      <c r="G6" s="1373"/>
      <c r="H6" s="1372"/>
      <c r="I6" s="1373"/>
      <c r="J6" s="1372"/>
      <c r="K6" s="1372"/>
      <c r="L6" s="1374"/>
    </row>
    <row r="7" spans="1:13" ht="12.75" customHeight="1" x14ac:dyDescent="0.2">
      <c r="A7" s="1276"/>
      <c r="B7" s="2618" t="s">
        <v>1296</v>
      </c>
      <c r="C7" s="2618"/>
      <c r="D7" s="2619"/>
      <c r="E7" s="2619"/>
      <c r="F7" s="2619"/>
      <c r="G7" s="2619"/>
      <c r="H7" s="2619"/>
      <c r="I7" s="2619"/>
      <c r="J7" s="2619"/>
      <c r="K7" s="2619"/>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1738</v>
      </c>
      <c r="C10" s="1378" t="s">
        <v>1987</v>
      </c>
      <c r="D10" s="1379" t="s">
        <v>2128</v>
      </c>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6" customFormat="1" ht="13.5" customHeight="1" x14ac:dyDescent="0.2">
      <c r="B13" s="1386" t="s">
        <v>1291</v>
      </c>
      <c r="C13" s="1386"/>
      <c r="D13" s="1387"/>
      <c r="E13" s="1387"/>
      <c r="F13" s="1387"/>
      <c r="G13" s="1388"/>
      <c r="H13" s="1387"/>
      <c r="I13" s="1388"/>
      <c r="J13" s="1387"/>
      <c r="K13" s="1387"/>
      <c r="L13" s="1389"/>
    </row>
    <row r="14" spans="1:13" ht="45.75" customHeight="1" x14ac:dyDescent="0.2">
      <c r="B14" s="2616"/>
      <c r="C14" s="2616"/>
      <c r="D14" s="2616"/>
      <c r="E14" s="2616"/>
      <c r="F14" s="2616"/>
      <c r="G14" s="2616"/>
      <c r="H14" s="2616"/>
      <c r="I14" s="2616"/>
      <c r="J14" s="2616"/>
      <c r="K14" s="2616"/>
      <c r="L14" s="1390"/>
    </row>
    <row r="15" spans="1:13" ht="4.5" customHeight="1" x14ac:dyDescent="0.2">
      <c r="B15" s="1391"/>
      <c r="C15" s="1391"/>
      <c r="D15" s="1392"/>
      <c r="E15" s="1392"/>
      <c r="F15" s="1392"/>
      <c r="H15" s="1392"/>
      <c r="J15" s="1392"/>
      <c r="K15" s="1392"/>
      <c r="L15" s="1390"/>
    </row>
    <row r="16" spans="1:13" s="1276" customFormat="1" ht="13.5" customHeight="1" x14ac:dyDescent="0.2">
      <c r="B16" s="1386" t="s">
        <v>1290</v>
      </c>
      <c r="C16" s="1386"/>
      <c r="D16" s="1387"/>
      <c r="E16" s="1387"/>
      <c r="F16" s="1387"/>
      <c r="G16" s="1388"/>
      <c r="H16" s="1387"/>
      <c r="I16" s="1388"/>
      <c r="J16" s="1387"/>
      <c r="K16" s="1387"/>
      <c r="L16" s="1389"/>
    </row>
    <row r="17" spans="2:12" ht="45.75" customHeight="1" x14ac:dyDescent="0.2">
      <c r="B17" s="2616"/>
      <c r="C17" s="2616"/>
      <c r="D17" s="2616"/>
      <c r="E17" s="2616"/>
      <c r="F17" s="2616"/>
      <c r="G17" s="2616"/>
      <c r="H17" s="2616"/>
      <c r="I17" s="2616"/>
      <c r="J17" s="2616"/>
      <c r="K17" s="2616"/>
      <c r="L17" s="1374"/>
    </row>
    <row r="18" spans="2:12" ht="4.5" customHeight="1" x14ac:dyDescent="0.2">
      <c r="B18" s="1391"/>
      <c r="C18" s="1391"/>
      <c r="L18" s="1374"/>
    </row>
    <row r="19" spans="2:12" s="1276" customFormat="1" ht="13.5" customHeight="1" x14ac:dyDescent="0.2">
      <c r="B19" s="1386" t="s">
        <v>1739</v>
      </c>
      <c r="C19" s="1386"/>
      <c r="D19" s="1387"/>
      <c r="E19" s="1387"/>
      <c r="F19" s="1387"/>
      <c r="G19" s="1388"/>
      <c r="H19" s="1387"/>
      <c r="I19" s="1388"/>
      <c r="J19" s="1387"/>
      <c r="K19" s="1387"/>
      <c r="L19" s="1389"/>
    </row>
    <row r="20" spans="2:12" ht="45.75" customHeight="1" x14ac:dyDescent="0.2">
      <c r="B20" s="2620"/>
      <c r="C20" s="2620"/>
      <c r="D20" s="2616"/>
      <c r="E20" s="2616"/>
      <c r="F20" s="2616"/>
      <c r="G20" s="2616"/>
      <c r="H20" s="2616"/>
      <c r="I20" s="2616"/>
      <c r="J20" s="2616"/>
      <c r="K20" s="2616"/>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616"/>
      <c r="C23" s="2616"/>
      <c r="D23" s="2616"/>
      <c r="E23" s="2616"/>
      <c r="F23" s="2616"/>
      <c r="G23" s="2616"/>
      <c r="H23" s="2616"/>
      <c r="I23" s="2616"/>
      <c r="J23" s="2616"/>
      <c r="K23" s="2616"/>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616"/>
      <c r="C26" s="2616"/>
      <c r="D26" s="2616"/>
      <c r="E26" s="2616"/>
      <c r="F26" s="2616"/>
      <c r="G26" s="2616"/>
      <c r="H26" s="2616"/>
      <c r="I26" s="2616"/>
      <c r="J26" s="2616"/>
      <c r="K26" s="2616"/>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615"/>
      <c r="C29" s="2615"/>
      <c r="D29" s="2616"/>
      <c r="E29" s="2616"/>
      <c r="F29" s="2616"/>
      <c r="G29" s="2616"/>
      <c r="H29" s="2616"/>
      <c r="I29" s="2616"/>
      <c r="J29" s="2616"/>
      <c r="K29" s="2616"/>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1740</v>
      </c>
      <c r="C31" s="1396"/>
      <c r="D31" s="1371"/>
      <c r="E31" s="1372"/>
      <c r="F31" s="1372"/>
      <c r="G31" s="1373"/>
      <c r="H31" s="1372"/>
      <c r="I31" s="1373"/>
      <c r="J31" s="1372"/>
      <c r="K31" s="1372"/>
      <c r="L31" s="1374"/>
    </row>
    <row r="32" spans="2:12" s="322" customFormat="1" ht="44.25" customHeight="1" x14ac:dyDescent="0.2">
      <c r="B32" s="2615"/>
      <c r="C32" s="2615"/>
      <c r="D32" s="2616"/>
      <c r="E32" s="2616"/>
      <c r="F32" s="2616"/>
      <c r="G32" s="2616"/>
      <c r="H32" s="2616"/>
      <c r="I32" s="2616"/>
      <c r="J32" s="2616"/>
      <c r="K32" s="2616"/>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1741</v>
      </c>
      <c r="C35" s="1399"/>
      <c r="D35" s="322"/>
      <c r="E35" s="322"/>
      <c r="F35" s="322"/>
      <c r="L35" s="1374"/>
    </row>
    <row r="36" spans="1:13" ht="9.6" customHeight="1" x14ac:dyDescent="0.2">
      <c r="B36" s="1293" t="s">
        <v>1838</v>
      </c>
      <c r="C36" s="1293"/>
      <c r="L36" s="1374"/>
    </row>
    <row r="37" spans="1:13" ht="9.6" customHeight="1" x14ac:dyDescent="0.2">
      <c r="B37" s="1293" t="s">
        <v>1839</v>
      </c>
      <c r="C37" s="1293"/>
    </row>
    <row r="38" spans="1:13" ht="11.85" customHeight="1" x14ac:dyDescent="0.2">
      <c r="B38" s="1400" t="s">
        <v>1742</v>
      </c>
      <c r="C38" s="1400"/>
    </row>
    <row r="39" spans="1:13" ht="9.6" customHeight="1" x14ac:dyDescent="0.2">
      <c r="B39" s="1293" t="s">
        <v>1286</v>
      </c>
      <c r="C39" s="1293"/>
      <c r="M39" s="1401"/>
    </row>
    <row r="40" spans="1:13" ht="12.6" customHeight="1" x14ac:dyDescent="0.2">
      <c r="B40" s="1400" t="s">
        <v>1743</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21" t="str">
        <f>'Single Audit Cover'!A7</f>
        <v>Geneseo CUSD 228</v>
      </c>
      <c r="C1" s="2621"/>
      <c r="D1" s="2621"/>
      <c r="E1" s="2621"/>
      <c r="F1" s="2621"/>
      <c r="G1" s="2621"/>
      <c r="H1" s="2621"/>
      <c r="I1" s="2621"/>
      <c r="J1" s="2621"/>
      <c r="K1" s="2621"/>
      <c r="L1" s="1445"/>
    </row>
    <row r="2" spans="1:12" ht="12.75" customHeight="1" x14ac:dyDescent="0.2">
      <c r="B2" s="2622">
        <f>'Single Audit Cover'!E7</f>
        <v>28037228026</v>
      </c>
      <c r="C2" s="2622"/>
      <c r="D2" s="2622"/>
      <c r="E2" s="2622"/>
      <c r="F2" s="2622"/>
      <c r="G2" s="2622"/>
      <c r="H2" s="2622"/>
      <c r="I2" s="2622"/>
      <c r="J2" s="2622"/>
      <c r="K2" s="2622"/>
      <c r="L2" s="1446"/>
    </row>
    <row r="3" spans="1:12" ht="12.75" customHeight="1" x14ac:dyDescent="0.2">
      <c r="B3" s="2617" t="s">
        <v>1285</v>
      </c>
      <c r="C3" s="2617"/>
      <c r="D3" s="2617"/>
      <c r="E3" s="2617"/>
      <c r="F3" s="2617"/>
      <c r="G3" s="2617"/>
      <c r="H3" s="2617"/>
      <c r="I3" s="2617"/>
      <c r="J3" s="2617"/>
      <c r="K3" s="2617"/>
      <c r="L3" s="1370"/>
    </row>
    <row r="4" spans="1:12" ht="12.75" customHeight="1" x14ac:dyDescent="0.2">
      <c r="B4" s="2617" t="str">
        <f>'Single Audit Cover'!A4</f>
        <v>Year Ending June 30, 2019</v>
      </c>
      <c r="C4" s="2617"/>
      <c r="D4" s="2617"/>
      <c r="E4" s="2617"/>
      <c r="F4" s="2617"/>
      <c r="G4" s="2617"/>
      <c r="H4" s="2617"/>
      <c r="I4" s="2617"/>
      <c r="J4" s="2617"/>
      <c r="K4" s="2617"/>
      <c r="L4" s="1370"/>
    </row>
    <row r="5" spans="1:12" ht="5.25" customHeight="1" x14ac:dyDescent="0.2">
      <c r="B5" s="1254" t="s">
        <v>1169</v>
      </c>
      <c r="C5" s="1254"/>
      <c r="L5" s="322"/>
    </row>
    <row r="6" spans="1:12" ht="30.75" customHeight="1" x14ac:dyDescent="0.2">
      <c r="A6" s="322"/>
      <c r="B6" s="2623" t="s">
        <v>1308</v>
      </c>
      <c r="C6" s="2623"/>
      <c r="D6" s="2623"/>
      <c r="E6" s="2623"/>
      <c r="F6" s="2623"/>
      <c r="G6" s="2623"/>
      <c r="H6" s="2623"/>
      <c r="I6" s="2623"/>
      <c r="J6" s="2623"/>
      <c r="K6" s="2623"/>
      <c r="L6" s="322"/>
    </row>
    <row r="7" spans="1:12" ht="4.5" customHeight="1" x14ac:dyDescent="0.2">
      <c r="B7" s="1372"/>
      <c r="C7" s="1372"/>
      <c r="D7" s="1372"/>
      <c r="E7" s="1372"/>
      <c r="F7" s="1372"/>
      <c r="G7" s="1373"/>
      <c r="H7" s="1372"/>
      <c r="I7" s="1373"/>
      <c r="J7" s="1372"/>
      <c r="K7" s="1372"/>
      <c r="L7" s="322"/>
    </row>
    <row r="8" spans="1:12" ht="13.5" customHeight="1" x14ac:dyDescent="0.2">
      <c r="B8" s="1380" t="s">
        <v>1752</v>
      </c>
      <c r="C8" s="1447" t="s">
        <v>1987</v>
      </c>
      <c r="D8" s="1448">
        <v>1</v>
      </c>
      <c r="E8" s="322"/>
      <c r="F8" s="1377" t="s">
        <v>1295</v>
      </c>
      <c r="G8" s="1449" t="s">
        <v>2066</v>
      </c>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608" t="s">
        <v>2239</v>
      </c>
      <c r="G12" s="2608"/>
      <c r="H12" s="2608"/>
      <c r="I12" s="2608"/>
      <c r="J12" s="2608"/>
      <c r="K12" s="2608"/>
      <c r="L12" s="322"/>
    </row>
    <row r="13" spans="1:12" ht="9.6" customHeight="1" x14ac:dyDescent="0.2">
      <c r="B13" s="1251"/>
      <c r="C13" s="1251"/>
      <c r="D13" s="304"/>
      <c r="E13" s="322"/>
      <c r="F13" s="322"/>
      <c r="G13" s="1376"/>
      <c r="H13" s="322"/>
      <c r="I13" s="1376"/>
      <c r="J13" s="322"/>
      <c r="K13" s="1412"/>
      <c r="L13" s="322"/>
    </row>
    <row r="14" spans="1:12" ht="13.5" customHeight="1" x14ac:dyDescent="0.2">
      <c r="B14" s="1380" t="s">
        <v>1304</v>
      </c>
      <c r="C14" s="1380"/>
      <c r="D14" s="2624" t="s">
        <v>2288</v>
      </c>
      <c r="E14" s="2624"/>
      <c r="F14" s="2624"/>
      <c r="H14" s="1455" t="s">
        <v>1303</v>
      </c>
      <c r="I14" s="2625" t="s">
        <v>2238</v>
      </c>
      <c r="J14" s="2625"/>
      <c r="K14" s="2625"/>
      <c r="L14" s="322"/>
    </row>
    <row r="15" spans="1:12" ht="9.4" customHeight="1" x14ac:dyDescent="0.2">
      <c r="B15" s="1380"/>
      <c r="C15" s="1380"/>
      <c r="D15" s="1366"/>
      <c r="E15" s="1254"/>
      <c r="F15" s="1254"/>
      <c r="G15" s="1280"/>
      <c r="H15" s="1254"/>
      <c r="I15" s="1456"/>
      <c r="J15" s="1287"/>
      <c r="K15" s="1284"/>
      <c r="L15" s="322"/>
    </row>
    <row r="16" spans="1:12" ht="13.5" customHeight="1" x14ac:dyDescent="0.2">
      <c r="B16" s="1380" t="s">
        <v>1302</v>
      </c>
      <c r="C16" s="1380"/>
      <c r="D16" s="2625" t="s">
        <v>2246</v>
      </c>
      <c r="E16" s="2625"/>
      <c r="F16" s="2625"/>
      <c r="G16" s="2625"/>
      <c r="H16" s="2625"/>
      <c r="I16" s="2625"/>
      <c r="J16" s="2625"/>
      <c r="K16" s="2625"/>
      <c r="L16" s="322"/>
    </row>
    <row r="17" spans="2:12" ht="13.5" customHeight="1" x14ac:dyDescent="0.2">
      <c r="B17" s="1380" t="s">
        <v>1301</v>
      </c>
      <c r="C17" s="1380"/>
      <c r="D17" s="2626" t="s">
        <v>2247</v>
      </c>
      <c r="E17" s="2626"/>
      <c r="F17" s="2626"/>
      <c r="G17" s="2626"/>
      <c r="H17" s="2626"/>
      <c r="I17" s="2626"/>
      <c r="J17" s="2626"/>
      <c r="K17" s="2626"/>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616" t="s">
        <v>2269</v>
      </c>
      <c r="C20" s="2616"/>
      <c r="D20" s="2616"/>
      <c r="E20" s="2616"/>
      <c r="F20" s="2616"/>
      <c r="G20" s="2616"/>
      <c r="H20" s="2616"/>
      <c r="I20" s="2616"/>
      <c r="J20" s="2616"/>
      <c r="K20" s="2616"/>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1753</v>
      </c>
      <c r="C22" s="1457"/>
      <c r="D22" s="322"/>
      <c r="E22" s="322"/>
      <c r="F22" s="322"/>
      <c r="G22" s="1376"/>
      <c r="H22" s="322"/>
      <c r="I22" s="1376"/>
      <c r="J22" s="322"/>
      <c r="K22" s="322"/>
      <c r="L22" s="322"/>
    </row>
    <row r="23" spans="2:12" ht="37.5" customHeight="1" x14ac:dyDescent="0.2">
      <c r="B23" s="2616" t="s">
        <v>2248</v>
      </c>
      <c r="C23" s="2616"/>
      <c r="D23" s="2616"/>
      <c r="E23" s="2616"/>
      <c r="F23" s="2616"/>
      <c r="G23" s="2616"/>
      <c r="H23" s="2616"/>
      <c r="I23" s="2616"/>
      <c r="J23" s="2616"/>
      <c r="K23" s="2616"/>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1754</v>
      </c>
      <c r="C25" s="1457"/>
      <c r="D25" s="322"/>
      <c r="E25" s="322"/>
      <c r="F25" s="322"/>
      <c r="G25" s="1376"/>
      <c r="H25" s="322"/>
      <c r="I25" s="1376"/>
      <c r="J25" s="322"/>
      <c r="K25" s="322"/>
      <c r="L25" s="322"/>
    </row>
    <row r="26" spans="2:12" ht="37.5" customHeight="1" x14ac:dyDescent="0.2">
      <c r="B26" s="2616" t="s">
        <v>2249</v>
      </c>
      <c r="C26" s="2616"/>
      <c r="D26" s="2616"/>
      <c r="E26" s="2616"/>
      <c r="F26" s="2616"/>
      <c r="G26" s="2616"/>
      <c r="H26" s="2616"/>
      <c r="I26" s="2616"/>
      <c r="J26" s="2616"/>
      <c r="K26" s="2616"/>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1755</v>
      </c>
      <c r="C28" s="1457"/>
      <c r="D28" s="322"/>
      <c r="E28" s="322"/>
      <c r="F28" s="322"/>
      <c r="G28" s="1376"/>
      <c r="H28" s="322"/>
      <c r="I28" s="1376"/>
      <c r="J28" s="322"/>
      <c r="K28" s="322"/>
      <c r="L28" s="322"/>
    </row>
    <row r="29" spans="2:12" ht="37.5" customHeight="1" x14ac:dyDescent="0.2">
      <c r="B29" s="2616" t="s">
        <v>2250</v>
      </c>
      <c r="C29" s="2616"/>
      <c r="D29" s="2616"/>
      <c r="E29" s="2616"/>
      <c r="F29" s="2616"/>
      <c r="G29" s="2616"/>
      <c r="H29" s="2616"/>
      <c r="I29" s="2616"/>
      <c r="J29" s="2616"/>
      <c r="K29" s="2616"/>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616" t="s">
        <v>2251</v>
      </c>
      <c r="C32" s="2616"/>
      <c r="D32" s="2616"/>
      <c r="E32" s="2616"/>
      <c r="F32" s="2616"/>
      <c r="G32" s="2616"/>
      <c r="H32" s="2616"/>
      <c r="I32" s="2616"/>
      <c r="J32" s="2616"/>
      <c r="K32" s="2616"/>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616" t="s">
        <v>2252</v>
      </c>
      <c r="C35" s="2616"/>
      <c r="D35" s="2616"/>
      <c r="E35" s="2616"/>
      <c r="F35" s="2616"/>
      <c r="G35" s="2616"/>
      <c r="H35" s="2616"/>
      <c r="I35" s="2616"/>
      <c r="J35" s="2616"/>
      <c r="K35" s="2616"/>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616" t="s">
        <v>2253</v>
      </c>
      <c r="C38" s="2616"/>
      <c r="D38" s="2616"/>
      <c r="E38" s="2616"/>
      <c r="F38" s="2616"/>
      <c r="G38" s="2616"/>
      <c r="H38" s="2616"/>
      <c r="I38" s="2616"/>
      <c r="J38" s="2616"/>
      <c r="K38" s="2616"/>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1756</v>
      </c>
      <c r="C40" s="1396"/>
      <c r="D40" s="1371"/>
      <c r="E40" s="1372"/>
      <c r="F40" s="1372"/>
      <c r="G40" s="1373"/>
      <c r="H40" s="1372"/>
      <c r="I40" s="1373"/>
      <c r="J40" s="1372"/>
      <c r="K40" s="1372"/>
    </row>
    <row r="41" spans="2:12" s="322" customFormat="1" ht="33.75" customHeight="1" x14ac:dyDescent="0.2">
      <c r="B41" s="2616" t="s">
        <v>2254</v>
      </c>
      <c r="C41" s="2616"/>
      <c r="D41" s="2616"/>
      <c r="E41" s="2616"/>
      <c r="F41" s="2616"/>
      <c r="G41" s="2616"/>
      <c r="H41" s="2616"/>
      <c r="I41" s="2616"/>
      <c r="J41" s="2616"/>
      <c r="K41" s="2616"/>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1757</v>
      </c>
      <c r="C44" s="1399"/>
      <c r="D44" s="322"/>
      <c r="E44" s="322"/>
      <c r="F44" s="322"/>
    </row>
    <row r="45" spans="2:12" ht="10.5" customHeight="1" x14ac:dyDescent="0.2">
      <c r="B45" s="1400" t="s">
        <v>1758</v>
      </c>
      <c r="C45" s="1400"/>
      <c r="G45" s="317"/>
      <c r="I45" s="317"/>
    </row>
    <row r="46" spans="2:12" ht="11.1" customHeight="1" x14ac:dyDescent="0.2">
      <c r="B46" s="1400" t="s">
        <v>1759</v>
      </c>
      <c r="C46" s="1400"/>
      <c r="G46" s="317"/>
      <c r="I46" s="317"/>
    </row>
    <row r="47" spans="2:12" ht="11.1" customHeight="1" x14ac:dyDescent="0.2">
      <c r="B47" s="1400" t="s">
        <v>1760</v>
      </c>
      <c r="C47" s="1400"/>
      <c r="G47" s="317"/>
      <c r="I47" s="317"/>
    </row>
    <row r="48" spans="2:12" ht="11.1" customHeight="1" x14ac:dyDescent="0.2">
      <c r="B48" s="1400" t="s">
        <v>1761</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51" customWidth="1"/>
    <col min="2" max="2" width="11.28515625" style="2051" customWidth="1"/>
    <col min="3" max="3" width="6.42578125" style="2051" customWidth="1"/>
    <col min="4" max="4" width="5.42578125" style="2051" customWidth="1"/>
    <col min="5" max="5" width="74.7109375" style="2051" customWidth="1"/>
    <col min="6" max="6" width="1.5703125" style="2051" customWidth="1"/>
    <col min="7" max="8" width="2.42578125" style="2051" customWidth="1"/>
    <col min="9" max="9" width="9.28515625" style="2051" customWidth="1"/>
    <col min="10" max="10" width="14.42578125" style="2051" customWidth="1"/>
    <col min="11" max="11" width="7.28515625" style="2051" customWidth="1"/>
    <col min="12" max="12" width="3.140625" style="2051" customWidth="1"/>
    <col min="13" max="16384" width="9.140625" style="2051"/>
  </cols>
  <sheetData>
    <row r="1" spans="2:12" ht="13.5" customHeight="1" x14ac:dyDescent="0.2">
      <c r="B1" s="2628" t="s">
        <v>2255</v>
      </c>
      <c r="C1" s="2628"/>
      <c r="D1" s="2628"/>
      <c r="E1" s="2628"/>
      <c r="F1" s="2050"/>
      <c r="G1" s="2050"/>
      <c r="H1" s="2050"/>
      <c r="I1" s="2050"/>
      <c r="J1" s="2050"/>
      <c r="K1" s="2050"/>
      <c r="L1" s="2050"/>
    </row>
    <row r="2" spans="2:12" ht="13.5" customHeight="1" x14ac:dyDescent="0.2">
      <c r="B2" s="2629" t="s">
        <v>2069</v>
      </c>
      <c r="C2" s="2629"/>
      <c r="D2" s="2629"/>
      <c r="E2" s="2629"/>
      <c r="F2" s="2052"/>
      <c r="G2" s="2052"/>
      <c r="H2" s="2052"/>
      <c r="I2" s="2052"/>
      <c r="J2" s="2052"/>
      <c r="K2" s="2052"/>
      <c r="L2" s="2052"/>
    </row>
    <row r="3" spans="2:12" ht="13.5" customHeight="1" x14ac:dyDescent="0.2">
      <c r="B3" s="2630" t="s">
        <v>2256</v>
      </c>
      <c r="C3" s="2630"/>
      <c r="D3" s="2630"/>
      <c r="E3" s="2630"/>
      <c r="F3" s="2053"/>
      <c r="G3" s="2053"/>
      <c r="H3" s="2053"/>
      <c r="I3" s="2053"/>
      <c r="J3" s="2053"/>
      <c r="K3" s="2053"/>
      <c r="L3" s="2053"/>
    </row>
    <row r="4" spans="2:12" ht="13.5" customHeight="1" x14ac:dyDescent="0.2">
      <c r="B4" s="2631" t="s">
        <v>1985</v>
      </c>
      <c r="C4" s="2631"/>
      <c r="D4" s="2631"/>
      <c r="E4" s="2631"/>
      <c r="F4" s="2054"/>
      <c r="G4" s="2054"/>
      <c r="H4" s="2054"/>
      <c r="I4" s="2054"/>
      <c r="J4" s="2054"/>
      <c r="K4" s="2054"/>
      <c r="L4" s="2054"/>
    </row>
    <row r="5" spans="2:12" ht="29.85" customHeight="1" x14ac:dyDescent="0.2"/>
    <row r="6" spans="2:12" ht="13.5" customHeight="1" x14ac:dyDescent="0.2">
      <c r="B6" s="2055" t="s">
        <v>2257</v>
      </c>
      <c r="C6" s="2055"/>
      <c r="D6" s="2056"/>
      <c r="E6" s="2057"/>
      <c r="F6" s="2057"/>
      <c r="G6" s="2058"/>
      <c r="H6" s="2058"/>
      <c r="I6" s="2058"/>
    </row>
    <row r="7" spans="2:12" ht="13.5" customHeight="1" x14ac:dyDescent="0.2">
      <c r="B7" s="2051" t="s">
        <v>1169</v>
      </c>
    </row>
    <row r="8" spans="2:12" ht="13.5" customHeight="1" x14ac:dyDescent="0.2">
      <c r="B8" s="2059" t="s">
        <v>2258</v>
      </c>
      <c r="C8" s="2060" t="s">
        <v>1987</v>
      </c>
      <c r="D8" s="2061">
        <v>1</v>
      </c>
    </row>
    <row r="9" spans="2:12" ht="13.5" customHeight="1" x14ac:dyDescent="0.2">
      <c r="B9" s="2062"/>
      <c r="C9" s="2062"/>
      <c r="D9" s="2062"/>
    </row>
    <row r="10" spans="2:12" ht="13.5" customHeight="1" x14ac:dyDescent="0.2">
      <c r="B10" s="2059" t="s">
        <v>2259</v>
      </c>
      <c r="C10" s="2059"/>
    </row>
    <row r="11" spans="2:12" ht="66.75" customHeight="1" x14ac:dyDescent="0.2">
      <c r="B11" s="2627" t="s">
        <v>2260</v>
      </c>
      <c r="C11" s="2627"/>
      <c r="D11" s="2627"/>
      <c r="E11" s="2627"/>
    </row>
    <row r="12" spans="2:12" ht="13.5" customHeight="1" x14ac:dyDescent="0.2"/>
    <row r="13" spans="2:12" ht="13.5" customHeight="1" x14ac:dyDescent="0.2">
      <c r="B13" s="2059" t="s">
        <v>2261</v>
      </c>
      <c r="C13" s="2059"/>
    </row>
    <row r="14" spans="2:12" ht="76.5" customHeight="1" x14ac:dyDescent="0.2">
      <c r="B14" s="2627" t="s">
        <v>2262</v>
      </c>
      <c r="C14" s="2627"/>
      <c r="D14" s="2627"/>
      <c r="E14" s="2627"/>
    </row>
    <row r="15" spans="2:12" ht="13.5" customHeight="1" x14ac:dyDescent="0.2"/>
    <row r="16" spans="2:12" ht="13.5" customHeight="1" x14ac:dyDescent="0.2">
      <c r="B16" s="2059" t="s">
        <v>2263</v>
      </c>
      <c r="C16" s="2059"/>
      <c r="E16" s="2063">
        <v>44012</v>
      </c>
    </row>
    <row r="17" spans="2:5" ht="13.5" customHeight="1" x14ac:dyDescent="0.2"/>
    <row r="18" spans="2:5" ht="13.5" customHeight="1" x14ac:dyDescent="0.2">
      <c r="B18" s="2059" t="s">
        <v>2264</v>
      </c>
      <c r="C18" s="2059"/>
      <c r="E18" s="2064" t="s">
        <v>2267</v>
      </c>
    </row>
    <row r="19" spans="2:5" ht="13.5" customHeight="1" x14ac:dyDescent="0.2"/>
    <row r="20" spans="2:5" ht="13.5" customHeight="1" x14ac:dyDescent="0.2">
      <c r="B20" s="2059" t="s">
        <v>2265</v>
      </c>
      <c r="C20" s="2059"/>
      <c r="E20" s="2064" t="s">
        <v>2268</v>
      </c>
    </row>
    <row r="21" spans="2:5" ht="13.5" customHeight="1" x14ac:dyDescent="0.2">
      <c r="E21" s="2064"/>
    </row>
    <row r="22" spans="2:5" ht="13.5" customHeight="1" x14ac:dyDescent="0.2">
      <c r="E22" s="2064"/>
    </row>
    <row r="23" spans="2:5" ht="13.5" customHeight="1" x14ac:dyDescent="0.2"/>
    <row r="24" spans="2:5" ht="13.5" customHeight="1" x14ac:dyDescent="0.2"/>
    <row r="25" spans="2:5" ht="13.5" customHeight="1" x14ac:dyDescent="0.2">
      <c r="B25" s="2065"/>
      <c r="C25" s="2065"/>
      <c r="D25" s="2065"/>
    </row>
    <row r="26" spans="2:5" ht="13.5" customHeight="1" x14ac:dyDescent="0.2">
      <c r="B26" s="2065"/>
      <c r="C26" s="2065"/>
      <c r="D26" s="2065"/>
    </row>
    <row r="27" spans="2:5" ht="13.5" customHeight="1" x14ac:dyDescent="0.2">
      <c r="B27" s="2065"/>
      <c r="C27" s="2065"/>
      <c r="D27" s="206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6"/>
      <c r="C35" s="2066"/>
      <c r="D35" s="2066"/>
    </row>
    <row r="36" spans="2:5" ht="13.5" customHeight="1" x14ac:dyDescent="0.2"/>
    <row r="37" spans="2:5" ht="13.5" customHeight="1" x14ac:dyDescent="0.2">
      <c r="B37" s="2066"/>
      <c r="C37" s="2066"/>
      <c r="D37" s="2066"/>
    </row>
    <row r="38" spans="2:5" ht="13.5" customHeight="1" x14ac:dyDescent="0.2">
      <c r="B38" s="2066"/>
      <c r="C38" s="2066"/>
      <c r="D38" s="2066"/>
    </row>
    <row r="39" spans="2:5" ht="13.5" customHeight="1" x14ac:dyDescent="0.2">
      <c r="B39" s="2066"/>
      <c r="C39" s="2066"/>
      <c r="D39" s="2066"/>
    </row>
    <row r="40" spans="2:5" ht="13.5" customHeight="1" x14ac:dyDescent="0.2">
      <c r="B40" s="2066"/>
      <c r="C40" s="2066"/>
      <c r="D40" s="2066"/>
    </row>
    <row r="41" spans="2:5" ht="13.5" customHeight="1" x14ac:dyDescent="0.2">
      <c r="B41" s="2067"/>
      <c r="C41" s="2067"/>
      <c r="D41" s="2067"/>
      <c r="E41" s="2067"/>
    </row>
    <row r="42" spans="2:5" ht="12.2" customHeight="1" x14ac:dyDescent="0.2">
      <c r="B42" s="2068" t="s">
        <v>2266</v>
      </c>
      <c r="C42" s="2068"/>
      <c r="D42" s="2068"/>
    </row>
    <row r="43" spans="2:5" ht="12.2" customHeight="1" x14ac:dyDescent="0.2">
      <c r="B43" s="2069"/>
      <c r="C43" s="2069"/>
      <c r="D43" s="2069"/>
    </row>
    <row r="44" spans="2:5" ht="12.75" customHeight="1" x14ac:dyDescent="0.2">
      <c r="B44" s="2059"/>
      <c r="C44" s="2059"/>
      <c r="D44" s="2059"/>
    </row>
    <row r="45" spans="2:5" ht="12.75" customHeight="1" x14ac:dyDescent="0.2">
      <c r="B45" s="2059"/>
      <c r="C45" s="2059"/>
      <c r="D45" s="2059"/>
    </row>
    <row r="46" spans="2:5" x14ac:dyDescent="0.2">
      <c r="B46" s="2059"/>
      <c r="C46" s="2059"/>
      <c r="D46" s="2059"/>
    </row>
    <row r="47" spans="2:5" x14ac:dyDescent="0.2">
      <c r="B47" s="2059"/>
      <c r="C47" s="2059"/>
      <c r="D47" s="2059"/>
    </row>
    <row r="51" spans="2:4" x14ac:dyDescent="0.2">
      <c r="B51" s="2070"/>
      <c r="C51" s="2070"/>
      <c r="D51" s="207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71"/>
      <c r="C64" s="2071"/>
      <c r="D64" s="2071"/>
    </row>
    <row r="65" spans="2:4" x14ac:dyDescent="0.2">
      <c r="B65" s="2059"/>
      <c r="C65" s="2059"/>
      <c r="D65" s="2059"/>
    </row>
    <row r="66" spans="2:4" x14ac:dyDescent="0.2">
      <c r="B66" s="2059"/>
      <c r="C66" s="2059"/>
      <c r="D66" s="2059"/>
    </row>
    <row r="67" spans="2:4" x14ac:dyDescent="0.2">
      <c r="B67" s="2071"/>
      <c r="C67" s="2071"/>
      <c r="D67" s="2071"/>
    </row>
    <row r="68" spans="2:4" x14ac:dyDescent="0.2">
      <c r="B68" s="2071"/>
      <c r="C68" s="2071"/>
      <c r="D68" s="2071"/>
    </row>
    <row r="69" spans="2:4" x14ac:dyDescent="0.2">
      <c r="B69" s="2071"/>
      <c r="C69" s="2071"/>
      <c r="D69" s="2071"/>
    </row>
    <row r="70" spans="2:4" x14ac:dyDescent="0.2">
      <c r="B70" s="2059"/>
      <c r="C70" s="2059"/>
      <c r="D70" s="205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01" t="str">
        <f>'Single Audit Cover'!A7</f>
        <v>Geneseo CUSD 228</v>
      </c>
      <c r="C1" s="2601"/>
      <c r="D1" s="2601"/>
      <c r="E1" s="1465"/>
    </row>
    <row r="2" spans="2:5" s="1276" customFormat="1" ht="12.75" customHeight="1" x14ac:dyDescent="0.2">
      <c r="B2" s="2603">
        <f>'Single Audit Cover'!E7</f>
        <v>28037228026</v>
      </c>
      <c r="C2" s="2603"/>
      <c r="D2" s="2603"/>
      <c r="E2" s="1466"/>
    </row>
    <row r="3" spans="2:5" ht="12.75" customHeight="1" x14ac:dyDescent="0.2">
      <c r="B3" s="2617" t="s">
        <v>1762</v>
      </c>
      <c r="C3" s="2617"/>
      <c r="D3" s="2617"/>
      <c r="E3" s="1268"/>
    </row>
    <row r="4" spans="2:5" s="1276" customFormat="1" ht="12.75" customHeight="1" x14ac:dyDescent="0.2">
      <c r="B4" s="2632" t="str">
        <f>'Single Audit Cover'!A4</f>
        <v>Year Ending June 30, 2019</v>
      </c>
      <c r="C4" s="2632"/>
      <c r="D4" s="2632"/>
      <c r="E4" s="1467"/>
    </row>
    <row r="5" spans="2:5" s="1276" customFormat="1" ht="40.15" customHeight="1" x14ac:dyDescent="0.2">
      <c r="B5" s="1468" t="s">
        <v>1763</v>
      </c>
      <c r="C5" s="328"/>
      <c r="D5" s="328"/>
      <c r="E5" s="328"/>
    </row>
    <row r="6" spans="2:5" s="1276" customFormat="1" ht="13.5" customHeight="1" x14ac:dyDescent="0.2">
      <c r="B6" s="1469" t="s">
        <v>1315</v>
      </c>
      <c r="C6" s="1469" t="s">
        <v>1314</v>
      </c>
      <c r="D6" s="1469" t="s">
        <v>1764</v>
      </c>
    </row>
    <row r="7" spans="2:5" ht="13.5" customHeight="1" x14ac:dyDescent="0.2">
      <c r="B7" s="1470" t="s">
        <v>2241</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1" t="s">
        <v>1313</v>
      </c>
      <c r="C44" s="322"/>
    </row>
    <row r="45" spans="2:5" ht="12.2" customHeight="1" x14ac:dyDescent="0.2">
      <c r="B45" s="1479" t="s">
        <v>1765</v>
      </c>
    </row>
    <row r="46" spans="2:5" ht="12.2" customHeight="1" x14ac:dyDescent="0.2">
      <c r="B46" s="1479" t="s">
        <v>1766</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1" t="str">
        <f>'Single Audit Cover'!A7</f>
        <v>Geneseo CUSD 228</v>
      </c>
      <c r="C1" s="2602"/>
      <c r="D1" s="2602"/>
      <c r="E1" s="2602"/>
      <c r="F1" s="2602"/>
      <c r="G1" s="2602"/>
      <c r="H1" s="2602"/>
      <c r="I1" s="2602"/>
      <c r="J1" s="1402"/>
    </row>
    <row r="2" spans="2:10" s="317" customFormat="1" ht="12.75" customHeight="1" x14ac:dyDescent="0.2">
      <c r="B2" s="2603">
        <f>'Single Audit Cover'!E7</f>
        <v>28037228026</v>
      </c>
      <c r="C2" s="2604"/>
      <c r="D2" s="2604"/>
      <c r="E2" s="2604"/>
      <c r="F2" s="2604"/>
      <c r="G2" s="2604"/>
      <c r="H2" s="2604"/>
      <c r="I2" s="2604"/>
      <c r="J2" s="1402"/>
    </row>
    <row r="3" spans="2:10" s="317" customFormat="1" ht="12.75" customHeight="1" x14ac:dyDescent="0.2">
      <c r="B3" s="2605" t="s">
        <v>1285</v>
      </c>
      <c r="C3" s="2606"/>
      <c r="D3" s="2606"/>
      <c r="E3" s="2606"/>
      <c r="F3" s="2606"/>
      <c r="G3" s="2606"/>
      <c r="H3" s="2606"/>
      <c r="I3" s="2606"/>
      <c r="J3" s="1403"/>
    </row>
    <row r="4" spans="2:10" s="317" customFormat="1" ht="12.75" customHeight="1" x14ac:dyDescent="0.2">
      <c r="B4" s="2605" t="str">
        <f>'Single Audit Cover'!A4</f>
        <v>Year Ending June 30, 2019</v>
      </c>
      <c r="C4" s="2606"/>
      <c r="D4" s="2606"/>
      <c r="E4" s="2606"/>
      <c r="F4" s="2606"/>
      <c r="G4" s="2606"/>
      <c r="H4" s="2606"/>
      <c r="I4" s="2606"/>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605" t="s">
        <v>1284</v>
      </c>
      <c r="C7" s="2606"/>
      <c r="D7" s="2606"/>
      <c r="E7" s="2606"/>
      <c r="F7" s="2606"/>
      <c r="G7" s="2606"/>
      <c r="H7" s="2606"/>
      <c r="I7" s="260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2"/>
    </row>
    <row r="11" spans="2:10" s="317" customFormat="1" ht="13.5" customHeight="1" x14ac:dyDescent="0.2">
      <c r="B11" s="1342" t="s">
        <v>1282</v>
      </c>
      <c r="C11" s="2607"/>
      <c r="D11" s="2607"/>
      <c r="E11" s="1412"/>
      <c r="F11" s="1412"/>
      <c r="G11" s="1412"/>
    </row>
    <row r="12" spans="2:10" s="317" customFormat="1" ht="11.45" customHeight="1" x14ac:dyDescent="0.2">
      <c r="B12" s="1350"/>
      <c r="C12" s="1413" t="s">
        <v>1442</v>
      </c>
      <c r="D12" s="1414"/>
      <c r="E12" s="1252"/>
    </row>
    <row r="13" spans="2:10" s="317" customFormat="1" ht="12.75" customHeight="1" x14ac:dyDescent="0.2">
      <c r="B13" s="1415"/>
      <c r="C13" s="1380"/>
      <c r="D13" s="1380"/>
      <c r="E13" s="1252"/>
    </row>
    <row r="14" spans="2:10" s="317" customFormat="1" ht="12.75" customHeight="1" x14ac:dyDescent="0.2">
      <c r="B14" s="1361" t="s">
        <v>1281</v>
      </c>
      <c r="C14" s="1276"/>
      <c r="E14" s="1252"/>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6"/>
      <c r="E16" s="1376"/>
      <c r="F16" s="1293"/>
      <c r="G16" s="322"/>
      <c r="H16" s="1293"/>
      <c r="I16" s="1293"/>
    </row>
    <row r="17" spans="2:9" s="317" customFormat="1" ht="13.5" customHeight="1" x14ac:dyDescent="0.2">
      <c r="B17" s="1416" t="s">
        <v>1277</v>
      </c>
      <c r="C17" s="1417"/>
      <c r="D17" s="1391"/>
      <c r="E17" s="1419"/>
      <c r="F17" s="1251"/>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6"/>
      <c r="E19" s="1376"/>
      <c r="F19" s="1293"/>
      <c r="G19" s="322"/>
      <c r="H19" s="1293"/>
      <c r="I19" s="1293"/>
    </row>
    <row r="20" spans="2:9" s="317" customFormat="1" ht="13.5" customHeight="1" x14ac:dyDescent="0.2">
      <c r="B20" s="1416" t="s">
        <v>1590</v>
      </c>
      <c r="C20" s="1417"/>
      <c r="D20" s="1391"/>
      <c r="E20" s="1418"/>
      <c r="F20" s="1293" t="s">
        <v>885</v>
      </c>
      <c r="G20" s="1418"/>
      <c r="H20" s="1293" t="s">
        <v>99</v>
      </c>
      <c r="I20" s="1293"/>
    </row>
    <row r="21" spans="2:9" s="317" customFormat="1" ht="12.75" customHeight="1" x14ac:dyDescent="0.2">
      <c r="B21" s="1361"/>
      <c r="C21" s="1276"/>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6"/>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6"/>
      <c r="E25" s="1376"/>
      <c r="F25" s="1293"/>
      <c r="G25" s="322"/>
      <c r="H25" s="1293"/>
      <c r="I25" s="1293"/>
    </row>
    <row r="26" spans="2:9" s="317" customFormat="1" ht="13.5" customHeight="1" x14ac:dyDescent="0.2">
      <c r="B26" s="1416" t="s">
        <v>1277</v>
      </c>
      <c r="C26" s="1417"/>
      <c r="D26" s="1391"/>
      <c r="E26" s="1419"/>
      <c r="F26" s="1251"/>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6"/>
      <c r="E28" s="1252"/>
    </row>
    <row r="29" spans="2:9" s="317" customFormat="1" ht="12.75" customHeight="1" x14ac:dyDescent="0.2">
      <c r="B29" s="1361" t="s">
        <v>1275</v>
      </c>
      <c r="C29" s="1276"/>
      <c r="D29" s="2608"/>
      <c r="E29" s="2608"/>
      <c r="F29" s="2608"/>
      <c r="G29" s="2608"/>
      <c r="H29" s="2608"/>
      <c r="I29" s="2608"/>
    </row>
    <row r="30" spans="2:9" s="317" customFormat="1" x14ac:dyDescent="0.2">
      <c r="B30" s="1361"/>
      <c r="C30" s="322"/>
      <c r="D30" s="1413" t="s">
        <v>1744</v>
      </c>
      <c r="E30" s="1414"/>
      <c r="F30" s="1414"/>
      <c r="G30" s="1414"/>
      <c r="H30" s="1414"/>
      <c r="I30" s="1414"/>
    </row>
    <row r="31" spans="2:9" s="317" customFormat="1" ht="9.9499999999999993" customHeight="1" x14ac:dyDescent="0.2">
      <c r="B31" s="1361"/>
      <c r="E31" s="1252"/>
    </row>
    <row r="32" spans="2:9" s="317" customFormat="1" x14ac:dyDescent="0.2">
      <c r="B32" s="1361" t="s">
        <v>1274</v>
      </c>
      <c r="C32" s="1276"/>
      <c r="E32" s="1252"/>
    </row>
    <row r="33" spans="2:9" ht="13.5" customHeight="1" x14ac:dyDescent="0.2">
      <c r="B33" s="1361" t="s">
        <v>1551</v>
      </c>
      <c r="C33" s="1276"/>
      <c r="E33" s="1418"/>
      <c r="F33" s="1293" t="s">
        <v>885</v>
      </c>
      <c r="G33" s="1418"/>
      <c r="H33" s="1293" t="s">
        <v>99</v>
      </c>
    </row>
    <row r="35" spans="2:9" x14ac:dyDescent="0.2">
      <c r="B35" s="1421" t="s">
        <v>1745</v>
      </c>
      <c r="C35" s="1422"/>
      <c r="D35" s="1261"/>
    </row>
    <row r="36" spans="2:9" ht="6" customHeight="1" x14ac:dyDescent="0.2">
      <c r="B36" s="1421"/>
      <c r="C36" s="1422"/>
      <c r="D36" s="1261"/>
    </row>
    <row r="37" spans="2:9" ht="17.25" customHeight="1" x14ac:dyDescent="0.2">
      <c r="B37" s="1423" t="s">
        <v>1746</v>
      </c>
      <c r="C37" s="2609" t="s">
        <v>1747</v>
      </c>
      <c r="D37" s="2610"/>
      <c r="E37" s="2610"/>
      <c r="F37" s="2611"/>
      <c r="G37" s="2609" t="s">
        <v>1591</v>
      </c>
      <c r="H37" s="2610"/>
      <c r="I37" s="2611"/>
    </row>
    <row r="38" spans="2:9" ht="16.5" customHeight="1" x14ac:dyDescent="0.2">
      <c r="B38" s="1424"/>
      <c r="C38" s="2597"/>
      <c r="D38" s="2598"/>
      <c r="E38" s="2598"/>
      <c r="F38" s="2599"/>
      <c r="G38" s="2612"/>
      <c r="H38" s="2613"/>
      <c r="I38" s="2614"/>
    </row>
    <row r="39" spans="2:9" ht="16.5" customHeight="1" x14ac:dyDescent="0.2">
      <c r="B39" s="1424"/>
      <c r="C39" s="2597"/>
      <c r="D39" s="2598"/>
      <c r="E39" s="2598"/>
      <c r="F39" s="2599"/>
      <c r="G39" s="2600"/>
      <c r="H39" s="2600"/>
      <c r="I39" s="2600"/>
    </row>
    <row r="40" spans="2:9" ht="16.5" customHeight="1" x14ac:dyDescent="0.2">
      <c r="B40" s="1424"/>
      <c r="C40" s="2597"/>
      <c r="D40" s="2598"/>
      <c r="E40" s="2598"/>
      <c r="F40" s="2599"/>
      <c r="G40" s="2600"/>
      <c r="H40" s="2600"/>
      <c r="I40" s="2600"/>
    </row>
    <row r="41" spans="2:9" ht="16.5" customHeight="1" x14ac:dyDescent="0.2">
      <c r="B41" s="1424"/>
      <c r="C41" s="2597"/>
      <c r="D41" s="2598"/>
      <c r="E41" s="2598"/>
      <c r="F41" s="2599"/>
      <c r="G41" s="2600"/>
      <c r="H41" s="2600"/>
      <c r="I41" s="2600"/>
    </row>
    <row r="42" spans="2:9" ht="16.5" customHeight="1" x14ac:dyDescent="0.2">
      <c r="B42" s="1424"/>
      <c r="C42" s="2597"/>
      <c r="D42" s="2598"/>
      <c r="E42" s="2598"/>
      <c r="F42" s="2599"/>
      <c r="G42" s="2600"/>
      <c r="H42" s="2600"/>
      <c r="I42" s="2600"/>
    </row>
    <row r="43" spans="2:9" ht="16.5" customHeight="1" x14ac:dyDescent="0.2">
      <c r="B43" s="1424"/>
      <c r="C43" s="2590" t="s">
        <v>1592</v>
      </c>
      <c r="D43" s="2591"/>
      <c r="E43" s="2591"/>
      <c r="F43" s="2592"/>
      <c r="G43" s="2593">
        <f>SUM(G38:I42)</f>
        <v>0</v>
      </c>
      <c r="H43" s="2593"/>
      <c r="I43" s="2593"/>
    </row>
    <row r="44" spans="2:9" ht="12.75" customHeight="1" x14ac:dyDescent="0.2"/>
    <row r="45" spans="2:9" ht="12.75" customHeight="1" x14ac:dyDescent="0.2">
      <c r="B45" s="1415" t="s">
        <v>1837</v>
      </c>
      <c r="D45" s="2594">
        <v>0</v>
      </c>
      <c r="E45" s="2595"/>
    </row>
    <row r="46" spans="2:9" ht="5.25" customHeight="1" x14ac:dyDescent="0.2">
      <c r="B46" s="1425"/>
      <c r="D46" s="1426"/>
      <c r="E46" s="1427"/>
    </row>
    <row r="47" spans="2:9" ht="12.75" customHeight="1" x14ac:dyDescent="0.2">
      <c r="B47" s="1293" t="s">
        <v>1593</v>
      </c>
      <c r="C47" s="1293"/>
      <c r="D47" s="1428" t="e">
        <f>+G43/D45</f>
        <v>#DIV/0!</v>
      </c>
      <c r="E47" s="1429"/>
      <c r="F47" s="1430"/>
      <c r="I47" s="1431"/>
    </row>
    <row r="48" spans="2:9" ht="9.9499999999999993" customHeight="1" x14ac:dyDescent="0.2"/>
    <row r="49" spans="1:9" x14ac:dyDescent="0.2">
      <c r="B49" s="1361" t="s">
        <v>1273</v>
      </c>
      <c r="C49" s="1276"/>
      <c r="D49" s="1276"/>
      <c r="E49" s="2596"/>
      <c r="F49" s="2596"/>
      <c r="G49" s="2596"/>
      <c r="H49" s="322"/>
    </row>
    <row r="51" spans="1:9" ht="13.5" customHeight="1" x14ac:dyDescent="0.2">
      <c r="B51" s="1361" t="s">
        <v>1272</v>
      </c>
      <c r="C51" s="1276"/>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1748</v>
      </c>
      <c r="C54" s="1440"/>
      <c r="D54" s="1440"/>
    </row>
    <row r="55" spans="1:9" s="1441" customFormat="1" ht="12.75" customHeight="1" x14ac:dyDescent="0.2">
      <c r="A55" s="1438"/>
      <c r="B55" s="1442" t="s">
        <v>1594</v>
      </c>
      <c r="C55" s="1438"/>
      <c r="D55" s="1438"/>
    </row>
    <row r="56" spans="1:9" s="1441" customFormat="1" ht="12.75" customHeight="1" x14ac:dyDescent="0.2">
      <c r="A56" s="1438"/>
      <c r="B56" s="1442" t="s">
        <v>1595</v>
      </c>
      <c r="C56" s="1438"/>
      <c r="D56" s="1438"/>
    </row>
    <row r="57" spans="1:9" s="1441" customFormat="1" ht="3.95" customHeight="1" x14ac:dyDescent="0.2">
      <c r="A57" s="1438"/>
      <c r="B57" s="1442"/>
      <c r="C57" s="1438"/>
      <c r="D57" s="1438"/>
    </row>
    <row r="58" spans="1:9" s="1441" customFormat="1" ht="13.5" customHeight="1" x14ac:dyDescent="0.2">
      <c r="A58" s="1438"/>
      <c r="B58" s="1443" t="s">
        <v>1749</v>
      </c>
      <c r="C58" s="1444"/>
      <c r="D58" s="1444"/>
    </row>
    <row r="59" spans="1:9" s="1441" customFormat="1" ht="3.95" customHeight="1" x14ac:dyDescent="0.2">
      <c r="A59" s="1438"/>
      <c r="B59" s="1443"/>
      <c r="C59" s="1444"/>
      <c r="D59" s="1444"/>
    </row>
    <row r="60" spans="1:9" s="1441" customFormat="1" ht="13.5" customHeight="1" x14ac:dyDescent="0.2">
      <c r="A60" s="1438"/>
      <c r="B60" s="1443" t="s">
        <v>1750</v>
      </c>
      <c r="C60" s="1444"/>
      <c r="D60" s="1444"/>
    </row>
    <row r="61" spans="1:9" s="1441" customFormat="1" ht="3.95" customHeight="1" x14ac:dyDescent="0.2">
      <c r="A61" s="1438"/>
      <c r="B61" s="1443"/>
      <c r="C61" s="1444"/>
      <c r="D61" s="1444"/>
    </row>
    <row r="62" spans="1:9" s="1441" customFormat="1" ht="12.75" customHeight="1" x14ac:dyDescent="0.2">
      <c r="A62" s="1438"/>
      <c r="B62" s="1443" t="s">
        <v>1751</v>
      </c>
      <c r="C62" s="1444"/>
      <c r="D62" s="1444"/>
    </row>
    <row r="63" spans="1:9" s="1441" customFormat="1" ht="13.5" customHeight="1" x14ac:dyDescent="0.2">
      <c r="A63" s="1438"/>
      <c r="B63" s="1442" t="s">
        <v>1596</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1" t="s">
        <v>386</v>
      </c>
      <c r="B1" s="2221"/>
      <c r="C1" s="2221"/>
      <c r="D1" s="2221"/>
      <c r="E1" s="2221"/>
      <c r="F1" s="2221"/>
      <c r="G1" s="2221"/>
      <c r="H1" s="2221"/>
      <c r="I1" s="2221"/>
      <c r="J1" s="2221"/>
      <c r="K1" s="2221"/>
      <c r="L1" s="2221"/>
      <c r="M1" s="222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373854314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2.35E-2</v>
      </c>
      <c r="E10" s="356" t="s">
        <v>1005</v>
      </c>
      <c r="F10" s="355">
        <v>5.0000000000000001E-3</v>
      </c>
      <c r="G10" s="356" t="s">
        <v>1005</v>
      </c>
      <c r="H10" s="355">
        <v>2E-3</v>
      </c>
      <c r="I10" s="356" t="s">
        <v>1006</v>
      </c>
      <c r="J10" s="1728">
        <f>ROUND(D10+F10+H10,5)</f>
        <v>3.0499999999999999E-2</v>
      </c>
      <c r="K10" s="222"/>
      <c r="L10" s="355">
        <v>5.0000000000000001E-4</v>
      </c>
      <c r="M10" s="222"/>
    </row>
    <row r="11" spans="1:14" ht="7.5" customHeight="1" x14ac:dyDescent="0.2">
      <c r="B11" s="222"/>
      <c r="C11" s="222"/>
      <c r="D11" s="2231" t="str">
        <f>IF(SUM(J10)&lt;=0.0999999,"","Enter the Tax Rates by moving the decimal two places to the left.")</f>
        <v/>
      </c>
      <c r="E11" s="2232"/>
      <c r="F11" s="2232"/>
      <c r="G11" s="2232"/>
      <c r="H11" s="2232"/>
      <c r="I11" s="2232"/>
      <c r="J11" s="22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20917223</v>
      </c>
      <c r="E16" s="356"/>
      <c r="F16" s="1729">
        <f>SUM('Acct Summary 7-8'!C17,'Acct Summary 7-8'!D17,'Acct Summary 7-8'!F17)</f>
        <v>20542720</v>
      </c>
      <c r="G16" s="356"/>
      <c r="H16" s="1729">
        <f>SUM(D16-F16)</f>
        <v>374503</v>
      </c>
      <c r="I16" s="222"/>
      <c r="J16" s="1729">
        <f>SUM('Acct Summary 7-8'!C81,'Acct Summary 7-8'!D81,'Acct Summary 7-8'!F81,'Acct Summary 7-8'!I81)</f>
        <v>14846478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51591895.332000002</v>
      </c>
      <c r="I31" s="368"/>
      <c r="J31" s="222"/>
      <c r="K31" s="222"/>
      <c r="L31" s="222"/>
      <c r="M31" s="222"/>
    </row>
    <row r="32" spans="1:13" ht="13.35" customHeight="1" x14ac:dyDescent="0.2">
      <c r="B32" s="369" t="s">
        <v>2066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36228287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22"/>
      <c r="C54" s="2223"/>
      <c r="D54" s="2223"/>
      <c r="E54" s="2223"/>
      <c r="F54" s="2223"/>
      <c r="G54" s="2223"/>
      <c r="H54" s="2223"/>
      <c r="I54" s="2223"/>
      <c r="J54" s="2223"/>
      <c r="K54" s="2223"/>
      <c r="L54" s="2224"/>
      <c r="M54" s="380"/>
    </row>
    <row r="55" spans="1:13" ht="12.75" customHeight="1" x14ac:dyDescent="0.2">
      <c r="B55" s="2225"/>
      <c r="C55" s="2226"/>
      <c r="D55" s="2226"/>
      <c r="E55" s="2226"/>
      <c r="F55" s="2226"/>
      <c r="G55" s="2226"/>
      <c r="H55" s="2226"/>
      <c r="I55" s="2226"/>
      <c r="J55" s="2226"/>
      <c r="K55" s="2226"/>
      <c r="L55" s="2227"/>
      <c r="M55" s="380"/>
    </row>
    <row r="56" spans="1:13" ht="12.75" customHeight="1" x14ac:dyDescent="0.2">
      <c r="B56" s="2225"/>
      <c r="C56" s="2226"/>
      <c r="D56" s="2226"/>
      <c r="E56" s="2226"/>
      <c r="F56" s="2226"/>
      <c r="G56" s="2226"/>
      <c r="H56" s="2226"/>
      <c r="I56" s="2226"/>
      <c r="J56" s="2226"/>
      <c r="K56" s="2226"/>
      <c r="L56" s="2227"/>
      <c r="M56" s="222"/>
    </row>
    <row r="57" spans="1:13" ht="12.75" customHeight="1" x14ac:dyDescent="0.2">
      <c r="B57" s="2225"/>
      <c r="C57" s="2226"/>
      <c r="D57" s="2226"/>
      <c r="E57" s="2226"/>
      <c r="F57" s="2226"/>
      <c r="G57" s="2226"/>
      <c r="H57" s="2226"/>
      <c r="I57" s="2226"/>
      <c r="J57" s="2226"/>
      <c r="K57" s="2226"/>
      <c r="L57" s="2227"/>
      <c r="M57" s="222"/>
    </row>
    <row r="58" spans="1:13" x14ac:dyDescent="0.2">
      <c r="B58" s="2228"/>
      <c r="C58" s="2229"/>
      <c r="D58" s="2229"/>
      <c r="E58" s="2229"/>
      <c r="F58" s="2229"/>
      <c r="G58" s="2229"/>
      <c r="H58" s="2229"/>
      <c r="I58" s="2229"/>
      <c r="J58" s="2229"/>
      <c r="K58" s="2229"/>
      <c r="L58" s="22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33"/>
      <c r="D61" s="22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36"/>
      <c r="B1" s="2237"/>
      <c r="C1" s="2237"/>
      <c r="D1" s="384"/>
      <c r="E1" s="384"/>
      <c r="F1" s="384"/>
      <c r="G1" s="384"/>
      <c r="H1" s="384"/>
      <c r="I1" s="384"/>
      <c r="J1" s="384"/>
      <c r="K1" s="384"/>
      <c r="L1" s="384"/>
      <c r="M1" s="384"/>
      <c r="N1" s="384"/>
      <c r="O1" s="2236"/>
      <c r="P1" s="2237"/>
      <c r="Q1" s="2237"/>
    </row>
    <row r="2" spans="1:18" ht="15" x14ac:dyDescent="0.2">
      <c r="A2" s="2240" t="s">
        <v>556</v>
      </c>
      <c r="B2" s="2240"/>
      <c r="C2" s="2240"/>
      <c r="D2" s="2240"/>
      <c r="E2" s="2240"/>
      <c r="F2" s="2240"/>
      <c r="G2" s="2240"/>
      <c r="H2" s="2240"/>
      <c r="I2" s="2240"/>
      <c r="J2" s="2240"/>
      <c r="K2" s="2240"/>
      <c r="L2" s="2240"/>
      <c r="M2" s="2240"/>
      <c r="N2" s="2240"/>
      <c r="O2" s="2240"/>
      <c r="P2" s="2240"/>
      <c r="Q2" s="2240"/>
      <c r="R2" s="2240"/>
    </row>
    <row r="3" spans="1:18" ht="12.75" x14ac:dyDescent="0.2">
      <c r="A3" s="2241" t="s">
        <v>1413</v>
      </c>
      <c r="B3" s="2241"/>
      <c r="C3" s="2241"/>
      <c r="D3" s="2241"/>
      <c r="E3" s="2241"/>
      <c r="F3" s="2241"/>
      <c r="G3" s="2241"/>
      <c r="H3" s="2241"/>
      <c r="I3" s="2241"/>
      <c r="J3" s="2241"/>
      <c r="K3" s="2241"/>
      <c r="L3" s="2241"/>
      <c r="M3" s="2241"/>
      <c r="N3" s="2241"/>
      <c r="O3" s="2241"/>
      <c r="P3" s="2241"/>
      <c r="Q3" s="2241"/>
      <c r="R3" s="2241"/>
    </row>
    <row r="4" spans="1:18" x14ac:dyDescent="0.2">
      <c r="A4" s="2242" t="s">
        <v>1553</v>
      </c>
      <c r="B4" s="2242"/>
      <c r="C4" s="2242"/>
      <c r="D4" s="2242"/>
      <c r="E4" s="2242"/>
      <c r="F4" s="2242"/>
      <c r="G4" s="2242"/>
      <c r="H4" s="2242"/>
      <c r="I4" s="2242"/>
      <c r="J4" s="2242"/>
      <c r="K4" s="2242"/>
      <c r="L4" s="2242"/>
      <c r="M4" s="2242"/>
      <c r="N4" s="2242"/>
      <c r="O4" s="2242"/>
      <c r="P4" s="2242"/>
      <c r="Q4" s="2242"/>
      <c r="R4" s="22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Geneseo CUSD 228</v>
      </c>
      <c r="E7" s="391"/>
      <c r="G7" s="252"/>
      <c r="H7" s="387"/>
      <c r="I7" s="387"/>
      <c r="J7" s="387"/>
      <c r="K7" s="387"/>
      <c r="L7" s="329"/>
      <c r="M7" s="329"/>
      <c r="N7" s="329"/>
      <c r="O7" s="329"/>
      <c r="P7" s="329"/>
    </row>
    <row r="8" spans="1:18" ht="12.75" x14ac:dyDescent="0.2">
      <c r="A8" s="329"/>
      <c r="B8" s="329"/>
      <c r="C8" s="389" t="s">
        <v>1125</v>
      </c>
      <c r="D8" s="392">
        <f>COVER!A13</f>
        <v>28037228026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14846478</v>
      </c>
      <c r="I12" s="404"/>
      <c r="J12" s="404"/>
      <c r="K12" s="405">
        <f>TRUNC((H12/H13*100000),5)/100000</f>
        <v>0.71148783910000002</v>
      </c>
      <c r="L12" s="406"/>
      <c r="M12" s="360" t="s">
        <v>1144</v>
      </c>
      <c r="N12" s="360"/>
      <c r="O12" s="407">
        <v>0.35</v>
      </c>
      <c r="P12" s="218"/>
      <c r="Q12" s="218"/>
    </row>
    <row r="13" spans="1:18" s="408" customFormat="1" ht="12.75" x14ac:dyDescent="0.2">
      <c r="A13" s="218"/>
      <c r="B13" s="401"/>
      <c r="C13" s="2238" t="s">
        <v>1324</v>
      </c>
      <c r="D13" s="2239"/>
      <c r="E13" s="218"/>
      <c r="F13" s="409" t="s">
        <v>793</v>
      </c>
      <c r="G13" s="402"/>
      <c r="H13" s="403">
        <f>SUM('Acct Summary 7-8'!C8+'Acct Summary 7-8'!D8+'Acct Summary 7-8'!F8+'Acct Summary 7-8'!I8)+H14</f>
        <v>20866805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-50418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20542720</v>
      </c>
      <c r="I17" s="404"/>
      <c r="J17" s="416"/>
      <c r="K17" s="405">
        <f>TRUNC((H17/H18*100000),5)/100000</f>
        <v>0.98446887289999996</v>
      </c>
      <c r="L17" s="406"/>
      <c r="M17" s="417" t="s">
        <v>1171</v>
      </c>
      <c r="O17" s="418" t="str">
        <f>IF(AND(O16="2", J20 &gt; 2),"1",IF(AND(O16 = "1", J20 &gt; 2),"2",IF(AND(O16="1", J20 &gt;1),"1","0")))</f>
        <v>0</v>
      </c>
      <c r="P17" s="218"/>
    </row>
    <row r="18" spans="1:18" s="408" customFormat="1" ht="11.25" x14ac:dyDescent="0.2">
      <c r="A18" s="218"/>
      <c r="B18" s="401"/>
      <c r="C18" s="2238" t="s">
        <v>1317</v>
      </c>
      <c r="D18" s="2239"/>
      <c r="E18" s="218"/>
      <c r="F18" s="419" t="s">
        <v>794</v>
      </c>
      <c r="G18" s="402"/>
      <c r="H18" s="403">
        <f>SUM('Acct Summary 7-8'!C8+'Acct Summary 7-8'!D8+'Acct Summary 7-8'!F8+'Acct Summary 7-8'!I8)+H19</f>
        <v>20866805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-50418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35" t="s">
        <v>1412</v>
      </c>
      <c r="D24" s="2235"/>
      <c r="E24" s="218"/>
      <c r="F24" s="218" t="s">
        <v>445</v>
      </c>
      <c r="G24" s="402"/>
      <c r="H24" s="403">
        <f>SUM('Assets-Liab 5-6'!C4+'Assets-Liab 5-6'!D4+'Assets-Liab 5-6'!F4+'Assets-Liab 5-6'!I4+'Assets-Liab 5-6'!C5+'Assets-Liab 5-6'!D5+'Assets-Liab 5-6'!F5+'Assets-Liab 5-6'!I5)</f>
        <v>14846478</v>
      </c>
      <c r="I24" s="422"/>
      <c r="J24" s="422"/>
      <c r="K24" s="423">
        <f>TRUNC(((H24/H25*100000)/100000),2)</f>
        <v>260.17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57063.111109999998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9692173.09045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36228287</v>
      </c>
      <c r="I32" s="420"/>
      <c r="J32" s="420"/>
      <c r="K32" s="423">
        <f>TRUNC(100-((((H32/H33*100))*100)/100),2)</f>
        <v>29.77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51591895.332000002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4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4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45" t="s">
        <v>973</v>
      </c>
      <c r="B3" s="2246"/>
      <c r="C3" s="1555"/>
      <c r="D3" s="1556"/>
      <c r="E3" s="1556"/>
      <c r="F3" s="1556"/>
      <c r="G3" s="1556"/>
      <c r="H3" s="1556"/>
      <c r="I3" s="1556"/>
      <c r="J3" s="1556"/>
      <c r="K3" s="1556"/>
      <c r="L3" s="1556"/>
      <c r="M3" s="1557"/>
      <c r="N3" s="1558"/>
    </row>
    <row r="4" spans="1:14" ht="13.5" customHeight="1" x14ac:dyDescent="0.2">
      <c r="A4" s="463" t="s">
        <v>1650</v>
      </c>
      <c r="B4" s="464"/>
      <c r="C4" s="465">
        <v>6114147</v>
      </c>
      <c r="D4" s="465">
        <v>2487059</v>
      </c>
      <c r="E4" s="465">
        <v>1708175</v>
      </c>
      <c r="F4" s="465">
        <v>1400245</v>
      </c>
      <c r="G4" s="465">
        <v>951065</v>
      </c>
      <c r="H4" s="465">
        <v>1456412</v>
      </c>
      <c r="I4" s="465">
        <v>4845027</v>
      </c>
      <c r="J4" s="465">
        <v>778538</v>
      </c>
      <c r="K4" s="465">
        <v>2408</v>
      </c>
      <c r="L4" s="465">
        <v>2336346</v>
      </c>
      <c r="M4" s="468"/>
      <c r="N4" s="469"/>
    </row>
    <row r="5" spans="1:14" x14ac:dyDescent="0.2">
      <c r="A5" s="463" t="s">
        <v>992</v>
      </c>
      <c r="B5" s="470">
        <v>120</v>
      </c>
      <c r="C5" s="465">
        <v>0</v>
      </c>
      <c r="D5" s="465">
        <v>0</v>
      </c>
      <c r="E5" s="465">
        <v>0</v>
      </c>
      <c r="F5" s="465">
        <v>0</v>
      </c>
      <c r="G5" s="465">
        <v>0</v>
      </c>
      <c r="H5" s="465">
        <v>0</v>
      </c>
      <c r="I5" s="465">
        <v>0</v>
      </c>
      <c r="J5" s="465">
        <v>0</v>
      </c>
      <c r="K5" s="465">
        <v>0</v>
      </c>
      <c r="L5" s="465">
        <v>455388</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6114147</v>
      </c>
      <c r="D13" s="1733">
        <f t="shared" ref="D13:L13" si="0">SUM(D4:D12)</f>
        <v>2487059</v>
      </c>
      <c r="E13" s="1733">
        <f t="shared" si="0"/>
        <v>1708175</v>
      </c>
      <c r="F13" s="1733">
        <f t="shared" si="0"/>
        <v>1400245</v>
      </c>
      <c r="G13" s="1733">
        <f t="shared" si="0"/>
        <v>951065</v>
      </c>
      <c r="H13" s="1733">
        <f t="shared" si="0"/>
        <v>1456412</v>
      </c>
      <c r="I13" s="1733">
        <f t="shared" si="0"/>
        <v>4845027</v>
      </c>
      <c r="J13" s="1733">
        <f t="shared" si="0"/>
        <v>778538</v>
      </c>
      <c r="K13" s="1733">
        <f t="shared" si="0"/>
        <v>2408</v>
      </c>
      <c r="L13" s="1733">
        <f t="shared" si="0"/>
        <v>2791734</v>
      </c>
      <c r="M13" s="468"/>
      <c r="N13" s="469"/>
    </row>
    <row r="14" spans="1:14" ht="18" customHeight="1" thickTop="1" x14ac:dyDescent="0.2">
      <c r="A14" s="2247" t="s">
        <v>147</v>
      </c>
      <c r="B14" s="2248"/>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542305</v>
      </c>
      <c r="N16" s="482"/>
    </row>
    <row r="17" spans="1:14" s="483" customFormat="1" ht="12.75" customHeight="1" x14ac:dyDescent="0.2">
      <c r="A17" s="480" t="s">
        <v>1403</v>
      </c>
      <c r="B17" s="481">
        <v>230</v>
      </c>
      <c r="C17" s="475"/>
      <c r="D17" s="475"/>
      <c r="E17" s="475"/>
      <c r="F17" s="475"/>
      <c r="G17" s="475"/>
      <c r="H17" s="475"/>
      <c r="I17" s="475"/>
      <c r="J17" s="475"/>
      <c r="K17" s="475"/>
      <c r="L17" s="475"/>
      <c r="M17" s="465">
        <v>60216745</v>
      </c>
      <c r="N17" s="482"/>
    </row>
    <row r="18" spans="1:14" s="483" customFormat="1" ht="12.75" customHeight="1" x14ac:dyDescent="0.2">
      <c r="A18" s="480" t="s">
        <v>1404</v>
      </c>
      <c r="B18" s="481">
        <v>240</v>
      </c>
      <c r="C18" s="475"/>
      <c r="D18" s="475"/>
      <c r="E18" s="475"/>
      <c r="F18" s="475"/>
      <c r="G18" s="475"/>
      <c r="H18" s="475"/>
      <c r="I18" s="475"/>
      <c r="J18" s="475"/>
      <c r="K18" s="475"/>
      <c r="L18" s="475"/>
      <c r="M18" s="465">
        <v>1395895</v>
      </c>
      <c r="N18" s="482"/>
    </row>
    <row r="19" spans="1:14" s="483" customFormat="1" ht="12.75" customHeight="1" x14ac:dyDescent="0.2">
      <c r="A19" s="480" t="s">
        <v>1405</v>
      </c>
      <c r="B19" s="481">
        <v>250</v>
      </c>
      <c r="C19" s="475"/>
      <c r="D19" s="475"/>
      <c r="E19" s="475"/>
      <c r="F19" s="475"/>
      <c r="G19" s="475"/>
      <c r="H19" s="475"/>
      <c r="I19" s="475"/>
      <c r="J19" s="475"/>
      <c r="K19" s="475"/>
      <c r="L19" s="475"/>
      <c r="M19" s="465">
        <v>2519762</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1708175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34520112</v>
      </c>
    </row>
    <row r="23" spans="1:14" ht="13.5" customHeight="1" thickBot="1" x14ac:dyDescent="0.25">
      <c r="A23" s="1732" t="s">
        <v>643</v>
      </c>
      <c r="B23" s="1737"/>
      <c r="C23" s="468"/>
      <c r="D23" s="468"/>
      <c r="E23" s="468"/>
      <c r="F23" s="468"/>
      <c r="G23" s="468"/>
      <c r="H23" s="468"/>
      <c r="I23" s="468"/>
      <c r="J23" s="468"/>
      <c r="K23" s="468"/>
      <c r="L23" s="468"/>
      <c r="M23" s="1684">
        <f>SUM(M15:M22)</f>
        <v>64674707</v>
      </c>
      <c r="N23" s="1684">
        <f>SUM(N21:N22)</f>
        <v>36228287</v>
      </c>
    </row>
    <row r="24" spans="1:14" ht="18" customHeight="1" thickTop="1" x14ac:dyDescent="0.2">
      <c r="A24" s="2249" t="s">
        <v>598</v>
      </c>
      <c r="B24" s="2250"/>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388324</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388324</v>
      </c>
      <c r="M34" s="468"/>
      <c r="N34" s="478"/>
    </row>
    <row r="35" spans="1:14" ht="18" customHeight="1" thickTop="1" x14ac:dyDescent="0.2">
      <c r="A35" s="2251" t="s">
        <v>529</v>
      </c>
      <c r="B35" s="2252"/>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36228287</v>
      </c>
    </row>
    <row r="37" spans="1:14" ht="13.5" thickBot="1" x14ac:dyDescent="0.25">
      <c r="A37" s="1732" t="s">
        <v>653</v>
      </c>
      <c r="B37" s="1737"/>
      <c r="C37" s="475"/>
      <c r="D37" s="475"/>
      <c r="E37" s="475"/>
      <c r="F37" s="475"/>
      <c r="G37" s="475"/>
      <c r="H37" s="475"/>
      <c r="I37" s="475"/>
      <c r="J37" s="475"/>
      <c r="K37" s="475"/>
      <c r="L37" s="478"/>
      <c r="M37" s="468"/>
      <c r="N37" s="1684">
        <f>SUM(N36:N36)</f>
        <v>36228287</v>
      </c>
    </row>
    <row r="38" spans="1:14" s="329" customFormat="1" ht="13.5" customHeight="1" thickTop="1" x14ac:dyDescent="0.2">
      <c r="A38" s="493" t="s">
        <v>420</v>
      </c>
      <c r="B38" s="481">
        <v>714</v>
      </c>
      <c r="C38" s="465">
        <v>64995</v>
      </c>
      <c r="D38" s="465">
        <v>0</v>
      </c>
      <c r="E38" s="465">
        <v>0</v>
      </c>
      <c r="F38" s="465">
        <v>0</v>
      </c>
      <c r="G38" s="465">
        <v>472979</v>
      </c>
      <c r="H38" s="465">
        <v>266342</v>
      </c>
      <c r="I38" s="465">
        <v>0</v>
      </c>
      <c r="J38" s="465">
        <v>0</v>
      </c>
      <c r="K38" s="465">
        <v>0</v>
      </c>
      <c r="L38" s="465">
        <v>2403410</v>
      </c>
      <c r="M38" s="494"/>
      <c r="N38" s="494"/>
    </row>
    <row r="39" spans="1:14" s="329" customFormat="1" ht="13.5" customHeight="1" x14ac:dyDescent="0.2">
      <c r="A39" s="493" t="s">
        <v>342</v>
      </c>
      <c r="B39" s="481">
        <v>730</v>
      </c>
      <c r="C39" s="465">
        <v>6049152</v>
      </c>
      <c r="D39" s="465">
        <v>2487059</v>
      </c>
      <c r="E39" s="465">
        <v>1708175</v>
      </c>
      <c r="F39" s="465">
        <v>1400245</v>
      </c>
      <c r="G39" s="465">
        <v>478086</v>
      </c>
      <c r="H39" s="465">
        <v>1190070</v>
      </c>
      <c r="I39" s="465">
        <v>4845027</v>
      </c>
      <c r="J39" s="465">
        <v>778538</v>
      </c>
      <c r="K39" s="465">
        <v>2408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64674707</v>
      </c>
      <c r="N40" s="494"/>
    </row>
    <row r="41" spans="1:14" ht="13.5" customHeight="1" thickBot="1" x14ac:dyDescent="0.25">
      <c r="A41" s="1732" t="s">
        <v>655</v>
      </c>
      <c r="B41" s="1702"/>
      <c r="C41" s="1684">
        <f>(SUM(C34,C37,C38,C39))</f>
        <v>6114147</v>
      </c>
      <c r="D41" s="1684">
        <f t="shared" ref="D41:L41" si="2">SUM(D34,D37,D38:D39)</f>
        <v>2487059</v>
      </c>
      <c r="E41" s="1684">
        <f t="shared" si="2"/>
        <v>1708175</v>
      </c>
      <c r="F41" s="1684">
        <f t="shared" si="2"/>
        <v>1400245</v>
      </c>
      <c r="G41" s="1684">
        <f t="shared" si="2"/>
        <v>951065</v>
      </c>
      <c r="H41" s="1684">
        <f t="shared" si="2"/>
        <v>1456412</v>
      </c>
      <c r="I41" s="1684">
        <f t="shared" si="2"/>
        <v>4845027</v>
      </c>
      <c r="J41" s="1684">
        <f t="shared" si="2"/>
        <v>778538</v>
      </c>
      <c r="K41" s="1684">
        <f t="shared" si="2"/>
        <v>2408</v>
      </c>
      <c r="L41" s="1684">
        <f t="shared" si="2"/>
        <v>2791734</v>
      </c>
      <c r="M41" s="1684">
        <f>SUM(M40)</f>
        <v>64674707</v>
      </c>
      <c r="N41" s="1684">
        <f>SUM(N37)</f>
        <v>36228287</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F14" sqref="F1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61" t="s">
        <v>1651</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6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73" t="s">
        <v>1175</v>
      </c>
      <c r="B3" s="2274"/>
      <c r="C3" s="1569"/>
      <c r="D3" s="1570"/>
      <c r="E3" s="1570"/>
      <c r="F3" s="1570"/>
      <c r="G3" s="1570"/>
      <c r="H3" s="1570"/>
      <c r="I3" s="1570"/>
      <c r="J3" s="1570"/>
      <c r="K3" s="1571"/>
      <c r="L3" s="503"/>
    </row>
    <row r="4" spans="1:13" ht="15.75" customHeight="1" x14ac:dyDescent="0.2">
      <c r="A4" s="1921" t="s">
        <v>1499</v>
      </c>
      <c r="B4" s="1922">
        <v>1000</v>
      </c>
      <c r="C4" s="1738">
        <f>'Revenues 9-14'!C109</f>
        <v>10821984</v>
      </c>
      <c r="D4" s="1738">
        <f>'Revenues 9-14'!D109</f>
        <v>1871356</v>
      </c>
      <c r="E4" s="1738">
        <f>'Revenues 9-14'!E109</f>
        <v>3292402</v>
      </c>
      <c r="F4" s="1738">
        <f>'Revenues 9-14'!F109</f>
        <v>753455</v>
      </c>
      <c r="G4" s="1738">
        <f>'Revenues 9-14'!G109</f>
        <v>636795</v>
      </c>
      <c r="H4" s="1738">
        <f>'Revenues 9-14'!H109</f>
        <v>663933</v>
      </c>
      <c r="I4" s="1738">
        <f>'Revenues 9-14'!I109</f>
        <v>233432</v>
      </c>
      <c r="J4" s="1738">
        <f>'Revenues 9-14'!J109</f>
        <v>825014</v>
      </c>
      <c r="K4" s="1738">
        <f>'Revenues 9-14'!K109</f>
        <v>2562</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5353144</v>
      </c>
      <c r="D6" s="1739">
        <f>'Revenues 9-14'!D170</f>
        <v>0</v>
      </c>
      <c r="E6" s="1739">
        <f>'Revenues 9-14'!E170</f>
        <v>0</v>
      </c>
      <c r="F6" s="1739">
        <f>'Revenues 9-14'!F170</f>
        <v>1171094</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712758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16887886</v>
      </c>
      <c r="D8" s="1684">
        <f t="shared" ref="D8:K8" si="0">SUM(D4:D7)</f>
        <v>1871356</v>
      </c>
      <c r="E8" s="1684">
        <f t="shared" si="0"/>
        <v>3292402</v>
      </c>
      <c r="F8" s="1684">
        <f t="shared" si="0"/>
        <v>1924549</v>
      </c>
      <c r="G8" s="1684">
        <f t="shared" si="0"/>
        <v>636795</v>
      </c>
      <c r="H8" s="1684">
        <f t="shared" si="0"/>
        <v>663933</v>
      </c>
      <c r="I8" s="1684">
        <f t="shared" si="0"/>
        <v>233432</v>
      </c>
      <c r="J8" s="1684">
        <f t="shared" si="0"/>
        <v>825014</v>
      </c>
      <c r="K8" s="1684">
        <f t="shared" si="0"/>
        <v>2562</v>
      </c>
      <c r="L8" s="347"/>
    </row>
    <row r="9" spans="1:13" ht="15.75" thickTop="1" x14ac:dyDescent="0.2">
      <c r="A9" s="511" t="s">
        <v>1652</v>
      </c>
      <c r="B9" s="512">
        <v>3998</v>
      </c>
      <c r="C9" s="465">
        <v>7353516</v>
      </c>
      <c r="D9" s="513"/>
      <c r="E9" s="479"/>
      <c r="F9" s="479"/>
      <c r="G9" s="514"/>
      <c r="H9" s="479"/>
      <c r="I9" s="506" t="s">
        <v>1169</v>
      </c>
      <c r="J9" s="476"/>
      <c r="K9" s="479"/>
      <c r="L9" s="347"/>
    </row>
    <row r="10" spans="1:13" s="516" customFormat="1" ht="13.5" thickBot="1" x14ac:dyDescent="0.25">
      <c r="A10" s="1732" t="s">
        <v>1173</v>
      </c>
      <c r="B10" s="1705"/>
      <c r="C10" s="1684">
        <f>SUM(C8:C9)</f>
        <v>24241402</v>
      </c>
      <c r="D10" s="1684">
        <f t="shared" ref="D10:K10" si="1">SUM(D8:D9)</f>
        <v>1871356</v>
      </c>
      <c r="E10" s="1684">
        <f t="shared" si="1"/>
        <v>3292402</v>
      </c>
      <c r="F10" s="1684">
        <f t="shared" si="1"/>
        <v>1924549</v>
      </c>
      <c r="G10" s="1684">
        <f t="shared" si="1"/>
        <v>636795</v>
      </c>
      <c r="H10" s="1684">
        <f t="shared" si="1"/>
        <v>663933</v>
      </c>
      <c r="I10" s="1684">
        <f t="shared" si="1"/>
        <v>233432</v>
      </c>
      <c r="J10" s="1684">
        <f t="shared" si="1"/>
        <v>825014</v>
      </c>
      <c r="K10" s="1684">
        <f t="shared" si="1"/>
        <v>2562</v>
      </c>
      <c r="L10" s="515"/>
    </row>
    <row r="11" spans="1:13" s="516" customFormat="1" ht="16.7" customHeight="1" thickTop="1" x14ac:dyDescent="0.2">
      <c r="A11" s="2247" t="s">
        <v>1176</v>
      </c>
      <c r="B11" s="2248"/>
      <c r="C11" s="1566"/>
      <c r="D11" s="1567"/>
      <c r="E11" s="1567"/>
      <c r="F11" s="1567"/>
      <c r="G11" s="1567"/>
      <c r="H11" s="1567"/>
      <c r="I11" s="1567"/>
      <c r="J11" s="1567"/>
      <c r="K11" s="1568"/>
      <c r="L11" s="515"/>
    </row>
    <row r="12" spans="1:13" ht="15.75" customHeight="1" x14ac:dyDescent="0.2">
      <c r="A12" s="1572" t="s">
        <v>456</v>
      </c>
      <c r="B12" s="1574">
        <v>1000</v>
      </c>
      <c r="C12" s="1738">
        <f>'Expenditures 15-22'!K33</f>
        <v>10370427</v>
      </c>
      <c r="D12" s="517" t="s">
        <v>1169</v>
      </c>
      <c r="E12" s="468" t="s">
        <v>1169</v>
      </c>
      <c r="F12" s="468" t="s">
        <v>1169</v>
      </c>
      <c r="G12" s="1738">
        <f>'Expenditures 15-22'!K229</f>
        <v>162768</v>
      </c>
      <c r="H12" s="518"/>
      <c r="I12" s="468" t="s">
        <v>1169</v>
      </c>
      <c r="J12" s="468" t="s">
        <v>1169</v>
      </c>
      <c r="K12" s="518" t="s">
        <v>1169</v>
      </c>
      <c r="L12" s="347"/>
    </row>
    <row r="13" spans="1:13" ht="15.75" customHeight="1" x14ac:dyDescent="0.2">
      <c r="A13" s="1572" t="s">
        <v>457</v>
      </c>
      <c r="B13" s="1574">
        <v>2000</v>
      </c>
      <c r="C13" s="1739">
        <f>'Expenditures 15-22'!K74</f>
        <v>4851765</v>
      </c>
      <c r="D13" s="1739">
        <f>'Expenditures 15-22'!K129</f>
        <v>1982540</v>
      </c>
      <c r="E13" s="469" t="s">
        <v>1169</v>
      </c>
      <c r="F13" s="1739">
        <f>'Expenditures 15-22'!K184</f>
        <v>1896124</v>
      </c>
      <c r="G13" s="1739">
        <f>'Expenditures 15-22'!K279</f>
        <v>393309</v>
      </c>
      <c r="H13" s="1739">
        <f>'Expenditures 15-22'!K303</f>
        <v>2768637</v>
      </c>
      <c r="I13" s="468" t="s">
        <v>1169</v>
      </c>
      <c r="J13" s="1739">
        <f>'Expenditures 15-22'!K330</f>
        <v>827197</v>
      </c>
      <c r="K13" s="1743">
        <f>'Expenditures 15-22'!K352</f>
        <v>725246</v>
      </c>
      <c r="L13" s="347"/>
    </row>
    <row r="14" spans="1:13" ht="15.75" customHeight="1" x14ac:dyDescent="0.2">
      <c r="A14" s="1572" t="s">
        <v>449</v>
      </c>
      <c r="B14" s="1574">
        <v>3000</v>
      </c>
      <c r="C14" s="1739">
        <f>'Expenditures 15-22'!K75</f>
        <v>151751</v>
      </c>
      <c r="D14" s="1739">
        <f>'Expenditures 15-22'!K130</f>
        <v>0</v>
      </c>
      <c r="E14" s="517" t="s">
        <v>1169</v>
      </c>
      <c r="F14" s="1739">
        <f>'Expenditures 15-22'!K185</f>
        <v>0</v>
      </c>
      <c r="G14" s="1739">
        <f>'Expenditures 15-22'!K280</f>
        <v>16310</v>
      </c>
      <c r="H14" s="509"/>
      <c r="I14" s="468" t="s">
        <v>1169</v>
      </c>
      <c r="J14" s="468" t="s">
        <v>1169</v>
      </c>
      <c r="K14" s="509" t="s">
        <v>1169</v>
      </c>
      <c r="L14" s="347"/>
    </row>
    <row r="15" spans="1:13" ht="15.75" customHeight="1" x14ac:dyDescent="0.2">
      <c r="A15" s="1572" t="s">
        <v>107</v>
      </c>
      <c r="B15" s="1574">
        <v>4000</v>
      </c>
      <c r="C15" s="1739">
        <f>'Expenditures 15-22'!K102</f>
        <v>1290113</v>
      </c>
      <c r="D15" s="1739">
        <f>'Expenditures 15-22'!K139</f>
        <v>0</v>
      </c>
      <c r="E15" s="1739">
        <f>'Expenditures 15-22'!K160</f>
        <v>0</v>
      </c>
      <c r="F15" s="1739">
        <f>'Expenditures 15-22'!K196</f>
        <v>0</v>
      </c>
      <c r="G15" s="1739">
        <f>'Expenditures 15-22'!K285</f>
        <v>34339</v>
      </c>
      <c r="H15" s="1739">
        <f>'Expenditures 15-22'!K310</f>
        <v>0</v>
      </c>
      <c r="I15" s="468" t="s">
        <v>1169</v>
      </c>
      <c r="J15" s="1831">
        <f>'Expenditures 15-22'!K334</f>
        <v>14877</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3347408</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16664056</v>
      </c>
      <c r="D17" s="1684">
        <f t="shared" si="2"/>
        <v>1982540</v>
      </c>
      <c r="E17" s="1684">
        <f t="shared" si="2"/>
        <v>3347408</v>
      </c>
      <c r="F17" s="1684">
        <f t="shared" si="2"/>
        <v>1896124</v>
      </c>
      <c r="G17" s="1684">
        <f t="shared" si="2"/>
        <v>606726</v>
      </c>
      <c r="H17" s="1684">
        <f t="shared" si="2"/>
        <v>2768637</v>
      </c>
      <c r="I17" s="468"/>
      <c r="J17" s="1684">
        <f>SUM(J12:J16)</f>
        <v>842074</v>
      </c>
      <c r="K17" s="1684">
        <f>SUM(K12:K16)</f>
        <v>725246</v>
      </c>
      <c r="L17" s="347"/>
    </row>
    <row r="18" spans="1:12" ht="15" customHeight="1" thickTop="1" x14ac:dyDescent="0.2">
      <c r="A18" s="1740" t="s">
        <v>1653</v>
      </c>
      <c r="B18" s="1741">
        <v>4180</v>
      </c>
      <c r="C18" s="1738">
        <f t="shared" ref="C18:H18" si="3">C9</f>
        <v>7353516</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24017572</v>
      </c>
      <c r="D19" s="1684">
        <f t="shared" si="4"/>
        <v>1982540</v>
      </c>
      <c r="E19" s="1684">
        <f t="shared" si="4"/>
        <v>3347408</v>
      </c>
      <c r="F19" s="1684">
        <f t="shared" si="4"/>
        <v>1896124</v>
      </c>
      <c r="G19" s="1684">
        <f t="shared" si="4"/>
        <v>606726</v>
      </c>
      <c r="H19" s="1684">
        <f t="shared" si="4"/>
        <v>2768637</v>
      </c>
      <c r="I19" s="468"/>
      <c r="J19" s="1684">
        <f>SUM(J17:J18)</f>
        <v>842074</v>
      </c>
      <c r="K19" s="1684">
        <f>SUM(K17:K18)</f>
        <v>725246</v>
      </c>
      <c r="L19" s="347"/>
    </row>
    <row r="20" spans="1:12" ht="16.5" thickTop="1" thickBot="1" x14ac:dyDescent="0.25">
      <c r="A20" s="2263" t="s">
        <v>1654</v>
      </c>
      <c r="B20" s="2264"/>
      <c r="C20" s="1742">
        <f>C8-C17</f>
        <v>223830</v>
      </c>
      <c r="D20" s="1742">
        <f t="shared" ref="D20:K20" si="5">D8-D17</f>
        <v>-111184</v>
      </c>
      <c r="E20" s="1742">
        <f t="shared" si="5"/>
        <v>-55006</v>
      </c>
      <c r="F20" s="1742">
        <f t="shared" si="5"/>
        <v>28425</v>
      </c>
      <c r="G20" s="1742">
        <f t="shared" si="5"/>
        <v>30069</v>
      </c>
      <c r="H20" s="1742">
        <f t="shared" si="5"/>
        <v>-2104704</v>
      </c>
      <c r="I20" s="1742">
        <f t="shared" si="5"/>
        <v>233432</v>
      </c>
      <c r="J20" s="1742">
        <f t="shared" si="5"/>
        <v>-17060</v>
      </c>
      <c r="K20" s="1742">
        <f t="shared" si="5"/>
        <v>-722684</v>
      </c>
      <c r="L20" s="347"/>
    </row>
    <row r="21" spans="1:12" ht="16.7" customHeight="1" thickTop="1" x14ac:dyDescent="0.2">
      <c r="A21" s="2275" t="s">
        <v>595</v>
      </c>
      <c r="B21" s="2276"/>
      <c r="C21" s="1566"/>
      <c r="D21" s="1567"/>
      <c r="E21" s="1567"/>
      <c r="F21" s="1567"/>
      <c r="G21" s="1567"/>
      <c r="H21" s="1567"/>
      <c r="I21" s="1567"/>
      <c r="J21" s="1567"/>
      <c r="K21" s="1568"/>
      <c r="L21" s="521"/>
    </row>
    <row r="22" spans="1:12" ht="15.75" customHeight="1" collapsed="1" x14ac:dyDescent="0.2">
      <c r="A22" s="2271" t="s">
        <v>596</v>
      </c>
      <c r="B22" s="2272"/>
      <c r="C22" s="475"/>
      <c r="D22" s="475"/>
      <c r="E22" s="475"/>
      <c r="F22" s="475"/>
      <c r="G22" s="475"/>
      <c r="H22" s="475"/>
      <c r="I22" s="475"/>
      <c r="J22" s="475"/>
      <c r="K22" s="475"/>
      <c r="L22" s="347"/>
    </row>
    <row r="23" spans="1:12" s="483" customFormat="1" ht="15.75" customHeight="1" x14ac:dyDescent="0.2">
      <c r="A23" s="2267" t="s">
        <v>293</v>
      </c>
      <c r="B23" s="2268"/>
      <c r="C23" s="478"/>
      <c r="D23" s="475"/>
      <c r="E23" s="475"/>
      <c r="F23" s="475"/>
      <c r="G23" s="475"/>
      <c r="H23" s="475"/>
      <c r="I23" s="475"/>
      <c r="J23" s="475"/>
      <c r="K23" s="475"/>
      <c r="L23" s="521"/>
    </row>
    <row r="24" spans="1:12" s="483" customFormat="1" ht="13.5" customHeight="1" x14ac:dyDescent="0.2">
      <c r="A24" s="1485" t="s">
        <v>1655</v>
      </c>
      <c r="B24" s="522">
        <v>7110</v>
      </c>
      <c r="C24" s="465">
        <v>0</v>
      </c>
      <c r="D24" s="475"/>
      <c r="E24" s="475"/>
      <c r="F24" s="475"/>
      <c r="G24" s="475"/>
      <c r="H24" s="475"/>
      <c r="I24" s="475"/>
      <c r="J24" s="475"/>
      <c r="K24" s="475"/>
      <c r="L24" s="521"/>
    </row>
    <row r="25" spans="1:12" s="483" customFormat="1" ht="13.5" customHeight="1" x14ac:dyDescent="0.2">
      <c r="A25" s="1485" t="s">
        <v>1656</v>
      </c>
      <c r="B25" s="522">
        <v>7110</v>
      </c>
      <c r="C25" s="465">
        <v>500000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1790</v>
      </c>
      <c r="B30" s="524">
        <v>7160</v>
      </c>
      <c r="C30" s="475"/>
      <c r="D30" s="467">
        <v>0</v>
      </c>
      <c r="E30" s="475"/>
      <c r="F30" s="475"/>
      <c r="G30" s="475"/>
      <c r="H30" s="475"/>
      <c r="I30" s="475"/>
      <c r="J30" s="475"/>
      <c r="K30" s="475"/>
      <c r="L30" s="521"/>
    </row>
    <row r="31" spans="1:12" s="483" customFormat="1" ht="26.25" x14ac:dyDescent="0.2">
      <c r="A31" s="1485" t="s">
        <v>1794</v>
      </c>
      <c r="B31" s="524">
        <v>7170</v>
      </c>
      <c r="C31" s="475"/>
      <c r="D31" s="475"/>
      <c r="E31" s="473">
        <v>0</v>
      </c>
      <c r="F31" s="475"/>
      <c r="G31" s="475"/>
      <c r="H31" s="475"/>
      <c r="I31" s="475"/>
      <c r="J31" s="475"/>
      <c r="K31" s="475"/>
      <c r="L31" s="521"/>
    </row>
    <row r="32" spans="1:12" s="483" customFormat="1" ht="15.75" customHeight="1" x14ac:dyDescent="0.2">
      <c r="A32" s="2269" t="s">
        <v>981</v>
      </c>
      <c r="B32" s="2270"/>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1657</v>
      </c>
      <c r="B36" s="522">
        <v>7300</v>
      </c>
      <c r="C36" s="465">
        <v>0</v>
      </c>
      <c r="D36" s="467">
        <v>9576</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49180</v>
      </c>
      <c r="F37" s="474"/>
      <c r="G37" s="474"/>
      <c r="H37" s="474"/>
      <c r="I37" s="475"/>
      <c r="J37" s="474"/>
      <c r="K37" s="474"/>
      <c r="L37" s="521"/>
    </row>
    <row r="38" spans="1:12" s="483" customFormat="1" x14ac:dyDescent="0.2">
      <c r="A38" s="1485" t="s">
        <v>442</v>
      </c>
      <c r="B38" s="522">
        <v>7500</v>
      </c>
      <c r="C38" s="475"/>
      <c r="D38" s="475"/>
      <c r="E38" s="1739">
        <f>SUM(C58:D61,H58:H61)</f>
        <v>1238</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77" t="s">
        <v>374</v>
      </c>
      <c r="B44" s="2278"/>
      <c r="C44" s="1699">
        <f>SUM(C24:C43)</f>
        <v>500000</v>
      </c>
      <c r="D44" s="1699">
        <f t="shared" ref="D44:K44" si="6">SUM(D24:D43)</f>
        <v>9576</v>
      </c>
      <c r="E44" s="1699">
        <f t="shared" si="6"/>
        <v>50418</v>
      </c>
      <c r="F44" s="1699">
        <f t="shared" si="6"/>
        <v>0</v>
      </c>
      <c r="G44" s="1699">
        <f t="shared" si="6"/>
        <v>0</v>
      </c>
      <c r="H44" s="1699">
        <f t="shared" si="6"/>
        <v>0</v>
      </c>
      <c r="I44" s="1699">
        <f t="shared" si="6"/>
        <v>0</v>
      </c>
      <c r="J44" s="1699">
        <f t="shared" si="6"/>
        <v>0</v>
      </c>
      <c r="K44" s="1699">
        <f t="shared" si="6"/>
        <v>0</v>
      </c>
      <c r="L44" s="521"/>
    </row>
    <row r="45" spans="1:12" ht="15.75" customHeight="1" thickTop="1" x14ac:dyDescent="0.2">
      <c r="A45" s="2271" t="s">
        <v>108</v>
      </c>
      <c r="B45" s="2272"/>
      <c r="C45" s="525"/>
      <c r="D45" s="525"/>
      <c r="E45" s="525"/>
      <c r="F45" s="525"/>
      <c r="G45" s="525"/>
      <c r="H45" s="525"/>
      <c r="I45" s="525"/>
      <c r="J45" s="525"/>
      <c r="K45" s="525"/>
      <c r="L45" s="347"/>
    </row>
    <row r="46" spans="1:12" s="483" customFormat="1" ht="15.75" customHeight="1" x14ac:dyDescent="0.2">
      <c r="A46" s="2279" t="s">
        <v>109</v>
      </c>
      <c r="B46" s="2280"/>
      <c r="C46" s="475"/>
      <c r="D46" s="475"/>
      <c r="E46" s="475"/>
      <c r="F46" s="475"/>
      <c r="G46" s="475"/>
      <c r="H46" s="475"/>
      <c r="I46" s="478"/>
      <c r="J46" s="475"/>
      <c r="K46" s="475"/>
      <c r="L46" s="526"/>
    </row>
    <row r="47" spans="1:12" s="483" customFormat="1" ht="15" x14ac:dyDescent="0.2">
      <c r="A47" s="1486" t="s">
        <v>1658</v>
      </c>
      <c r="B47" s="481">
        <v>8110</v>
      </c>
      <c r="C47" s="475"/>
      <c r="D47" s="475"/>
      <c r="E47" s="475"/>
      <c r="F47" s="475"/>
      <c r="G47" s="475"/>
      <c r="H47" s="475"/>
      <c r="I47" s="1739">
        <f>SUM(C24,C25:H25,J25:K25)</f>
        <v>500000</v>
      </c>
      <c r="J47" s="475"/>
      <c r="K47" s="475"/>
      <c r="L47" s="526"/>
    </row>
    <row r="48" spans="1:12" s="483" customFormat="1" ht="15" x14ac:dyDescent="0.2">
      <c r="A48" s="1486" t="s">
        <v>1659</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1793</v>
      </c>
      <c r="B52" s="481">
        <v>8160</v>
      </c>
      <c r="C52" s="475"/>
      <c r="D52" s="475"/>
      <c r="E52" s="475"/>
      <c r="F52" s="475"/>
      <c r="G52" s="475"/>
      <c r="H52" s="475"/>
      <c r="I52" s="475"/>
      <c r="J52" s="475"/>
      <c r="K52" s="1739">
        <f>D30</f>
        <v>0</v>
      </c>
      <c r="L52" s="521"/>
    </row>
    <row r="53" spans="1:12" s="483" customFormat="1" ht="26.25" x14ac:dyDescent="0.2">
      <c r="A53" s="1486" t="s">
        <v>1792</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49180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1238</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53" t="s">
        <v>440</v>
      </c>
      <c r="B76" s="2254"/>
      <c r="C76" s="1699">
        <f t="shared" ref="C76:K76" si="7">SUM(C47:C75)</f>
        <v>50418</v>
      </c>
      <c r="D76" s="1699">
        <f t="shared" si="7"/>
        <v>0</v>
      </c>
      <c r="E76" s="1699">
        <f t="shared" si="7"/>
        <v>0</v>
      </c>
      <c r="F76" s="1699">
        <f t="shared" si="7"/>
        <v>0</v>
      </c>
      <c r="G76" s="1699">
        <f t="shared" si="7"/>
        <v>0</v>
      </c>
      <c r="H76" s="1699">
        <f t="shared" si="7"/>
        <v>0</v>
      </c>
      <c r="I76" s="1699">
        <f t="shared" si="7"/>
        <v>500000</v>
      </c>
      <c r="J76" s="1699">
        <f t="shared" si="7"/>
        <v>0</v>
      </c>
      <c r="K76" s="1699">
        <f t="shared" si="7"/>
        <v>0</v>
      </c>
      <c r="L76" s="521"/>
    </row>
    <row r="77" spans="1:12" ht="14.25" thickTop="1" thickBot="1" x14ac:dyDescent="0.25">
      <c r="A77" s="2255" t="s">
        <v>1177</v>
      </c>
      <c r="B77" s="2256"/>
      <c r="C77" s="1699">
        <f t="shared" ref="C77:K77" si="8">C44-C76</f>
        <v>449582</v>
      </c>
      <c r="D77" s="1699">
        <f t="shared" si="8"/>
        <v>9576</v>
      </c>
      <c r="E77" s="1699">
        <f t="shared" si="8"/>
        <v>50418</v>
      </c>
      <c r="F77" s="1699">
        <f t="shared" si="8"/>
        <v>0</v>
      </c>
      <c r="G77" s="1699">
        <f t="shared" si="8"/>
        <v>0</v>
      </c>
      <c r="H77" s="1699">
        <f t="shared" si="8"/>
        <v>0</v>
      </c>
      <c r="I77" s="1699">
        <f t="shared" si="8"/>
        <v>-500000</v>
      </c>
      <c r="J77" s="1699">
        <f t="shared" si="8"/>
        <v>0</v>
      </c>
      <c r="K77" s="1699">
        <f t="shared" si="8"/>
        <v>0</v>
      </c>
      <c r="L77" s="347"/>
    </row>
    <row r="78" spans="1:12" ht="21.75" customHeight="1" thickTop="1" thickBot="1" x14ac:dyDescent="0.25">
      <c r="A78" s="2259" t="s">
        <v>597</v>
      </c>
      <c r="B78" s="2260"/>
      <c r="C78" s="1698">
        <f t="shared" ref="C78:K78" si="9">C20+C77</f>
        <v>673412</v>
      </c>
      <c r="D78" s="1698">
        <f t="shared" si="9"/>
        <v>-101608</v>
      </c>
      <c r="E78" s="1698">
        <f t="shared" si="9"/>
        <v>-4588</v>
      </c>
      <c r="F78" s="1698">
        <f t="shared" si="9"/>
        <v>28425</v>
      </c>
      <c r="G78" s="1698">
        <f t="shared" si="9"/>
        <v>30069</v>
      </c>
      <c r="H78" s="1698">
        <f t="shared" si="9"/>
        <v>-2104704</v>
      </c>
      <c r="I78" s="1698">
        <f t="shared" si="9"/>
        <v>-266568</v>
      </c>
      <c r="J78" s="1698">
        <f t="shared" si="9"/>
        <v>-17060</v>
      </c>
      <c r="K78" s="1698">
        <f t="shared" si="9"/>
        <v>-722684</v>
      </c>
      <c r="L78" s="530"/>
    </row>
    <row r="79" spans="1:12" ht="13.5" thickTop="1" x14ac:dyDescent="0.2">
      <c r="A79" s="1490" t="s">
        <v>1945</v>
      </c>
      <c r="B79" s="531"/>
      <c r="C79" s="476">
        <v>5440735</v>
      </c>
      <c r="D79" s="476">
        <v>2588667</v>
      </c>
      <c r="E79" s="476">
        <v>1712763</v>
      </c>
      <c r="F79" s="476">
        <v>1371820</v>
      </c>
      <c r="G79" s="476">
        <v>920996</v>
      </c>
      <c r="H79" s="476">
        <v>3561116</v>
      </c>
      <c r="I79" s="476">
        <v>5111595</v>
      </c>
      <c r="J79" s="476">
        <v>795598</v>
      </c>
      <c r="K79" s="476">
        <v>725092</v>
      </c>
      <c r="L79" s="347"/>
    </row>
    <row r="80" spans="1:12" x14ac:dyDescent="0.2">
      <c r="A80" s="2265" t="s">
        <v>1791</v>
      </c>
      <c r="B80" s="2266"/>
      <c r="C80" s="467">
        <v>0</v>
      </c>
      <c r="D80" s="467">
        <v>0</v>
      </c>
      <c r="E80" s="467">
        <v>0</v>
      </c>
      <c r="F80" s="467">
        <v>0</v>
      </c>
      <c r="G80" s="467">
        <v>0</v>
      </c>
      <c r="H80" s="467">
        <v>0</v>
      </c>
      <c r="I80" s="467">
        <v>0</v>
      </c>
      <c r="J80" s="467">
        <v>0</v>
      </c>
      <c r="K80" s="467">
        <v>0</v>
      </c>
      <c r="L80" s="347"/>
    </row>
    <row r="81" spans="1:12" ht="13.5" thickBot="1" x14ac:dyDescent="0.25">
      <c r="A81" s="2257" t="s">
        <v>1946</v>
      </c>
      <c r="B81" s="2258"/>
      <c r="C81" s="1684">
        <f>(SUM(C78:C80))</f>
        <v>6114147</v>
      </c>
      <c r="D81" s="1684">
        <f>SUM(D78:D80)</f>
        <v>2487059</v>
      </c>
      <c r="E81" s="1684">
        <f t="shared" ref="E81:K81" si="10">SUM(E78:E80)</f>
        <v>1708175</v>
      </c>
      <c r="F81" s="1684">
        <f t="shared" si="10"/>
        <v>1400245</v>
      </c>
      <c r="G81" s="1684">
        <f t="shared" si="10"/>
        <v>951065</v>
      </c>
      <c r="H81" s="1684">
        <f t="shared" si="10"/>
        <v>1456412</v>
      </c>
      <c r="I81" s="1684">
        <f t="shared" si="10"/>
        <v>4845027</v>
      </c>
      <c r="J81" s="1684">
        <f t="shared" si="10"/>
        <v>778538</v>
      </c>
      <c r="K81" s="1684">
        <f t="shared" si="10"/>
        <v>2408</v>
      </c>
      <c r="L81" s="347"/>
    </row>
    <row r="82" spans="1:12" ht="0.75" customHeight="1" thickTop="1" thickBot="1" x14ac:dyDescent="0.25">
      <c r="A82" s="533" t="s">
        <v>343</v>
      </c>
      <c r="B82" s="534"/>
      <c r="C82" s="535">
        <f>(C81-C79)</f>
        <v>673412</v>
      </c>
      <c r="D82" s="535">
        <f t="shared" ref="D82:K82" si="11">(D81-D79)</f>
        <v>-101608</v>
      </c>
      <c r="E82" s="535">
        <f t="shared" si="11"/>
        <v>-4588</v>
      </c>
      <c r="F82" s="535">
        <f t="shared" si="11"/>
        <v>28425</v>
      </c>
      <c r="G82" s="535">
        <f t="shared" si="11"/>
        <v>30069</v>
      </c>
      <c r="H82" s="535">
        <f t="shared" si="11"/>
        <v>-2104704</v>
      </c>
      <c r="I82" s="535">
        <f t="shared" si="11"/>
        <v>-266568</v>
      </c>
      <c r="J82" s="535">
        <f t="shared" si="11"/>
        <v>-17060</v>
      </c>
      <c r="K82" s="535">
        <f t="shared" si="11"/>
        <v>-722684</v>
      </c>
    </row>
    <row r="83" spans="1:12" ht="14.25" hidden="1" thickTop="1" thickBot="1" x14ac:dyDescent="0.25">
      <c r="A83" s="536" t="s">
        <v>344</v>
      </c>
      <c r="B83" s="464"/>
      <c r="C83" s="537">
        <f>C82/C81</f>
        <v>0.11013997537187117</v>
      </c>
      <c r="D83" s="537">
        <f t="shared" ref="D83:K83" si="12">D82/D81</f>
        <v>-4.0854680166413422E-2</v>
      </c>
      <c r="E83" s="537">
        <f t="shared" si="12"/>
        <v>-2.6859074743512813E-3</v>
      </c>
      <c r="F83" s="537">
        <f t="shared" si="12"/>
        <v>2.0300018925259507E-2</v>
      </c>
      <c r="G83" s="537">
        <f t="shared" si="12"/>
        <v>3.1616135595358884E-2</v>
      </c>
      <c r="H83" s="537">
        <f t="shared" si="12"/>
        <v>-1.4451295375209763</v>
      </c>
      <c r="I83" s="537">
        <f t="shared" si="12"/>
        <v>-5.5018888439630986E-2</v>
      </c>
      <c r="J83" s="537">
        <f t="shared" si="12"/>
        <v>-2.1912867451556635E-2</v>
      </c>
      <c r="K83" s="537">
        <f t="shared" si="12"/>
        <v>-300.11794019933552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F14" sqref="F14"/>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61" t="s">
        <v>1798</v>
      </c>
      <c r="B1" s="452"/>
      <c r="C1" s="453" t="s">
        <v>425</v>
      </c>
      <c r="D1" s="453" t="s">
        <v>426</v>
      </c>
      <c r="E1" s="453" t="s">
        <v>427</v>
      </c>
      <c r="F1" s="453" t="s">
        <v>428</v>
      </c>
      <c r="G1" s="453" t="s">
        <v>429</v>
      </c>
      <c r="H1" s="453" t="s">
        <v>430</v>
      </c>
      <c r="I1" s="453" t="s">
        <v>431</v>
      </c>
      <c r="J1" s="453" t="s">
        <v>432</v>
      </c>
      <c r="K1" s="453" t="s">
        <v>756</v>
      </c>
    </row>
    <row r="2" spans="1:12" ht="36" x14ac:dyDescent="0.2">
      <c r="A2" s="226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1660</v>
      </c>
      <c r="B5" s="544"/>
      <c r="C5" s="479">
        <v>8690439</v>
      </c>
      <c r="D5" s="479">
        <v>1849029</v>
      </c>
      <c r="E5" s="466">
        <v>2680919</v>
      </c>
      <c r="F5" s="545">
        <v>739613</v>
      </c>
      <c r="G5" s="466">
        <v>297433</v>
      </c>
      <c r="H5" s="466">
        <v>0</v>
      </c>
      <c r="I5" s="466">
        <v>184903</v>
      </c>
      <c r="J5" s="467">
        <v>812904</v>
      </c>
      <c r="K5" s="466">
        <v>0</v>
      </c>
    </row>
    <row r="6" spans="1:12" ht="15" x14ac:dyDescent="0.2">
      <c r="A6" s="463" t="s">
        <v>1661</v>
      </c>
      <c r="B6" s="470">
        <v>1130</v>
      </c>
      <c r="C6" s="466">
        <v>38068</v>
      </c>
      <c r="D6" s="466">
        <v>0</v>
      </c>
      <c r="E6" s="474"/>
      <c r="F6" s="474"/>
      <c r="G6" s="468"/>
      <c r="H6" s="468"/>
      <c r="I6" s="468"/>
      <c r="J6" s="468"/>
      <c r="K6" s="468"/>
    </row>
    <row r="7" spans="1:12" x14ac:dyDescent="0.2">
      <c r="A7" s="463" t="s">
        <v>110</v>
      </c>
      <c r="B7" s="546">
        <v>1140</v>
      </c>
      <c r="C7" s="466">
        <v>147922</v>
      </c>
      <c r="D7" s="466">
        <v>0</v>
      </c>
      <c r="E7" s="468"/>
      <c r="F7" s="467">
        <v>0</v>
      </c>
      <c r="G7" s="467">
        <v>0</v>
      </c>
      <c r="H7" s="467">
        <v>0</v>
      </c>
      <c r="I7" s="468"/>
      <c r="J7" s="468"/>
      <c r="K7" s="468"/>
    </row>
    <row r="8" spans="1:12" x14ac:dyDescent="0.2">
      <c r="A8" s="463" t="s">
        <v>413</v>
      </c>
      <c r="B8" s="470">
        <v>1150</v>
      </c>
      <c r="C8" s="474"/>
      <c r="D8" s="474"/>
      <c r="E8" s="475"/>
      <c r="F8" s="475"/>
      <c r="G8" s="479">
        <v>297549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8876429</v>
      </c>
      <c r="D12" s="1703">
        <f t="shared" si="0"/>
        <v>1849029</v>
      </c>
      <c r="E12" s="1703">
        <f t="shared" si="0"/>
        <v>2680919</v>
      </c>
      <c r="F12" s="1703">
        <f t="shared" si="0"/>
        <v>739613</v>
      </c>
      <c r="G12" s="1703">
        <f t="shared" si="0"/>
        <v>594982</v>
      </c>
      <c r="H12" s="1703">
        <f t="shared" si="0"/>
        <v>0</v>
      </c>
      <c r="I12" s="1703">
        <f t="shared" si="0"/>
        <v>184903</v>
      </c>
      <c r="J12" s="1703">
        <f t="shared" si="0"/>
        <v>812904</v>
      </c>
      <c r="K12" s="1684">
        <f t="shared" si="0"/>
        <v>0</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1068</v>
      </c>
      <c r="D15" s="466">
        <v>187</v>
      </c>
      <c r="E15" s="466">
        <v>39</v>
      </c>
      <c r="F15" s="466">
        <v>72</v>
      </c>
      <c r="G15" s="466">
        <v>5</v>
      </c>
      <c r="H15" s="466">
        <v>0</v>
      </c>
      <c r="I15" s="466">
        <v>15</v>
      </c>
      <c r="J15" s="467">
        <v>129</v>
      </c>
      <c r="K15" s="466">
        <v>0</v>
      </c>
    </row>
    <row r="16" spans="1:12" ht="15" customHeight="1" x14ac:dyDescent="0.2">
      <c r="A16" s="463" t="s">
        <v>1662</v>
      </c>
      <c r="B16" s="546">
        <v>1230</v>
      </c>
      <c r="C16" s="548">
        <v>433840</v>
      </c>
      <c r="D16" s="466">
        <v>0</v>
      </c>
      <c r="E16" s="466">
        <v>0</v>
      </c>
      <c r="F16" s="466">
        <v>0</v>
      </c>
      <c r="G16" s="466">
        <v>33331</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434908</v>
      </c>
      <c r="D18" s="1706">
        <f t="shared" ref="D18:K18" si="1">SUM(D14:D17)</f>
        <v>187</v>
      </c>
      <c r="E18" s="1706">
        <f t="shared" si="1"/>
        <v>39</v>
      </c>
      <c r="F18" s="1706">
        <f t="shared" si="1"/>
        <v>72</v>
      </c>
      <c r="G18" s="1706">
        <f t="shared" si="1"/>
        <v>33336</v>
      </c>
      <c r="H18" s="1706">
        <f t="shared" si="1"/>
        <v>0</v>
      </c>
      <c r="I18" s="1706">
        <f t="shared" si="1"/>
        <v>15</v>
      </c>
      <c r="J18" s="1706">
        <f t="shared" si="1"/>
        <v>129</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1404</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1404</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39034</v>
      </c>
      <c r="D65" s="466">
        <v>22140</v>
      </c>
      <c r="E65" s="466">
        <v>11444</v>
      </c>
      <c r="F65" s="467">
        <v>12366</v>
      </c>
      <c r="G65" s="466">
        <v>8477</v>
      </c>
      <c r="H65" s="466">
        <v>19694</v>
      </c>
      <c r="I65" s="466">
        <v>48514</v>
      </c>
      <c r="J65" s="467">
        <v>6111</v>
      </c>
      <c r="K65" s="466">
        <v>2562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39034</v>
      </c>
      <c r="D67" s="1684">
        <f t="shared" ref="D67:K67" si="2">SUM(D65:D66)</f>
        <v>22140</v>
      </c>
      <c r="E67" s="1684">
        <f t="shared" si="2"/>
        <v>11444</v>
      </c>
      <c r="F67" s="1684">
        <f t="shared" si="2"/>
        <v>12366</v>
      </c>
      <c r="G67" s="1684">
        <f t="shared" si="2"/>
        <v>8477</v>
      </c>
      <c r="H67" s="1684">
        <f t="shared" si="2"/>
        <v>19694</v>
      </c>
      <c r="I67" s="1684">
        <f t="shared" si="2"/>
        <v>48514</v>
      </c>
      <c r="J67" s="1684">
        <f t="shared" si="2"/>
        <v>6111</v>
      </c>
      <c r="K67" s="1684">
        <f t="shared" si="2"/>
        <v>2562</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776641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62500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2015</v>
      </c>
      <c r="D74" s="468"/>
      <c r="E74" s="468"/>
      <c r="F74" s="468"/>
      <c r="G74" s="468"/>
      <c r="H74" s="468"/>
      <c r="I74" s="468"/>
      <c r="J74" s="468"/>
      <c r="K74" s="468"/>
    </row>
    <row r="75" spans="1:11" ht="12.75" customHeight="1" thickBot="1" x14ac:dyDescent="0.25">
      <c r="A75" s="1704" t="s">
        <v>548</v>
      </c>
      <c r="B75" s="1705"/>
      <c r="C75" s="1684">
        <f>SUM(C69:C74)</f>
        <v>841156</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78790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34567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176463</v>
      </c>
      <c r="D81" s="466">
        <v>0</v>
      </c>
      <c r="E81" s="468"/>
      <c r="F81" s="468"/>
      <c r="G81" s="468"/>
      <c r="H81" s="468"/>
      <c r="I81" s="468"/>
      <c r="J81" s="468"/>
      <c r="K81" s="468"/>
    </row>
    <row r="82" spans="1:11" ht="12.75" customHeight="1" thickBot="1" x14ac:dyDescent="0.25">
      <c r="A82" s="1704" t="s">
        <v>241</v>
      </c>
      <c r="B82" s="1705"/>
      <c r="C82" s="1703">
        <f>SUM(C77:C81)</f>
        <v>289820</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254800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254800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39014</v>
      </c>
      <c r="D96" s="548">
        <v>0</v>
      </c>
      <c r="E96" s="477">
        <v>0</v>
      </c>
      <c r="F96" s="476">
        <v>0</v>
      </c>
      <c r="G96" s="476">
        <v>0</v>
      </c>
      <c r="H96" s="476">
        <v>228500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5766</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27074</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600000</v>
      </c>
      <c r="F103" s="468"/>
      <c r="G103" s="468"/>
      <c r="H103" s="486">
        <v>412831</v>
      </c>
      <c r="I103" s="468"/>
      <c r="J103" s="507"/>
      <c r="K103" s="507"/>
    </row>
    <row r="104" spans="1:12" ht="12.75" customHeight="1" x14ac:dyDescent="0.2">
      <c r="A104" s="463" t="s">
        <v>830</v>
      </c>
      <c r="B104" s="470">
        <v>1991</v>
      </c>
      <c r="C104" s="486">
        <v>6593</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7390</v>
      </c>
      <c r="D107" s="466">
        <v>0</v>
      </c>
      <c r="E107" s="466">
        <v>0</v>
      </c>
      <c r="F107" s="466">
        <v>0</v>
      </c>
      <c r="G107" s="466">
        <v>0</v>
      </c>
      <c r="H107" s="466">
        <v>2908</v>
      </c>
      <c r="I107" s="466">
        <v>0</v>
      </c>
      <c r="J107" s="467">
        <v>5870</v>
      </c>
      <c r="K107" s="466">
        <v>0</v>
      </c>
    </row>
    <row r="108" spans="1:12" ht="12.75" customHeight="1" thickBot="1" x14ac:dyDescent="0.25">
      <c r="A108" s="1704" t="s">
        <v>487</v>
      </c>
      <c r="B108" s="1708"/>
      <c r="C108" s="1703">
        <f>SUM(C95:C107)</f>
        <v>85837</v>
      </c>
      <c r="D108" s="1703">
        <f t="shared" ref="D108:K108" si="3">SUM(D95:D107)</f>
        <v>0</v>
      </c>
      <c r="E108" s="1703">
        <f t="shared" si="3"/>
        <v>600000</v>
      </c>
      <c r="F108" s="1703">
        <f t="shared" si="3"/>
        <v>0</v>
      </c>
      <c r="G108" s="1703">
        <f t="shared" si="3"/>
        <v>0</v>
      </c>
      <c r="H108" s="1703">
        <f t="shared" si="3"/>
        <v>644239</v>
      </c>
      <c r="I108" s="1703">
        <f t="shared" si="3"/>
        <v>0</v>
      </c>
      <c r="J108" s="1703">
        <f t="shared" si="3"/>
        <v>5870</v>
      </c>
      <c r="K108" s="1684">
        <f t="shared" si="3"/>
        <v>0</v>
      </c>
    </row>
    <row r="109" spans="1:12" ht="14.25" thickTop="1" thickBot="1" x14ac:dyDescent="0.25">
      <c r="A109" s="1709" t="s">
        <v>248</v>
      </c>
      <c r="B109" s="1710" t="s">
        <v>570</v>
      </c>
      <c r="C109" s="1711">
        <f t="shared" ref="C109:K109" si="4">SUM(C12,C18,C40,C63,C67,C75,C82,C93,C108,)</f>
        <v>10821984</v>
      </c>
      <c r="D109" s="1711">
        <f t="shared" si="4"/>
        <v>1871356</v>
      </c>
      <c r="E109" s="1711">
        <f t="shared" si="4"/>
        <v>3292402</v>
      </c>
      <c r="F109" s="1711">
        <f t="shared" si="4"/>
        <v>753455</v>
      </c>
      <c r="G109" s="1711">
        <f t="shared" si="4"/>
        <v>636795</v>
      </c>
      <c r="H109" s="1711">
        <f t="shared" si="4"/>
        <v>663933</v>
      </c>
      <c r="I109" s="1711">
        <f t="shared" si="4"/>
        <v>233432</v>
      </c>
      <c r="J109" s="1711">
        <f t="shared" si="4"/>
        <v>825014</v>
      </c>
      <c r="K109" s="1698">
        <f t="shared" si="4"/>
        <v>2562</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1666</v>
      </c>
      <c r="B117" s="559">
        <v>3001</v>
      </c>
      <c r="C117" s="513">
        <v>5094672</v>
      </c>
      <c r="D117" s="479">
        <v>0</v>
      </c>
      <c r="E117" s="466">
        <v>0</v>
      </c>
      <c r="F117" s="479">
        <v>0</v>
      </c>
      <c r="G117" s="479">
        <v>0</v>
      </c>
      <c r="H117" s="466">
        <v>0</v>
      </c>
      <c r="I117" s="468"/>
      <c r="J117" s="467">
        <v>0</v>
      </c>
      <c r="K117" s="466">
        <v>0</v>
      </c>
    </row>
    <row r="118" spans="1:11" ht="12.75" customHeight="1" x14ac:dyDescent="0.2">
      <c r="A118" s="463" t="s">
        <v>1795</v>
      </c>
      <c r="B118" s="559">
        <v>3002</v>
      </c>
      <c r="C118" s="548"/>
      <c r="D118" s="466"/>
      <c r="E118" s="466"/>
      <c r="F118" s="466"/>
      <c r="G118" s="466"/>
      <c r="H118" s="466"/>
      <c r="I118" s="468"/>
      <c r="J118" s="467"/>
      <c r="K118" s="466"/>
    </row>
    <row r="119" spans="1:11" ht="12.75" customHeight="1" x14ac:dyDescent="0.2">
      <c r="A119" s="463" t="s">
        <v>1796</v>
      </c>
      <c r="B119" s="559">
        <v>3005</v>
      </c>
      <c r="C119" s="548">
        <v>0</v>
      </c>
      <c r="D119" s="466">
        <v>0</v>
      </c>
      <c r="E119" s="466">
        <v>0</v>
      </c>
      <c r="F119" s="466">
        <v>0</v>
      </c>
      <c r="G119" s="479">
        <v>0</v>
      </c>
      <c r="H119" s="466">
        <v>0</v>
      </c>
      <c r="I119" s="468"/>
      <c r="J119" s="467">
        <v>0</v>
      </c>
      <c r="K119" s="466">
        <v>0</v>
      </c>
    </row>
    <row r="120" spans="1:11" ht="12.75" customHeight="1" x14ac:dyDescent="0.2">
      <c r="A120" s="1923" t="s">
        <v>1932</v>
      </c>
      <c r="B120" s="559">
        <v>3030</v>
      </c>
      <c r="C120" s="548">
        <v>0</v>
      </c>
      <c r="D120" s="466">
        <v>0</v>
      </c>
      <c r="E120" s="466">
        <v>0</v>
      </c>
      <c r="F120" s="466">
        <v>0</v>
      </c>
      <c r="G120" s="466">
        <v>0</v>
      </c>
      <c r="H120" s="466">
        <v>0</v>
      </c>
      <c r="I120" s="468"/>
      <c r="J120" s="467">
        <v>0</v>
      </c>
      <c r="K120" s="466">
        <v>0</v>
      </c>
    </row>
    <row r="121" spans="1:11" x14ac:dyDescent="0.2">
      <c r="A121" s="1492" t="s">
        <v>1797</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5094672</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732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48151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48883</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48617</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5195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53812</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5514</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39064</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957301</v>
      </c>
      <c r="G152" s="467">
        <v>0</v>
      </c>
      <c r="H152" s="468"/>
      <c r="I152" s="468"/>
      <c r="J152" s="468"/>
      <c r="K152" s="468"/>
    </row>
    <row r="153" spans="1:11" ht="12.75" customHeight="1" x14ac:dyDescent="0.2">
      <c r="A153" s="463" t="s">
        <v>1057</v>
      </c>
      <c r="B153" s="559">
        <v>3510</v>
      </c>
      <c r="C153" s="548">
        <v>0</v>
      </c>
      <c r="D153" s="466">
        <v>0</v>
      </c>
      <c r="E153" s="558"/>
      <c r="F153" s="466">
        <v>213793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1171094</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103299</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7900</v>
      </c>
      <c r="D168" s="577">
        <v>0</v>
      </c>
      <c r="E168" s="577">
        <v>0</v>
      </c>
      <c r="F168" s="577">
        <v>0</v>
      </c>
      <c r="G168" s="578">
        <v>0</v>
      </c>
      <c r="H168" s="579">
        <v>0</v>
      </c>
      <c r="I168" s="578">
        <v>0</v>
      </c>
      <c r="J168" s="578">
        <v>0</v>
      </c>
      <c r="K168" s="579">
        <v>0</v>
      </c>
    </row>
    <row r="169" spans="1:11" ht="12.75" customHeight="1" thickTop="1" thickBot="1" x14ac:dyDescent="0.25">
      <c r="A169" s="2281" t="s">
        <v>398</v>
      </c>
      <c r="B169" s="2282"/>
      <c r="C169" s="1718">
        <f t="shared" ref="C169:K169" si="6">SUM(C132,C141,C145,C146:C150,C155,C156:C167,C168)</f>
        <v>258472</v>
      </c>
      <c r="D169" s="1718">
        <f t="shared" si="6"/>
        <v>0</v>
      </c>
      <c r="E169" s="1718">
        <f t="shared" si="6"/>
        <v>0</v>
      </c>
      <c r="F169" s="1718">
        <f t="shared" si="6"/>
        <v>1171094</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5353144</v>
      </c>
      <c r="D170" s="1711">
        <f t="shared" si="7"/>
        <v>0</v>
      </c>
      <c r="E170" s="1711">
        <f t="shared" si="7"/>
        <v>0</v>
      </c>
      <c r="F170" s="1711">
        <f t="shared" si="7"/>
        <v>1171094</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283" t="s">
        <v>1492</v>
      </c>
      <c r="B172" s="228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87" t="s">
        <v>1664</v>
      </c>
      <c r="B175" s="2288"/>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291" t="s">
        <v>1663</v>
      </c>
      <c r="B176" s="229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89" t="s">
        <v>785</v>
      </c>
      <c r="B181" s="2290"/>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285" t="s">
        <v>1799</v>
      </c>
      <c r="B182" s="2286"/>
      <c r="C182" s="581"/>
      <c r="D182" s="563"/>
      <c r="E182" s="506"/>
      <c r="F182" s="563"/>
      <c r="G182" s="563"/>
      <c r="H182" s="468"/>
      <c r="I182" s="468"/>
      <c r="J182" s="468"/>
      <c r="K182" s="468"/>
    </row>
    <row r="183" spans="1:11" ht="15.75" customHeight="1" x14ac:dyDescent="0.2">
      <c r="A183" s="1599" t="s">
        <v>1601</v>
      </c>
      <c r="B183" s="1600"/>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704" t="s">
        <v>1606</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319095</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71038</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390133</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119015</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7000</v>
      </c>
      <c r="D203" s="466">
        <v>0</v>
      </c>
      <c r="E203" s="468"/>
      <c r="F203" s="466">
        <v>0</v>
      </c>
      <c r="G203" s="466">
        <v>0</v>
      </c>
      <c r="H203" s="468"/>
      <c r="I203" s="468"/>
      <c r="J203" s="468"/>
      <c r="K203" s="468"/>
    </row>
    <row r="204" spans="1:11" ht="12.75" customHeight="1" thickBot="1" x14ac:dyDescent="0.25">
      <c r="A204" s="1704" t="s">
        <v>400</v>
      </c>
      <c r="B204" s="1705"/>
      <c r="C204" s="1703">
        <f>SUM(C200:C203)</f>
        <v>126015</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18277</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18277</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52141</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3" t="s">
        <v>1933</v>
      </c>
      <c r="B261" s="470">
        <v>4981</v>
      </c>
      <c r="C261" s="572">
        <v>0</v>
      </c>
      <c r="D261" s="573">
        <v>0</v>
      </c>
      <c r="E261" s="468"/>
      <c r="F261" s="573">
        <v>0</v>
      </c>
      <c r="G261" s="573">
        <v>0</v>
      </c>
      <c r="H261" s="468"/>
      <c r="I261" s="468"/>
      <c r="J261" s="468"/>
      <c r="K261" s="468"/>
    </row>
    <row r="262" spans="1:11" ht="12.75" customHeight="1" thickTop="1" thickBot="1" x14ac:dyDescent="0.25">
      <c r="A262" s="1924" t="s">
        <v>1934</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12540</v>
      </c>
      <c r="D263" s="573">
        <v>0</v>
      </c>
      <c r="E263" s="468"/>
      <c r="F263" s="573">
        <v>0</v>
      </c>
      <c r="G263" s="573">
        <v>0</v>
      </c>
      <c r="H263" s="468"/>
      <c r="I263" s="468"/>
      <c r="J263" s="468"/>
      <c r="K263" s="468"/>
    </row>
    <row r="264" spans="1:11" ht="12.75" customHeight="1" thickTop="1" thickBot="1" x14ac:dyDescent="0.25">
      <c r="A264" s="463" t="s">
        <v>377</v>
      </c>
      <c r="B264" s="470">
        <v>4992</v>
      </c>
      <c r="C264" s="572">
        <v>19404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94248</v>
      </c>
      <c r="D265" s="573">
        <v>0</v>
      </c>
      <c r="E265" s="468"/>
      <c r="F265" s="573">
        <v>0</v>
      </c>
      <c r="G265" s="573">
        <v>0</v>
      </c>
      <c r="H265" s="527">
        <v>0</v>
      </c>
      <c r="I265" s="468"/>
      <c r="J265" s="468"/>
      <c r="K265" s="527">
        <v>0</v>
      </c>
    </row>
    <row r="266" spans="1:11" ht="14.25" thickTop="1" thickBot="1" x14ac:dyDescent="0.25">
      <c r="A266" s="1704" t="s">
        <v>1665</v>
      </c>
      <c r="B266" s="1723"/>
      <c r="C266" s="1711">
        <f t="shared" ref="C266:H266" si="10">SUM(C188,C198,C204,C209,C217,C221,C222,C252:C265)</f>
        <v>712758</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712758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16887886</v>
      </c>
      <c r="D268" s="1711">
        <f t="shared" si="12"/>
        <v>1871356</v>
      </c>
      <c r="E268" s="1711">
        <f t="shared" si="12"/>
        <v>3292402</v>
      </c>
      <c r="F268" s="1711">
        <f t="shared" si="12"/>
        <v>1924549</v>
      </c>
      <c r="G268" s="1711">
        <f t="shared" si="12"/>
        <v>636795</v>
      </c>
      <c r="H268" s="1711">
        <f t="shared" si="12"/>
        <v>663933</v>
      </c>
      <c r="I268" s="1711">
        <f t="shared" si="12"/>
        <v>233432</v>
      </c>
      <c r="J268" s="1711">
        <f t="shared" si="12"/>
        <v>825014</v>
      </c>
      <c r="K268" s="1698">
        <f t="shared" si="12"/>
        <v>2562</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61" t="s">
        <v>1798</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9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01" t="s">
        <v>297</v>
      </c>
      <c r="B3" s="2302"/>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6953743</v>
      </c>
      <c r="D5" s="466">
        <v>967872</v>
      </c>
      <c r="E5" s="466">
        <v>48101</v>
      </c>
      <c r="F5" s="466">
        <v>152217</v>
      </c>
      <c r="G5" s="466">
        <v>0</v>
      </c>
      <c r="H5" s="466">
        <v>0</v>
      </c>
      <c r="I5" s="467">
        <v>0</v>
      </c>
      <c r="J5" s="467">
        <v>0</v>
      </c>
      <c r="K5" s="1667">
        <f>SUM(C5:J5)</f>
        <v>8121933</v>
      </c>
      <c r="L5" s="471">
        <v>8405055</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70335</v>
      </c>
      <c r="D7" s="467">
        <v>5442</v>
      </c>
      <c r="E7" s="467">
        <v>0</v>
      </c>
      <c r="F7" s="467">
        <v>95</v>
      </c>
      <c r="G7" s="467">
        <v>0</v>
      </c>
      <c r="H7" s="467">
        <v>0</v>
      </c>
      <c r="I7" s="467">
        <v>0</v>
      </c>
      <c r="J7" s="467">
        <v>0</v>
      </c>
      <c r="K7" s="1667">
        <f t="shared" ref="K7:K32" si="0">SUM(C7:J7)</f>
        <v>75872</v>
      </c>
      <c r="L7" s="471">
        <v>76688</v>
      </c>
    </row>
    <row r="8" spans="1:14" x14ac:dyDescent="0.2">
      <c r="A8" s="1500" t="s">
        <v>164</v>
      </c>
      <c r="B8" s="611">
        <v>1200</v>
      </c>
      <c r="C8" s="466">
        <v>750391</v>
      </c>
      <c r="D8" s="466">
        <v>122730</v>
      </c>
      <c r="E8" s="466">
        <v>11040</v>
      </c>
      <c r="F8" s="466">
        <v>11143</v>
      </c>
      <c r="G8" s="466">
        <v>0</v>
      </c>
      <c r="H8" s="466">
        <v>4045</v>
      </c>
      <c r="I8" s="467">
        <v>0</v>
      </c>
      <c r="J8" s="467">
        <v>0</v>
      </c>
      <c r="K8" s="1667">
        <f t="shared" si="0"/>
        <v>899349</v>
      </c>
      <c r="L8" s="471">
        <v>1004112</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121216</v>
      </c>
      <c r="D10" s="466">
        <v>16809</v>
      </c>
      <c r="E10" s="466">
        <v>0</v>
      </c>
      <c r="F10" s="466">
        <v>125</v>
      </c>
      <c r="G10" s="466">
        <v>0</v>
      </c>
      <c r="H10" s="466">
        <v>0</v>
      </c>
      <c r="I10" s="467">
        <v>0</v>
      </c>
      <c r="J10" s="467">
        <v>0</v>
      </c>
      <c r="K10" s="1667">
        <f t="shared" si="0"/>
        <v>138150</v>
      </c>
      <c r="L10" s="471">
        <v>144208</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256078</v>
      </c>
      <c r="D13" s="466">
        <v>34863</v>
      </c>
      <c r="E13" s="466">
        <v>3250</v>
      </c>
      <c r="F13" s="466">
        <v>39257</v>
      </c>
      <c r="G13" s="466">
        <v>829</v>
      </c>
      <c r="H13" s="466">
        <v>0</v>
      </c>
      <c r="I13" s="467">
        <v>0</v>
      </c>
      <c r="J13" s="467">
        <v>0</v>
      </c>
      <c r="K13" s="1667">
        <f t="shared" si="0"/>
        <v>334277</v>
      </c>
      <c r="L13" s="471">
        <v>86990</v>
      </c>
    </row>
    <row r="14" spans="1:14" x14ac:dyDescent="0.2">
      <c r="A14" s="1500" t="s">
        <v>963</v>
      </c>
      <c r="B14" s="611">
        <v>1500</v>
      </c>
      <c r="C14" s="466">
        <v>477408</v>
      </c>
      <c r="D14" s="466">
        <v>7093</v>
      </c>
      <c r="E14" s="466">
        <v>120399</v>
      </c>
      <c r="F14" s="466">
        <v>86328</v>
      </c>
      <c r="G14" s="466">
        <v>0</v>
      </c>
      <c r="H14" s="466">
        <v>24824</v>
      </c>
      <c r="I14" s="467">
        <v>0</v>
      </c>
      <c r="J14" s="467">
        <v>0</v>
      </c>
      <c r="K14" s="1667">
        <f t="shared" si="0"/>
        <v>716052</v>
      </c>
      <c r="L14" s="471">
        <v>916922</v>
      </c>
    </row>
    <row r="15" spans="1:14" x14ac:dyDescent="0.2">
      <c r="A15" s="1500" t="s">
        <v>964</v>
      </c>
      <c r="B15" s="611">
        <v>1600</v>
      </c>
      <c r="C15" s="467">
        <v>322</v>
      </c>
      <c r="D15" s="466">
        <v>5</v>
      </c>
      <c r="E15" s="466">
        <v>0</v>
      </c>
      <c r="F15" s="466">
        <v>0</v>
      </c>
      <c r="G15" s="466">
        <v>0</v>
      </c>
      <c r="H15" s="466">
        <v>0</v>
      </c>
      <c r="I15" s="467">
        <v>0</v>
      </c>
      <c r="J15" s="467">
        <v>0</v>
      </c>
      <c r="K15" s="1667">
        <f t="shared" si="0"/>
        <v>327</v>
      </c>
      <c r="L15" s="471">
        <v>5258</v>
      </c>
    </row>
    <row r="16" spans="1:14" x14ac:dyDescent="0.2">
      <c r="A16" s="1500" t="s">
        <v>987</v>
      </c>
      <c r="B16" s="611" t="s">
        <v>424</v>
      </c>
      <c r="C16" s="467">
        <v>0</v>
      </c>
      <c r="D16" s="466">
        <v>0</v>
      </c>
      <c r="E16" s="466">
        <v>0</v>
      </c>
      <c r="F16" s="466">
        <v>750</v>
      </c>
      <c r="G16" s="466">
        <v>0</v>
      </c>
      <c r="H16" s="466">
        <v>0</v>
      </c>
      <c r="I16" s="467">
        <v>0</v>
      </c>
      <c r="J16" s="467">
        <v>0</v>
      </c>
      <c r="K16" s="1667">
        <f t="shared" si="0"/>
        <v>750</v>
      </c>
      <c r="L16" s="471">
        <v>1500</v>
      </c>
    </row>
    <row r="17" spans="1:12" x14ac:dyDescent="0.2">
      <c r="A17" s="1500" t="s">
        <v>724</v>
      </c>
      <c r="B17" s="611" t="s">
        <v>162</v>
      </c>
      <c r="C17" s="467">
        <v>67471</v>
      </c>
      <c r="D17" s="467">
        <v>8999</v>
      </c>
      <c r="E17" s="467">
        <v>5606</v>
      </c>
      <c r="F17" s="467">
        <v>1641</v>
      </c>
      <c r="G17" s="467">
        <v>0</v>
      </c>
      <c r="H17" s="467">
        <v>0</v>
      </c>
      <c r="I17" s="467">
        <v>0</v>
      </c>
      <c r="J17" s="467">
        <v>0</v>
      </c>
      <c r="K17" s="1667">
        <f t="shared" si="0"/>
        <v>83717</v>
      </c>
      <c r="L17" s="471">
        <v>153364</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1667</v>
      </c>
      <c r="B33" s="1665" t="s">
        <v>570</v>
      </c>
      <c r="C33" s="1666">
        <f>SUM(C5:C32)</f>
        <v>8696964</v>
      </c>
      <c r="D33" s="1666">
        <f t="shared" ref="D33:L33" si="1">SUM(D5:D32)</f>
        <v>1163813</v>
      </c>
      <c r="E33" s="1666">
        <f t="shared" si="1"/>
        <v>188396</v>
      </c>
      <c r="F33" s="1666">
        <f t="shared" si="1"/>
        <v>291556</v>
      </c>
      <c r="G33" s="1666">
        <f t="shared" si="1"/>
        <v>829</v>
      </c>
      <c r="H33" s="1666">
        <f t="shared" si="1"/>
        <v>28869</v>
      </c>
      <c r="I33" s="1666">
        <f t="shared" si="1"/>
        <v>0</v>
      </c>
      <c r="J33" s="1666">
        <f t="shared" si="1"/>
        <v>0</v>
      </c>
      <c r="K33" s="1666">
        <f t="shared" si="1"/>
        <v>10370427</v>
      </c>
      <c r="L33" s="1666">
        <f t="shared" si="1"/>
        <v>10794097</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149199</v>
      </c>
      <c r="D36" s="479">
        <v>30068</v>
      </c>
      <c r="E36" s="479">
        <v>0</v>
      </c>
      <c r="F36" s="479">
        <v>0</v>
      </c>
      <c r="G36" s="479">
        <v>0</v>
      </c>
      <c r="H36" s="479">
        <v>0</v>
      </c>
      <c r="I36" s="467">
        <v>0</v>
      </c>
      <c r="J36" s="467">
        <v>0</v>
      </c>
      <c r="K36" s="1667">
        <f t="shared" ref="K36:K41" si="2">SUM(C36:J36)</f>
        <v>179267</v>
      </c>
      <c r="L36" s="466">
        <v>170400</v>
      </c>
    </row>
    <row r="37" spans="1:14" x14ac:dyDescent="0.2">
      <c r="A37" s="1500" t="s">
        <v>1090</v>
      </c>
      <c r="B37" s="611">
        <v>2120</v>
      </c>
      <c r="C37" s="466">
        <v>287584</v>
      </c>
      <c r="D37" s="466">
        <v>25749</v>
      </c>
      <c r="E37" s="466">
        <v>1141</v>
      </c>
      <c r="F37" s="466">
        <v>629</v>
      </c>
      <c r="G37" s="466">
        <v>0</v>
      </c>
      <c r="H37" s="466">
        <v>0</v>
      </c>
      <c r="I37" s="467">
        <v>0</v>
      </c>
      <c r="J37" s="467">
        <v>0</v>
      </c>
      <c r="K37" s="1667">
        <f t="shared" si="2"/>
        <v>315103</v>
      </c>
      <c r="L37" s="466">
        <v>302639</v>
      </c>
    </row>
    <row r="38" spans="1:14" x14ac:dyDescent="0.2">
      <c r="A38" s="1500" t="s">
        <v>198</v>
      </c>
      <c r="B38" s="611">
        <v>2130</v>
      </c>
      <c r="C38" s="466">
        <v>89247</v>
      </c>
      <c r="D38" s="466">
        <v>31743</v>
      </c>
      <c r="E38" s="466">
        <v>170</v>
      </c>
      <c r="F38" s="466">
        <v>3309</v>
      </c>
      <c r="G38" s="466">
        <v>0</v>
      </c>
      <c r="H38" s="466">
        <v>0</v>
      </c>
      <c r="I38" s="467">
        <v>0</v>
      </c>
      <c r="J38" s="467">
        <v>0</v>
      </c>
      <c r="K38" s="1667">
        <f t="shared" si="2"/>
        <v>124469</v>
      </c>
      <c r="L38" s="466">
        <v>124431</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0</v>
      </c>
      <c r="D40" s="466">
        <v>0</v>
      </c>
      <c r="E40" s="466">
        <v>0</v>
      </c>
      <c r="F40" s="466">
        <v>0</v>
      </c>
      <c r="G40" s="466">
        <v>0</v>
      </c>
      <c r="H40" s="466">
        <v>0</v>
      </c>
      <c r="I40" s="467">
        <v>0</v>
      </c>
      <c r="J40" s="467">
        <v>0</v>
      </c>
      <c r="K40" s="1667">
        <f t="shared" si="2"/>
        <v>0</v>
      </c>
      <c r="L40" s="466">
        <v>0</v>
      </c>
    </row>
    <row r="41" spans="1:14" x14ac:dyDescent="0.2">
      <c r="A41" s="1500" t="s">
        <v>1668</v>
      </c>
      <c r="B41" s="611">
        <v>2190</v>
      </c>
      <c r="C41" s="466">
        <v>0</v>
      </c>
      <c r="D41" s="466">
        <v>0</v>
      </c>
      <c r="E41" s="466">
        <v>0</v>
      </c>
      <c r="F41" s="466">
        <v>0</v>
      </c>
      <c r="G41" s="466">
        <v>0</v>
      </c>
      <c r="H41" s="466">
        <v>0</v>
      </c>
      <c r="I41" s="467">
        <v>0</v>
      </c>
      <c r="J41" s="467">
        <v>0</v>
      </c>
      <c r="K41" s="1667">
        <f t="shared" si="2"/>
        <v>0</v>
      </c>
      <c r="L41" s="466">
        <v>0</v>
      </c>
    </row>
    <row r="42" spans="1:14" ht="12.75" customHeight="1" thickBot="1" x14ac:dyDescent="0.25">
      <c r="A42" s="1664" t="s">
        <v>560</v>
      </c>
      <c r="B42" s="1665" t="s">
        <v>716</v>
      </c>
      <c r="C42" s="1666">
        <f>SUM(C36:C41)</f>
        <v>526030</v>
      </c>
      <c r="D42" s="1666">
        <f t="shared" ref="D42:L42" si="3">SUM(D36:D41)</f>
        <v>87560</v>
      </c>
      <c r="E42" s="1666">
        <f t="shared" si="3"/>
        <v>1311</v>
      </c>
      <c r="F42" s="1666">
        <f t="shared" si="3"/>
        <v>3938</v>
      </c>
      <c r="G42" s="1666">
        <f t="shared" si="3"/>
        <v>0</v>
      </c>
      <c r="H42" s="1666">
        <f t="shared" si="3"/>
        <v>0</v>
      </c>
      <c r="I42" s="1666">
        <f t="shared" si="3"/>
        <v>0</v>
      </c>
      <c r="J42" s="1666">
        <f t="shared" si="3"/>
        <v>0</v>
      </c>
      <c r="K42" s="1666">
        <f t="shared" si="3"/>
        <v>618839</v>
      </c>
      <c r="L42" s="1666">
        <f t="shared" si="3"/>
        <v>597470</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103849</v>
      </c>
      <c r="D44" s="479">
        <v>15783</v>
      </c>
      <c r="E44" s="479">
        <v>116695</v>
      </c>
      <c r="F44" s="479">
        <v>9969</v>
      </c>
      <c r="G44" s="479">
        <v>0</v>
      </c>
      <c r="H44" s="479">
        <v>0</v>
      </c>
      <c r="I44" s="467">
        <v>0</v>
      </c>
      <c r="J44" s="467">
        <v>0</v>
      </c>
      <c r="K44" s="1668">
        <f>SUM(C44:J44)</f>
        <v>246296</v>
      </c>
      <c r="L44" s="479">
        <v>228796</v>
      </c>
    </row>
    <row r="45" spans="1:14" x14ac:dyDescent="0.2">
      <c r="A45" s="1500" t="s">
        <v>815</v>
      </c>
      <c r="B45" s="611">
        <v>2220</v>
      </c>
      <c r="C45" s="466">
        <v>275938</v>
      </c>
      <c r="D45" s="466">
        <v>46697</v>
      </c>
      <c r="E45" s="466">
        <v>8803</v>
      </c>
      <c r="F45" s="466">
        <v>264549</v>
      </c>
      <c r="G45" s="466">
        <v>0</v>
      </c>
      <c r="H45" s="466">
        <v>0</v>
      </c>
      <c r="I45" s="467">
        <v>51030</v>
      </c>
      <c r="J45" s="467">
        <v>0</v>
      </c>
      <c r="K45" s="1668">
        <f>SUM(C45:J45)</f>
        <v>647017</v>
      </c>
      <c r="L45" s="466">
        <v>738141</v>
      </c>
    </row>
    <row r="46" spans="1:14" x14ac:dyDescent="0.2">
      <c r="A46" s="1500" t="s">
        <v>816</v>
      </c>
      <c r="B46" s="611">
        <v>2230</v>
      </c>
      <c r="C46" s="466">
        <v>0</v>
      </c>
      <c r="D46" s="466">
        <v>0</v>
      </c>
      <c r="E46" s="466">
        <v>0</v>
      </c>
      <c r="F46" s="466">
        <v>0</v>
      </c>
      <c r="G46" s="466">
        <v>0</v>
      </c>
      <c r="H46" s="466">
        <v>0</v>
      </c>
      <c r="I46" s="467">
        <v>0</v>
      </c>
      <c r="J46" s="467">
        <v>0</v>
      </c>
      <c r="K46" s="1668">
        <f>SUM(C46:J46)</f>
        <v>0</v>
      </c>
      <c r="L46" s="466">
        <v>0</v>
      </c>
    </row>
    <row r="47" spans="1:14" ht="12.75" customHeight="1" thickBot="1" x14ac:dyDescent="0.25">
      <c r="A47" s="1664" t="s">
        <v>561</v>
      </c>
      <c r="B47" s="1665" t="s">
        <v>32</v>
      </c>
      <c r="C47" s="1666">
        <f>SUM(C44:C46)</f>
        <v>379787</v>
      </c>
      <c r="D47" s="1666">
        <f t="shared" ref="D47:K47" si="4">SUM(D44:D46)</f>
        <v>62480</v>
      </c>
      <c r="E47" s="1666">
        <f t="shared" si="4"/>
        <v>125498</v>
      </c>
      <c r="F47" s="1666">
        <f t="shared" si="4"/>
        <v>274518</v>
      </c>
      <c r="G47" s="1666">
        <f t="shared" si="4"/>
        <v>0</v>
      </c>
      <c r="H47" s="1666">
        <f t="shared" si="4"/>
        <v>0</v>
      </c>
      <c r="I47" s="1666">
        <f t="shared" si="4"/>
        <v>51030</v>
      </c>
      <c r="J47" s="1666">
        <f t="shared" si="4"/>
        <v>0</v>
      </c>
      <c r="K47" s="1666">
        <f t="shared" si="4"/>
        <v>893313</v>
      </c>
      <c r="L47" s="1666">
        <f>SUM(L44:L46)</f>
        <v>966937</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2200</v>
      </c>
      <c r="D49" s="479">
        <v>0</v>
      </c>
      <c r="E49" s="479">
        <v>96369</v>
      </c>
      <c r="F49" s="479">
        <v>2706</v>
      </c>
      <c r="G49" s="479">
        <v>0</v>
      </c>
      <c r="H49" s="479">
        <v>980</v>
      </c>
      <c r="I49" s="467">
        <v>0</v>
      </c>
      <c r="J49" s="467">
        <v>0</v>
      </c>
      <c r="K49" s="1668">
        <f>SUM(C49:J49)</f>
        <v>102255</v>
      </c>
      <c r="L49" s="479">
        <v>114255</v>
      </c>
    </row>
    <row r="50" spans="1:14" x14ac:dyDescent="0.2">
      <c r="A50" s="1500" t="s">
        <v>818</v>
      </c>
      <c r="B50" s="611">
        <v>2320</v>
      </c>
      <c r="C50" s="467">
        <v>137596</v>
      </c>
      <c r="D50" s="466">
        <v>30254</v>
      </c>
      <c r="E50" s="466">
        <v>1818</v>
      </c>
      <c r="F50" s="466">
        <v>784</v>
      </c>
      <c r="G50" s="466">
        <v>0</v>
      </c>
      <c r="H50" s="466">
        <v>9040</v>
      </c>
      <c r="I50" s="467">
        <v>0</v>
      </c>
      <c r="J50" s="467">
        <v>0</v>
      </c>
      <c r="K50" s="1668">
        <f>SUM(C50:J50)</f>
        <v>179492</v>
      </c>
      <c r="L50" s="466">
        <v>197228</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139796</v>
      </c>
      <c r="D53" s="1666">
        <f t="shared" ref="D53:L53" si="5">SUM(D49:D52)</f>
        <v>30254</v>
      </c>
      <c r="E53" s="1666">
        <f t="shared" si="5"/>
        <v>98187</v>
      </c>
      <c r="F53" s="1666">
        <f t="shared" si="5"/>
        <v>3490</v>
      </c>
      <c r="G53" s="1666">
        <f t="shared" si="5"/>
        <v>0</v>
      </c>
      <c r="H53" s="1666">
        <f t="shared" si="5"/>
        <v>10020</v>
      </c>
      <c r="I53" s="1666">
        <f t="shared" si="5"/>
        <v>0</v>
      </c>
      <c r="J53" s="1666">
        <f t="shared" si="5"/>
        <v>0</v>
      </c>
      <c r="K53" s="1666">
        <f t="shared" si="5"/>
        <v>281747</v>
      </c>
      <c r="L53" s="1666">
        <f t="shared" si="5"/>
        <v>311483</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1001920</v>
      </c>
      <c r="D55" s="479">
        <v>273888</v>
      </c>
      <c r="E55" s="479">
        <v>16515</v>
      </c>
      <c r="F55" s="479">
        <v>23538</v>
      </c>
      <c r="G55" s="479">
        <v>0</v>
      </c>
      <c r="H55" s="479">
        <v>4553</v>
      </c>
      <c r="I55" s="467">
        <v>0</v>
      </c>
      <c r="J55" s="467">
        <v>0</v>
      </c>
      <c r="K55" s="1668">
        <f>SUM(C55:J55)</f>
        <v>1320414</v>
      </c>
      <c r="L55" s="479">
        <v>1399510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1001920</v>
      </c>
      <c r="D57" s="1670">
        <f t="shared" ref="D57:K57" si="6">SUM(D55:D56)</f>
        <v>273888</v>
      </c>
      <c r="E57" s="1670">
        <f t="shared" si="6"/>
        <v>16515</v>
      </c>
      <c r="F57" s="1670">
        <f t="shared" si="6"/>
        <v>23538</v>
      </c>
      <c r="G57" s="1670">
        <f t="shared" si="6"/>
        <v>0</v>
      </c>
      <c r="H57" s="1670">
        <f t="shared" si="6"/>
        <v>4553</v>
      </c>
      <c r="I57" s="1670">
        <f t="shared" si="6"/>
        <v>0</v>
      </c>
      <c r="J57" s="1670">
        <f t="shared" si="6"/>
        <v>0</v>
      </c>
      <c r="K57" s="1670">
        <f t="shared" si="6"/>
        <v>1320414</v>
      </c>
      <c r="L57" s="1666">
        <f>SUM(L55:L56)</f>
        <v>1399510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259544</v>
      </c>
      <c r="D60" s="466">
        <v>50937</v>
      </c>
      <c r="E60" s="466">
        <v>96037</v>
      </c>
      <c r="F60" s="466">
        <v>18675</v>
      </c>
      <c r="G60" s="466">
        <v>0</v>
      </c>
      <c r="H60" s="466">
        <v>930</v>
      </c>
      <c r="I60" s="467">
        <v>0</v>
      </c>
      <c r="J60" s="467">
        <v>0</v>
      </c>
      <c r="K60" s="1668">
        <f t="shared" si="7"/>
        <v>426123</v>
      </c>
      <c r="L60" s="466">
        <v>419076</v>
      </c>
      <c r="M60" s="606"/>
      <c r="N60" s="606"/>
    </row>
    <row r="61" spans="1:14" s="343" customFormat="1" x14ac:dyDescent="0.2">
      <c r="A61" s="1500" t="s">
        <v>197</v>
      </c>
      <c r="B61" s="611">
        <v>2540</v>
      </c>
      <c r="C61" s="466">
        <v>0</v>
      </c>
      <c r="D61" s="466">
        <v>0</v>
      </c>
      <c r="E61" s="466">
        <v>0</v>
      </c>
      <c r="F61" s="466">
        <v>0</v>
      </c>
      <c r="G61" s="466">
        <v>0</v>
      </c>
      <c r="H61" s="466">
        <v>0</v>
      </c>
      <c r="I61" s="467">
        <v>0</v>
      </c>
      <c r="J61" s="467">
        <v>0</v>
      </c>
      <c r="K61" s="1668">
        <f t="shared" si="7"/>
        <v>0</v>
      </c>
      <c r="L61" s="466">
        <v>0</v>
      </c>
      <c r="M61" s="606"/>
      <c r="N61" s="606"/>
    </row>
    <row r="62" spans="1:14" s="343" customFormat="1" x14ac:dyDescent="0.2">
      <c r="A62" s="1500" t="s">
        <v>953</v>
      </c>
      <c r="B62" s="611">
        <v>2550</v>
      </c>
      <c r="C62" s="466">
        <v>0</v>
      </c>
      <c r="D62" s="466">
        <v>0</v>
      </c>
      <c r="E62" s="466">
        <v>62336</v>
      </c>
      <c r="F62" s="466">
        <v>0</v>
      </c>
      <c r="G62" s="466">
        <v>0</v>
      </c>
      <c r="H62" s="466">
        <v>0</v>
      </c>
      <c r="I62" s="467">
        <v>0</v>
      </c>
      <c r="J62" s="467">
        <v>0</v>
      </c>
      <c r="K62" s="1668">
        <f t="shared" si="7"/>
        <v>62336</v>
      </c>
      <c r="L62" s="466">
        <v>53441</v>
      </c>
      <c r="M62" s="606"/>
      <c r="N62" s="606"/>
    </row>
    <row r="63" spans="1:14" s="606" customFormat="1" x14ac:dyDescent="0.2">
      <c r="A63" s="1500" t="s">
        <v>100</v>
      </c>
      <c r="B63" s="611">
        <v>2560</v>
      </c>
      <c r="C63" s="466">
        <v>396939</v>
      </c>
      <c r="D63" s="466">
        <v>64440</v>
      </c>
      <c r="E63" s="466">
        <v>20080</v>
      </c>
      <c r="F63" s="466">
        <v>581727</v>
      </c>
      <c r="G63" s="466">
        <v>14153</v>
      </c>
      <c r="H63" s="466">
        <v>4555</v>
      </c>
      <c r="I63" s="467">
        <v>6360</v>
      </c>
      <c r="J63" s="467">
        <v>0</v>
      </c>
      <c r="K63" s="1668">
        <f t="shared" si="7"/>
        <v>1088254</v>
      </c>
      <c r="L63" s="466">
        <v>1114759</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656483</v>
      </c>
      <c r="D65" s="1666">
        <f t="shared" ref="D65:L65" si="8">SUM(D59:D64)</f>
        <v>115377</v>
      </c>
      <c r="E65" s="1666">
        <f t="shared" si="8"/>
        <v>178453</v>
      </c>
      <c r="F65" s="1666">
        <f t="shared" si="8"/>
        <v>600402</v>
      </c>
      <c r="G65" s="1666">
        <f t="shared" si="8"/>
        <v>14153</v>
      </c>
      <c r="H65" s="1666">
        <f t="shared" si="8"/>
        <v>5485</v>
      </c>
      <c r="I65" s="1666">
        <f t="shared" si="8"/>
        <v>6360</v>
      </c>
      <c r="J65" s="1666">
        <f t="shared" si="8"/>
        <v>0</v>
      </c>
      <c r="K65" s="1666">
        <f t="shared" si="8"/>
        <v>1576713</v>
      </c>
      <c r="L65" s="1666">
        <f t="shared" si="8"/>
        <v>1587276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25000</v>
      </c>
      <c r="F69" s="466">
        <v>565</v>
      </c>
      <c r="G69" s="466">
        <v>0</v>
      </c>
      <c r="H69" s="466">
        <v>0</v>
      </c>
      <c r="I69" s="467">
        <v>0</v>
      </c>
      <c r="J69" s="467">
        <v>0</v>
      </c>
      <c r="K69" s="1668">
        <f>SUM(C69:J69)</f>
        <v>25565</v>
      </c>
      <c r="L69" s="466">
        <v>26768</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55599</v>
      </c>
      <c r="F71" s="466">
        <v>3028</v>
      </c>
      <c r="G71" s="466">
        <v>0</v>
      </c>
      <c r="H71" s="466">
        <v>0</v>
      </c>
      <c r="I71" s="467">
        <v>0</v>
      </c>
      <c r="J71" s="467">
        <v>0</v>
      </c>
      <c r="K71" s="1668">
        <f>SUM(C71:J71)</f>
        <v>58627</v>
      </c>
      <c r="L71" s="466">
        <v>54337</v>
      </c>
      <c r="M71" s="606"/>
      <c r="N71" s="606"/>
    </row>
    <row r="72" spans="1:14" s="343" customFormat="1" ht="12.75" customHeight="1" thickBot="1" x14ac:dyDescent="0.25">
      <c r="A72" s="1664" t="s">
        <v>37</v>
      </c>
      <c r="B72" s="1671" t="s">
        <v>36</v>
      </c>
      <c r="C72" s="1666">
        <f>SUM(C67:C71)</f>
        <v>0</v>
      </c>
      <c r="D72" s="1666">
        <f t="shared" ref="D72:K72" si="9">SUM(D67:D71)</f>
        <v>0</v>
      </c>
      <c r="E72" s="1666">
        <f t="shared" si="9"/>
        <v>80599</v>
      </c>
      <c r="F72" s="1666">
        <f t="shared" si="9"/>
        <v>3593</v>
      </c>
      <c r="G72" s="1666">
        <f t="shared" si="9"/>
        <v>0</v>
      </c>
      <c r="H72" s="1666">
        <f t="shared" si="9"/>
        <v>0</v>
      </c>
      <c r="I72" s="1666">
        <f t="shared" si="9"/>
        <v>0</v>
      </c>
      <c r="J72" s="1666">
        <f t="shared" si="9"/>
        <v>0</v>
      </c>
      <c r="K72" s="1666">
        <f t="shared" si="9"/>
        <v>84192</v>
      </c>
      <c r="L72" s="1666">
        <f>SUM(L67:L71)</f>
        <v>81105</v>
      </c>
      <c r="M72" s="606"/>
      <c r="N72" s="606"/>
    </row>
    <row r="73" spans="1:14" s="343" customFormat="1" ht="14.25" thickTop="1" thickBot="1" x14ac:dyDescent="0.25">
      <c r="A73" s="1506" t="s">
        <v>980</v>
      </c>
      <c r="B73" s="629" t="s">
        <v>574</v>
      </c>
      <c r="C73" s="467">
        <v>67462</v>
      </c>
      <c r="D73" s="467">
        <v>2810</v>
      </c>
      <c r="E73" s="467">
        <v>1252</v>
      </c>
      <c r="F73" s="467">
        <v>5023</v>
      </c>
      <c r="G73" s="467">
        <v>0</v>
      </c>
      <c r="H73" s="467">
        <v>0</v>
      </c>
      <c r="I73" s="467">
        <v>0</v>
      </c>
      <c r="J73" s="467">
        <v>0</v>
      </c>
      <c r="K73" s="1666">
        <f>SUM(C73:J73)</f>
        <v>76547</v>
      </c>
      <c r="L73" s="573">
        <v>93013</v>
      </c>
      <c r="M73" s="606"/>
      <c r="N73" s="606"/>
    </row>
    <row r="74" spans="1:14" ht="12.75" customHeight="1" thickTop="1" thickBot="1" x14ac:dyDescent="0.25">
      <c r="A74" s="1664" t="s">
        <v>811</v>
      </c>
      <c r="B74" s="1672">
        <v>2000</v>
      </c>
      <c r="C74" s="1673">
        <f>SUM(C42,C47,C53,C57,C65,C72,C73)</f>
        <v>2771478</v>
      </c>
      <c r="D74" s="1673">
        <f t="shared" ref="D74:K74" si="10">SUM(D42,D47,D53,D57,D65,D72,D73)</f>
        <v>572369</v>
      </c>
      <c r="E74" s="1673">
        <f t="shared" si="10"/>
        <v>501815</v>
      </c>
      <c r="F74" s="1673">
        <f t="shared" si="10"/>
        <v>914502</v>
      </c>
      <c r="G74" s="1673">
        <f t="shared" si="10"/>
        <v>14153</v>
      </c>
      <c r="H74" s="1673">
        <f t="shared" si="10"/>
        <v>20058</v>
      </c>
      <c r="I74" s="1673">
        <f t="shared" si="10"/>
        <v>57390</v>
      </c>
      <c r="J74" s="1673">
        <f t="shared" si="10"/>
        <v>0</v>
      </c>
      <c r="K74" s="1673">
        <f t="shared" si="10"/>
        <v>4851765</v>
      </c>
      <c r="L74" s="1673">
        <f>SUM(L42,L47,L53,L57,L65,L72,L73)</f>
        <v>5036794</v>
      </c>
    </row>
    <row r="75" spans="1:14" s="259" customFormat="1" ht="15.75" customHeight="1" thickTop="1" thickBot="1" x14ac:dyDescent="0.25">
      <c r="A75" s="1606" t="s">
        <v>47</v>
      </c>
      <c r="B75" s="1607" t="s">
        <v>575</v>
      </c>
      <c r="C75" s="467">
        <v>121139</v>
      </c>
      <c r="D75" s="467">
        <v>12248</v>
      </c>
      <c r="E75" s="467">
        <v>6950</v>
      </c>
      <c r="F75" s="467">
        <v>11414</v>
      </c>
      <c r="G75" s="467">
        <v>0</v>
      </c>
      <c r="H75" s="467">
        <v>0</v>
      </c>
      <c r="I75" s="467">
        <v>0</v>
      </c>
      <c r="J75" s="467">
        <v>0</v>
      </c>
      <c r="K75" s="1666">
        <f>SUM(C75:J75)</f>
        <v>151751</v>
      </c>
      <c r="L75" s="573">
        <v>164027</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0</v>
      </c>
      <c r="F79" s="613"/>
      <c r="G79" s="613"/>
      <c r="H79" s="466">
        <v>0</v>
      </c>
      <c r="I79" s="475"/>
      <c r="J79" s="475"/>
      <c r="K79" s="1667">
        <f t="shared" si="11"/>
        <v>0</v>
      </c>
      <c r="L79" s="466">
        <v>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84759</v>
      </c>
      <c r="I83" s="475"/>
      <c r="J83" s="475"/>
      <c r="K83" s="1667">
        <f t="shared" si="11"/>
        <v>84759</v>
      </c>
      <c r="L83" s="466">
        <v>10100</v>
      </c>
    </row>
    <row r="84" spans="1:12" ht="13.5" thickBot="1" x14ac:dyDescent="0.25">
      <c r="A84" s="1664" t="s">
        <v>1485</v>
      </c>
      <c r="B84" s="1674">
        <v>4100</v>
      </c>
      <c r="C84" s="613"/>
      <c r="D84" s="613"/>
      <c r="E84" s="1666">
        <f>SUM(E78:E83)</f>
        <v>0</v>
      </c>
      <c r="F84" s="613"/>
      <c r="G84" s="613"/>
      <c r="H84" s="1666">
        <f>SUM(H78:H83)</f>
        <v>84759</v>
      </c>
      <c r="I84" s="475"/>
      <c r="J84" s="475"/>
      <c r="K84" s="1666">
        <f>SUM(K78:K83)</f>
        <v>84759</v>
      </c>
      <c r="L84" s="1666">
        <f>SUM(L78:L83)</f>
        <v>10100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1205354</v>
      </c>
      <c r="I86" s="475"/>
      <c r="J86" s="475"/>
      <c r="K86" s="1673">
        <f t="shared" ref="K86:K98" si="12">H86</f>
        <v>1205354</v>
      </c>
      <c r="L86" s="527">
        <v>1230000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1559</v>
      </c>
      <c r="B92" s="1674">
        <v>4200</v>
      </c>
      <c r="C92" s="613"/>
      <c r="D92" s="613"/>
      <c r="E92" s="635"/>
      <c r="F92" s="613"/>
      <c r="G92" s="613"/>
      <c r="H92" s="1666">
        <f>SUM(H85:H91)</f>
        <v>1205354</v>
      </c>
      <c r="I92" s="475"/>
      <c r="J92" s="475"/>
      <c r="K92" s="1673">
        <f t="shared" si="12"/>
        <v>1205354</v>
      </c>
      <c r="L92" s="1666">
        <f>SUM(L85:L91)</f>
        <v>1230000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0</v>
      </c>
      <c r="F102" s="613"/>
      <c r="G102" s="613"/>
      <c r="H102" s="1673">
        <f>SUM(H84,H92,H100,H101)</f>
        <v>1290113</v>
      </c>
      <c r="I102" s="475"/>
      <c r="J102" s="475"/>
      <c r="K102" s="1673">
        <f>SUM(K84,K92,K100,K101)</f>
        <v>1290113</v>
      </c>
      <c r="L102" s="1673">
        <f>SUM(L84,L92,L100,L101)</f>
        <v>1240100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11589581</v>
      </c>
      <c r="D114" s="1666">
        <f t="shared" ref="D114:K114" si="13">SUM(D33,D74,D75,D102,D112,D113)</f>
        <v>1748430</v>
      </c>
      <c r="E114" s="1666">
        <f t="shared" si="13"/>
        <v>697161</v>
      </c>
      <c r="F114" s="1666">
        <f t="shared" si="13"/>
        <v>1217472</v>
      </c>
      <c r="G114" s="1666">
        <f t="shared" si="13"/>
        <v>14982</v>
      </c>
      <c r="H114" s="1666">
        <f>SUM(H33,H74,H75,H102,H112,H113)</f>
        <v>1339040</v>
      </c>
      <c r="I114" s="1666">
        <f t="shared" si="13"/>
        <v>57390</v>
      </c>
      <c r="J114" s="1666">
        <f t="shared" si="13"/>
        <v>0</v>
      </c>
      <c r="K114" s="1666">
        <f t="shared" si="13"/>
        <v>16664056</v>
      </c>
      <c r="L114" s="1666">
        <f>SUM(L33,L74,L75,L102,L112,L113)</f>
        <v>17235018</v>
      </c>
    </row>
    <row r="115" spans="1:14" ht="13.5" thickTop="1" x14ac:dyDescent="0.2">
      <c r="A115" s="2293" t="s">
        <v>996</v>
      </c>
      <c r="B115" s="2294"/>
      <c r="C115" s="615"/>
      <c r="D115" s="615"/>
      <c r="E115" s="615"/>
      <c r="F115" s="615"/>
      <c r="G115" s="615"/>
      <c r="H115" s="615"/>
      <c r="I115" s="615"/>
      <c r="J115" s="615"/>
      <c r="K115" s="1680">
        <f>'Revenues 9-14'!C268-'Expenditures 15-22'!K114</f>
        <v>223830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98" t="s">
        <v>296</v>
      </c>
      <c r="B117" s="2299"/>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2056</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6132</v>
      </c>
      <c r="F123" s="466">
        <v>0</v>
      </c>
      <c r="G123" s="466">
        <v>0</v>
      </c>
      <c r="H123" s="466">
        <v>0</v>
      </c>
      <c r="I123" s="467">
        <v>0</v>
      </c>
      <c r="J123" s="467">
        <v>0</v>
      </c>
      <c r="K123" s="1666">
        <f>SUM(C123:J123)</f>
        <v>6132</v>
      </c>
      <c r="L123" s="466">
        <v>4000</v>
      </c>
    </row>
    <row r="124" spans="1:14" ht="14.25" thickTop="1" thickBot="1" x14ac:dyDescent="0.25">
      <c r="A124" s="1500" t="s">
        <v>197</v>
      </c>
      <c r="B124" s="611">
        <v>2540</v>
      </c>
      <c r="C124" s="466">
        <v>903938</v>
      </c>
      <c r="D124" s="466">
        <v>137091</v>
      </c>
      <c r="E124" s="466">
        <v>240539</v>
      </c>
      <c r="F124" s="466">
        <v>690005</v>
      </c>
      <c r="G124" s="466">
        <v>1805</v>
      </c>
      <c r="H124" s="466">
        <v>0</v>
      </c>
      <c r="I124" s="467">
        <v>3030</v>
      </c>
      <c r="J124" s="467">
        <v>0</v>
      </c>
      <c r="K124" s="1666">
        <f>SUM(C124:J124)</f>
        <v>1976408</v>
      </c>
      <c r="L124" s="466">
        <v>1969170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903938</v>
      </c>
      <c r="D127" s="1666">
        <f t="shared" ref="D127:L127" si="14">SUM(D122:D126)</f>
        <v>137091</v>
      </c>
      <c r="E127" s="1666">
        <f t="shared" si="14"/>
        <v>246671</v>
      </c>
      <c r="F127" s="1666">
        <f t="shared" si="14"/>
        <v>690005</v>
      </c>
      <c r="G127" s="1666">
        <f t="shared" si="14"/>
        <v>1805</v>
      </c>
      <c r="H127" s="1666">
        <f t="shared" si="14"/>
        <v>0</v>
      </c>
      <c r="I127" s="1666">
        <f t="shared" si="14"/>
        <v>3030</v>
      </c>
      <c r="J127" s="1666">
        <f t="shared" si="14"/>
        <v>0</v>
      </c>
      <c r="K127" s="1666">
        <f t="shared" si="14"/>
        <v>1982540</v>
      </c>
      <c r="L127" s="1666">
        <f t="shared" si="14"/>
        <v>1973170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903938</v>
      </c>
      <c r="D129" s="1673">
        <f t="shared" ref="D129:L129" si="15">SUM(D120,D127,D128)</f>
        <v>137091</v>
      </c>
      <c r="E129" s="1673">
        <f t="shared" si="15"/>
        <v>246671</v>
      </c>
      <c r="F129" s="1673">
        <f t="shared" si="15"/>
        <v>690005</v>
      </c>
      <c r="G129" s="1673">
        <f t="shared" si="15"/>
        <v>1805</v>
      </c>
      <c r="H129" s="1673">
        <f t="shared" si="15"/>
        <v>0</v>
      </c>
      <c r="I129" s="1673">
        <f t="shared" si="15"/>
        <v>3030</v>
      </c>
      <c r="J129" s="1673">
        <f t="shared" si="15"/>
        <v>0</v>
      </c>
      <c r="K129" s="1673">
        <f t="shared" si="15"/>
        <v>1982540</v>
      </c>
      <c r="L129" s="1673">
        <f t="shared" si="15"/>
        <v>1973170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1841</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310" t="s">
        <v>620</v>
      </c>
      <c r="B151" s="2290"/>
      <c r="C151" s="1666">
        <f>SUM(C129,C130,C139,C149,C150)</f>
        <v>903938</v>
      </c>
      <c r="D151" s="1666">
        <f t="shared" ref="D151:K151" si="16">SUM(D129,D130,D139,D149,D150)</f>
        <v>137091</v>
      </c>
      <c r="E151" s="1666">
        <f t="shared" si="16"/>
        <v>246671</v>
      </c>
      <c r="F151" s="1666">
        <f t="shared" si="16"/>
        <v>690005</v>
      </c>
      <c r="G151" s="1666">
        <f t="shared" si="16"/>
        <v>1805</v>
      </c>
      <c r="H151" s="1666">
        <f t="shared" si="16"/>
        <v>0</v>
      </c>
      <c r="I151" s="1666">
        <f t="shared" si="16"/>
        <v>3030</v>
      </c>
      <c r="J151" s="1666">
        <f t="shared" si="16"/>
        <v>0</v>
      </c>
      <c r="K151" s="1666">
        <f t="shared" si="16"/>
        <v>1982540</v>
      </c>
      <c r="L151" s="1666">
        <f>SUM(L129,L130,L139,L149,L150)</f>
        <v>1973170</v>
      </c>
    </row>
    <row r="152" spans="1:14" ht="12.75" customHeight="1" thickTop="1" x14ac:dyDescent="0.2">
      <c r="A152" s="2313" t="s">
        <v>1178</v>
      </c>
      <c r="B152" s="2314"/>
      <c r="C152" s="615"/>
      <c r="D152" s="615"/>
      <c r="E152" s="615"/>
      <c r="F152" s="615"/>
      <c r="G152" s="615"/>
      <c r="H152" s="615"/>
      <c r="I152" s="615"/>
      <c r="J152" s="613"/>
      <c r="K152" s="1680">
        <f>'Revenues 9-14'!D268-'Expenditures 15-22'!K151</f>
        <v>-111184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98" t="s">
        <v>621</v>
      </c>
      <c r="B154" s="2300"/>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1842</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1841</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1843</v>
      </c>
      <c r="C158" s="613"/>
      <c r="D158" s="613"/>
      <c r="E158" s="613"/>
      <c r="F158" s="613"/>
      <c r="G158" s="613"/>
      <c r="H158" s="467">
        <v>0</v>
      </c>
      <c r="I158" s="613"/>
      <c r="J158" s="613"/>
      <c r="K158" s="1667">
        <f>H158</f>
        <v>0</v>
      </c>
      <c r="L158" s="467">
        <v>0</v>
      </c>
      <c r="M158" s="616"/>
      <c r="N158" s="616"/>
    </row>
    <row r="159" spans="1:14" s="617" customFormat="1" ht="12" x14ac:dyDescent="0.2">
      <c r="A159" s="1822" t="s">
        <v>1844</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1845</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1461956</v>
      </c>
      <c r="I169" s="613"/>
      <c r="J169" s="613"/>
      <c r="K169" s="1667">
        <f>SUM(C169:H169)</f>
        <v>1461956</v>
      </c>
      <c r="L169" s="653">
        <v>3396167</v>
      </c>
    </row>
    <row r="170" spans="1:14" ht="33.75" customHeight="1" x14ac:dyDescent="0.2">
      <c r="A170" s="666" t="s">
        <v>1669</v>
      </c>
      <c r="B170" s="668" t="s">
        <v>31</v>
      </c>
      <c r="C170" s="613"/>
      <c r="D170" s="613"/>
      <c r="E170" s="613"/>
      <c r="F170" s="613"/>
      <c r="G170" s="613"/>
      <c r="H170" s="566">
        <v>1884180</v>
      </c>
      <c r="I170" s="613"/>
      <c r="J170" s="613"/>
      <c r="K170" s="1667">
        <f>SUM(C170:J170)</f>
        <v>1884180</v>
      </c>
      <c r="L170" s="566">
        <v>0</v>
      </c>
    </row>
    <row r="171" spans="1:14" ht="15.75" customHeight="1" x14ac:dyDescent="0.2">
      <c r="A171" s="618" t="s">
        <v>766</v>
      </c>
      <c r="B171" s="669" t="s">
        <v>84</v>
      </c>
      <c r="C171" s="613"/>
      <c r="D171" s="613"/>
      <c r="E171" s="466">
        <v>0</v>
      </c>
      <c r="F171" s="613"/>
      <c r="G171" s="613"/>
      <c r="H171" s="566">
        <v>1272</v>
      </c>
      <c r="I171" s="475"/>
      <c r="J171" s="613"/>
      <c r="K171" s="1667">
        <f>SUM(C171:J171)</f>
        <v>1272</v>
      </c>
      <c r="L171" s="566">
        <v>0</v>
      </c>
    </row>
    <row r="172" spans="1:14" ht="12.75" customHeight="1" thickBot="1" x14ac:dyDescent="0.25">
      <c r="A172" s="1664" t="s">
        <v>638</v>
      </c>
      <c r="B172" s="1665" t="s">
        <v>492</v>
      </c>
      <c r="C172" s="613"/>
      <c r="D172" s="613"/>
      <c r="E172" s="1673">
        <f>SUM(E168,E169,E170,E171)</f>
        <v>0</v>
      </c>
      <c r="F172" s="613"/>
      <c r="G172" s="613"/>
      <c r="H172" s="1673">
        <f>SUM(H168,H169,H170,H171)</f>
        <v>3347408</v>
      </c>
      <c r="I172" s="635"/>
      <c r="J172" s="613"/>
      <c r="K172" s="1673">
        <f>SUM(K168,K169,K170,K171)</f>
        <v>3347408</v>
      </c>
      <c r="L172" s="1673">
        <f>SUM(L168,L169,L170,L171)</f>
        <v>3396167</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3347408</v>
      </c>
      <c r="I174" s="635"/>
      <c r="J174" s="613"/>
      <c r="K174" s="1673">
        <f>SUM(K160,K172,K173)</f>
        <v>3347408</v>
      </c>
      <c r="L174" s="1673">
        <f>SUM(L160,L172,L173)</f>
        <v>3396167</v>
      </c>
    </row>
    <row r="175" spans="1:14" ht="13.5" thickTop="1" x14ac:dyDescent="0.2">
      <c r="A175" s="2293" t="s">
        <v>996</v>
      </c>
      <c r="B175" s="2294"/>
      <c r="C175" s="613"/>
      <c r="D175" s="613"/>
      <c r="E175" s="613"/>
      <c r="F175" s="613"/>
      <c r="G175" s="613"/>
      <c r="H175" s="615"/>
      <c r="I175" s="613"/>
      <c r="J175" s="613"/>
      <c r="K175" s="1680">
        <f>'Revenues 9-14'!E268-'Expenditures 15-22'!K174</f>
        <v>-55006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2056</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20037</v>
      </c>
      <c r="D182" s="466">
        <v>0</v>
      </c>
      <c r="E182" s="466">
        <v>1721201</v>
      </c>
      <c r="F182" s="466">
        <v>154886</v>
      </c>
      <c r="G182" s="466">
        <v>0</v>
      </c>
      <c r="H182" s="466">
        <v>0</v>
      </c>
      <c r="I182" s="467">
        <v>0</v>
      </c>
      <c r="J182" s="467">
        <v>0</v>
      </c>
      <c r="K182" s="1667">
        <f>SUM(C182:J182)</f>
        <v>1896124</v>
      </c>
      <c r="L182" s="466">
        <v>1970949</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20037</v>
      </c>
      <c r="D184" s="1673">
        <f t="shared" ref="D184:J184" si="17">SUM(D180,D182,D183)</f>
        <v>0</v>
      </c>
      <c r="E184" s="1673">
        <f t="shared" si="17"/>
        <v>1721201</v>
      </c>
      <c r="F184" s="1673">
        <f t="shared" si="17"/>
        <v>154886</v>
      </c>
      <c r="G184" s="1673">
        <f t="shared" si="17"/>
        <v>0</v>
      </c>
      <c r="H184" s="1673">
        <f t="shared" si="17"/>
        <v>0</v>
      </c>
      <c r="I184" s="1673">
        <f t="shared" si="17"/>
        <v>0</v>
      </c>
      <c r="J184" s="1673">
        <f t="shared" si="17"/>
        <v>0</v>
      </c>
      <c r="K184" s="1673">
        <f>SUM(K180,K182,K183)</f>
        <v>1896124</v>
      </c>
      <c r="L184" s="1673">
        <f>SUM(L180, L182:L183)</f>
        <v>1970949</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1670</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20037</v>
      </c>
      <c r="D210" s="1666">
        <f>SUM(D184,D185)</f>
        <v>0</v>
      </c>
      <c r="E210" s="1666">
        <f>SUM(E184,E185,E196)</f>
        <v>1721201</v>
      </c>
      <c r="F210" s="1666">
        <f>SUM(F184,F185)</f>
        <v>154886</v>
      </c>
      <c r="G210" s="1666">
        <f>SUM(G184,G185)</f>
        <v>0</v>
      </c>
      <c r="H210" s="1666">
        <f>SUM(H184,H185,H196,H208,H209)</f>
        <v>0</v>
      </c>
      <c r="I210" s="1666">
        <f>SUM(I184,I185)</f>
        <v>0</v>
      </c>
      <c r="J210" s="1666">
        <f>SUM(J184,J185)</f>
        <v>0</v>
      </c>
      <c r="K210" s="1667">
        <f>SUM(K184,K185,K196,K208,K209)</f>
        <v>1896124</v>
      </c>
      <c r="L210" s="1666">
        <f>SUM(L184,L185,L196,L208,L209)</f>
        <v>1970949</v>
      </c>
    </row>
    <row r="211" spans="1:14" ht="13.5" thickTop="1" x14ac:dyDescent="0.2">
      <c r="A211" s="2293" t="s">
        <v>996</v>
      </c>
      <c r="B211" s="2294"/>
      <c r="C211" s="615"/>
      <c r="D211" s="615"/>
      <c r="E211" s="615"/>
      <c r="F211" s="615"/>
      <c r="G211" s="615"/>
      <c r="H211" s="615"/>
      <c r="I211" s="613"/>
      <c r="J211" s="613"/>
      <c r="K211" s="1680">
        <f>'Revenues 9-14'!F268-'Expenditures 15-22'!K210</f>
        <v>28425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15" t="s">
        <v>965</v>
      </c>
      <c r="B213" s="2316"/>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74405</v>
      </c>
      <c r="E215" s="613"/>
      <c r="F215" s="613"/>
      <c r="G215" s="613"/>
      <c r="H215" s="613"/>
      <c r="I215" s="613"/>
      <c r="J215" s="613"/>
      <c r="K215" s="1667">
        <f>D215</f>
        <v>74405</v>
      </c>
      <c r="L215" s="466">
        <v>71940</v>
      </c>
    </row>
    <row r="216" spans="1:14" x14ac:dyDescent="0.2">
      <c r="A216" s="1500" t="s">
        <v>163</v>
      </c>
      <c r="B216" s="611" t="s">
        <v>967</v>
      </c>
      <c r="C216" s="613"/>
      <c r="D216" s="467">
        <v>32143</v>
      </c>
      <c r="E216" s="613"/>
      <c r="F216" s="613"/>
      <c r="G216" s="613"/>
      <c r="H216" s="613"/>
      <c r="I216" s="613"/>
      <c r="J216" s="613"/>
      <c r="K216" s="1667">
        <f t="shared" ref="K216:K228" si="19">D216</f>
        <v>32143</v>
      </c>
      <c r="L216" s="466">
        <v>32648</v>
      </c>
    </row>
    <row r="217" spans="1:14" x14ac:dyDescent="0.2">
      <c r="A217" s="1500" t="s">
        <v>164</v>
      </c>
      <c r="B217" s="611">
        <v>1200</v>
      </c>
      <c r="C217" s="613"/>
      <c r="D217" s="466">
        <v>25048</v>
      </c>
      <c r="E217" s="613"/>
      <c r="F217" s="613"/>
      <c r="G217" s="613"/>
      <c r="H217" s="613"/>
      <c r="I217" s="613"/>
      <c r="J217" s="613"/>
      <c r="K217" s="1667">
        <f t="shared" si="19"/>
        <v>25048</v>
      </c>
      <c r="L217" s="466">
        <v>28384</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12724</v>
      </c>
      <c r="E219" s="613"/>
      <c r="F219" s="613"/>
      <c r="G219" s="613"/>
      <c r="H219" s="613"/>
      <c r="I219" s="613"/>
      <c r="J219" s="613"/>
      <c r="K219" s="1667">
        <f t="shared" si="19"/>
        <v>12724</v>
      </c>
      <c r="L219" s="466">
        <v>14534</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3547</v>
      </c>
      <c r="E222" s="613"/>
      <c r="F222" s="613"/>
      <c r="G222" s="613"/>
      <c r="H222" s="613"/>
      <c r="I222" s="613"/>
      <c r="J222" s="613"/>
      <c r="K222" s="1667">
        <f t="shared" si="19"/>
        <v>3547</v>
      </c>
      <c r="L222" s="466">
        <v>2713</v>
      </c>
    </row>
    <row r="223" spans="1:14" x14ac:dyDescent="0.2">
      <c r="A223" s="1500" t="s">
        <v>963</v>
      </c>
      <c r="B223" s="611">
        <v>1500</v>
      </c>
      <c r="C223" s="613"/>
      <c r="D223" s="466">
        <v>13973</v>
      </c>
      <c r="E223" s="613"/>
      <c r="F223" s="613"/>
      <c r="G223" s="613"/>
      <c r="H223" s="613"/>
      <c r="I223" s="613"/>
      <c r="J223" s="613"/>
      <c r="K223" s="1667">
        <f t="shared" si="19"/>
        <v>13973</v>
      </c>
      <c r="L223" s="466">
        <v>9707</v>
      </c>
    </row>
    <row r="224" spans="1:14" x14ac:dyDescent="0.2">
      <c r="A224" s="1500" t="s">
        <v>964</v>
      </c>
      <c r="B224" s="611">
        <v>1600</v>
      </c>
      <c r="C224" s="613"/>
      <c r="D224" s="466">
        <v>5</v>
      </c>
      <c r="E224" s="613"/>
      <c r="F224" s="613"/>
      <c r="G224" s="613"/>
      <c r="H224" s="613"/>
      <c r="I224" s="613"/>
      <c r="J224" s="613"/>
      <c r="K224" s="1667">
        <f t="shared" si="19"/>
        <v>5</v>
      </c>
      <c r="L224" s="466">
        <v>162</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923</v>
      </c>
      <c r="E226" s="613"/>
      <c r="F226" s="613"/>
      <c r="G226" s="613"/>
      <c r="H226" s="613"/>
      <c r="I226" s="613"/>
      <c r="J226" s="613"/>
      <c r="K226" s="1667">
        <f t="shared" si="19"/>
        <v>923</v>
      </c>
      <c r="L226" s="466">
        <v>1822</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162768</v>
      </c>
      <c r="E229" s="613"/>
      <c r="F229" s="613"/>
      <c r="G229" s="613"/>
      <c r="H229" s="613"/>
      <c r="I229" s="613"/>
      <c r="J229" s="613"/>
      <c r="K229" s="1666">
        <f>SUM(K215:K228)</f>
        <v>162768</v>
      </c>
      <c r="L229" s="1666">
        <f>SUM(L215:L228)</f>
        <v>161910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2584</v>
      </c>
      <c r="E232" s="613"/>
      <c r="F232" s="613"/>
      <c r="G232" s="613"/>
      <c r="H232" s="613"/>
      <c r="I232" s="613"/>
      <c r="J232" s="613"/>
      <c r="K232" s="1667">
        <f t="shared" ref="K232:K237" si="20">D232</f>
        <v>2584</v>
      </c>
      <c r="L232" s="466">
        <v>2905</v>
      </c>
    </row>
    <row r="233" spans="1:12" x14ac:dyDescent="0.2">
      <c r="A233" s="1500" t="s">
        <v>1090</v>
      </c>
      <c r="B233" s="611">
        <v>2120</v>
      </c>
      <c r="C233" s="613"/>
      <c r="D233" s="466">
        <v>4063</v>
      </c>
      <c r="E233" s="613"/>
      <c r="F233" s="613"/>
      <c r="G233" s="613"/>
      <c r="H233" s="613"/>
      <c r="I233" s="613"/>
      <c r="J233" s="613"/>
      <c r="K233" s="1667">
        <f t="shared" si="20"/>
        <v>4063</v>
      </c>
      <c r="L233" s="466">
        <v>4653</v>
      </c>
    </row>
    <row r="234" spans="1:12" x14ac:dyDescent="0.2">
      <c r="A234" s="1500" t="s">
        <v>198</v>
      </c>
      <c r="B234" s="611">
        <v>2130</v>
      </c>
      <c r="C234" s="613"/>
      <c r="D234" s="466">
        <v>21003</v>
      </c>
      <c r="E234" s="613"/>
      <c r="F234" s="613"/>
      <c r="G234" s="613"/>
      <c r="H234" s="613"/>
      <c r="I234" s="613"/>
      <c r="J234" s="613"/>
      <c r="K234" s="1667">
        <f t="shared" si="20"/>
        <v>21003</v>
      </c>
      <c r="L234" s="466">
        <v>21319</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27650</v>
      </c>
      <c r="E238" s="613"/>
      <c r="F238" s="613"/>
      <c r="G238" s="613"/>
      <c r="H238" s="613"/>
      <c r="I238" s="613"/>
      <c r="J238" s="613"/>
      <c r="K238" s="1666">
        <f>SUM(K232:K237)</f>
        <v>27650</v>
      </c>
      <c r="L238" s="1666">
        <f>SUM(L232:L237)</f>
        <v>28877</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9276</v>
      </c>
      <c r="E240" s="613"/>
      <c r="F240" s="613"/>
      <c r="G240" s="613"/>
      <c r="H240" s="613"/>
      <c r="I240" s="613"/>
      <c r="J240" s="613"/>
      <c r="K240" s="1668">
        <f>D240</f>
        <v>9276</v>
      </c>
      <c r="L240" s="479">
        <v>9348</v>
      </c>
    </row>
    <row r="241" spans="1:12" x14ac:dyDescent="0.2">
      <c r="A241" s="1500" t="s">
        <v>815</v>
      </c>
      <c r="B241" s="611">
        <v>2220</v>
      </c>
      <c r="C241" s="613"/>
      <c r="D241" s="466">
        <v>22952</v>
      </c>
      <c r="E241" s="613"/>
      <c r="F241" s="613"/>
      <c r="G241" s="613"/>
      <c r="H241" s="613"/>
      <c r="I241" s="613"/>
      <c r="J241" s="613"/>
      <c r="K241" s="1668">
        <f>D241</f>
        <v>22952</v>
      </c>
      <c r="L241" s="466">
        <v>26074</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32228</v>
      </c>
      <c r="E243" s="613"/>
      <c r="F243" s="613"/>
      <c r="G243" s="613"/>
      <c r="H243" s="613"/>
      <c r="I243" s="613"/>
      <c r="J243" s="613"/>
      <c r="K243" s="1666">
        <f>SUM(K240:K242)</f>
        <v>32228</v>
      </c>
      <c r="L243" s="1666">
        <f>SUM(L240:L242)</f>
        <v>35422</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390</v>
      </c>
      <c r="E245" s="613"/>
      <c r="F245" s="613"/>
      <c r="G245" s="613"/>
      <c r="H245" s="613"/>
      <c r="I245" s="613"/>
      <c r="J245" s="613"/>
      <c r="K245" s="1668">
        <f>D245</f>
        <v>390</v>
      </c>
      <c r="L245" s="479">
        <v>400</v>
      </c>
    </row>
    <row r="246" spans="1:12" x14ac:dyDescent="0.2">
      <c r="A246" s="1500" t="s">
        <v>818</v>
      </c>
      <c r="B246" s="611">
        <v>2320</v>
      </c>
      <c r="C246" s="613"/>
      <c r="D246" s="466">
        <v>1968</v>
      </c>
      <c r="E246" s="613"/>
      <c r="F246" s="613"/>
      <c r="G246" s="613"/>
      <c r="H246" s="613"/>
      <c r="I246" s="613"/>
      <c r="J246" s="613"/>
      <c r="K246" s="1668">
        <f t="shared" ref="K246:K256" si="21">D246</f>
        <v>1968</v>
      </c>
      <c r="L246" s="466">
        <v>2868</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1801</v>
      </c>
      <c r="B249" s="680" t="s">
        <v>282</v>
      </c>
      <c r="C249" s="613"/>
      <c r="D249" s="473">
        <v>0</v>
      </c>
      <c r="E249" s="613"/>
      <c r="F249" s="613"/>
      <c r="G249" s="613"/>
      <c r="H249" s="613"/>
      <c r="I249" s="613"/>
      <c r="J249" s="613"/>
      <c r="K249" s="1668">
        <f t="shared" si="21"/>
        <v>0</v>
      </c>
      <c r="L249" s="466">
        <v>0</v>
      </c>
    </row>
    <row r="250" spans="1:12" x14ac:dyDescent="0.2">
      <c r="A250" s="1501" t="s">
        <v>1802</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515</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886</v>
      </c>
      <c r="E254" s="613"/>
      <c r="F254" s="613"/>
      <c r="G254" s="613"/>
      <c r="H254" s="613"/>
      <c r="I254" s="613"/>
      <c r="J254" s="613"/>
      <c r="K254" s="1668">
        <f t="shared" si="21"/>
        <v>886</v>
      </c>
      <c r="L254" s="466">
        <v>866</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3244</v>
      </c>
      <c r="E257" s="613"/>
      <c r="F257" s="613"/>
      <c r="G257" s="613"/>
      <c r="H257" s="613"/>
      <c r="I257" s="613"/>
      <c r="J257" s="613"/>
      <c r="K257" s="1666">
        <f>SUM(K245:K256)</f>
        <v>3244</v>
      </c>
      <c r="L257" s="1666">
        <f>SUM(L245:L256)</f>
        <v>4649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66716</v>
      </c>
      <c r="E259" s="613"/>
      <c r="F259" s="613"/>
      <c r="G259" s="613"/>
      <c r="H259" s="613"/>
      <c r="I259" s="613"/>
      <c r="J259" s="613"/>
      <c r="K259" s="1668">
        <f>D259</f>
        <v>66716</v>
      </c>
      <c r="L259" s="479">
        <v>71958</v>
      </c>
    </row>
    <row r="260" spans="1:14" s="594" customFormat="1" x14ac:dyDescent="0.2">
      <c r="A260" s="1518" t="s">
        <v>1800</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66716</v>
      </c>
      <c r="E261" s="613"/>
      <c r="F261" s="613"/>
      <c r="G261" s="613"/>
      <c r="H261" s="613"/>
      <c r="I261" s="613"/>
      <c r="J261" s="613"/>
      <c r="K261" s="1666">
        <f>SUM(K259:K260)</f>
        <v>66716</v>
      </c>
      <c r="L261" s="1666">
        <f>SUM(L259:L260)</f>
        <v>71958</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30161</v>
      </c>
      <c r="E264" s="613"/>
      <c r="F264" s="613"/>
      <c r="G264" s="613"/>
      <c r="H264" s="613"/>
      <c r="I264" s="613"/>
      <c r="J264" s="613"/>
      <c r="K264" s="1668">
        <f t="shared" ref="K264:K269" si="22">D264</f>
        <v>30161</v>
      </c>
      <c r="L264" s="466">
        <v>40462</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161554</v>
      </c>
      <c r="E266" s="613"/>
      <c r="F266" s="613"/>
      <c r="G266" s="613"/>
      <c r="H266" s="613"/>
      <c r="I266" s="613"/>
      <c r="J266" s="613"/>
      <c r="K266" s="1668">
        <f t="shared" si="22"/>
        <v>161554</v>
      </c>
      <c r="L266" s="466">
        <v>163082</v>
      </c>
    </row>
    <row r="267" spans="1:14" x14ac:dyDescent="0.2">
      <c r="A267" s="1500" t="s">
        <v>953</v>
      </c>
      <c r="B267" s="611">
        <v>2550</v>
      </c>
      <c r="C267" s="613"/>
      <c r="D267" s="466">
        <v>3334</v>
      </c>
      <c r="E267" s="613"/>
      <c r="F267" s="613"/>
      <c r="G267" s="613"/>
      <c r="H267" s="613"/>
      <c r="I267" s="613"/>
      <c r="J267" s="613"/>
      <c r="K267" s="1668">
        <f t="shared" si="22"/>
        <v>3334</v>
      </c>
      <c r="L267" s="466">
        <v>1616</v>
      </c>
    </row>
    <row r="268" spans="1:14" x14ac:dyDescent="0.2">
      <c r="A268" s="1500" t="s">
        <v>100</v>
      </c>
      <c r="B268" s="611">
        <v>2560</v>
      </c>
      <c r="C268" s="613"/>
      <c r="D268" s="466">
        <v>67487</v>
      </c>
      <c r="E268" s="613"/>
      <c r="F268" s="613"/>
      <c r="G268" s="613"/>
      <c r="H268" s="613"/>
      <c r="I268" s="613"/>
      <c r="J268" s="613"/>
      <c r="K268" s="1668">
        <f t="shared" si="22"/>
        <v>67487</v>
      </c>
      <c r="L268" s="466">
        <v>77320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262536</v>
      </c>
      <c r="E270" s="613"/>
      <c r="F270" s="613"/>
      <c r="G270" s="613"/>
      <c r="H270" s="613"/>
      <c r="I270" s="613"/>
      <c r="J270" s="613"/>
      <c r="K270" s="1666">
        <f>SUM(K263:K269)</f>
        <v>262536</v>
      </c>
      <c r="L270" s="1666">
        <f>SUM(L263:L269)</f>
        <v>282480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935</v>
      </c>
      <c r="E278" s="613"/>
      <c r="F278" s="613"/>
      <c r="G278" s="613"/>
      <c r="H278" s="613"/>
      <c r="I278" s="613"/>
      <c r="J278" s="613"/>
      <c r="K278" s="1681">
        <f>D278</f>
        <v>935</v>
      </c>
      <c r="L278" s="653">
        <v>1619</v>
      </c>
    </row>
    <row r="279" spans="1:12" ht="12.75" customHeight="1" thickBot="1" x14ac:dyDescent="0.25">
      <c r="A279" s="1694" t="s">
        <v>811</v>
      </c>
      <c r="B279" s="1677">
        <v>2000</v>
      </c>
      <c r="C279" s="613"/>
      <c r="D279" s="1673">
        <f>SUM(D238,D243,D257,D261,D270,D277,D278)</f>
        <v>393309</v>
      </c>
      <c r="E279" s="613"/>
      <c r="F279" s="613"/>
      <c r="G279" s="613"/>
      <c r="H279" s="613"/>
      <c r="I279" s="613"/>
      <c r="J279" s="613"/>
      <c r="K279" s="1673">
        <f>SUM(K238,K243,K257,K261,K270,K277,K278)</f>
        <v>393309</v>
      </c>
      <c r="L279" s="1673">
        <f>SUM(L238,L243,L257,L261,L270,L277,L278)</f>
        <v>425005</v>
      </c>
    </row>
    <row r="280" spans="1:12" ht="15.75" customHeight="1" thickTop="1" thickBot="1" x14ac:dyDescent="0.25">
      <c r="A280" s="1620" t="s">
        <v>875</v>
      </c>
      <c r="B280" s="1609">
        <v>3000</v>
      </c>
      <c r="C280" s="613"/>
      <c r="D280" s="573">
        <v>16310</v>
      </c>
      <c r="E280" s="613"/>
      <c r="F280" s="613"/>
      <c r="G280" s="613"/>
      <c r="H280" s="613"/>
      <c r="I280" s="613"/>
      <c r="J280" s="613"/>
      <c r="K280" s="1675">
        <f>D280</f>
        <v>16310</v>
      </c>
      <c r="L280" s="573">
        <v>14391</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1841</v>
      </c>
      <c r="C282" s="613"/>
      <c r="D282" s="467">
        <v>0</v>
      </c>
      <c r="E282" s="613"/>
      <c r="F282" s="613"/>
      <c r="G282" s="613"/>
      <c r="H282" s="613"/>
      <c r="I282" s="613"/>
      <c r="J282" s="613"/>
      <c r="K282" s="1667">
        <f>D282</f>
        <v>0</v>
      </c>
      <c r="L282" s="467">
        <v>0</v>
      </c>
    </row>
    <row r="283" spans="1:12" x14ac:dyDescent="0.2">
      <c r="A283" s="1500" t="s">
        <v>304</v>
      </c>
      <c r="B283" s="611">
        <v>4120</v>
      </c>
      <c r="C283" s="613"/>
      <c r="D283" s="466">
        <v>34339</v>
      </c>
      <c r="E283" s="613"/>
      <c r="F283" s="613"/>
      <c r="G283" s="613"/>
      <c r="H283" s="613"/>
      <c r="I283" s="613"/>
      <c r="J283" s="613"/>
      <c r="K283" s="1667">
        <f>D283</f>
        <v>34339</v>
      </c>
      <c r="L283" s="466">
        <v>39497</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34339</v>
      </c>
      <c r="E285" s="613"/>
      <c r="F285" s="613"/>
      <c r="G285" s="613"/>
      <c r="H285" s="613"/>
      <c r="I285" s="613"/>
      <c r="J285" s="613"/>
      <c r="K285" s="1666">
        <f>SUM(K282:K284)</f>
        <v>34339</v>
      </c>
      <c r="L285" s="1666">
        <f>SUM(L282:L284)</f>
        <v>39497</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311" t="s">
        <v>505</v>
      </c>
      <c r="B295" s="2312"/>
      <c r="C295" s="613"/>
      <c r="D295" s="1666">
        <f>SUM(D229,D279,D280,D285)</f>
        <v>606726</v>
      </c>
      <c r="E295" s="613"/>
      <c r="F295" s="613"/>
      <c r="G295" s="613"/>
      <c r="H295" s="1666">
        <f>H293</f>
        <v>0</v>
      </c>
      <c r="I295" s="613"/>
      <c r="J295" s="613"/>
      <c r="K295" s="1666">
        <f>SUM(K229,K279,K280,K285,K293,K294)</f>
        <v>606726</v>
      </c>
      <c r="L295" s="1666">
        <f>SUM(L229,L279,L280,L285,L293,L294)</f>
        <v>640803</v>
      </c>
    </row>
    <row r="296" spans="1:14" ht="13.5" thickTop="1" x14ac:dyDescent="0.2">
      <c r="A296" s="2293" t="s">
        <v>996</v>
      </c>
      <c r="B296" s="2294"/>
      <c r="C296" s="613"/>
      <c r="D296" s="615"/>
      <c r="E296" s="613"/>
      <c r="F296" s="613"/>
      <c r="G296" s="613"/>
      <c r="H296" s="684"/>
      <c r="I296" s="613"/>
      <c r="J296" s="613"/>
      <c r="K296" s="1680">
        <f>'Revenues 9-14'!G268-'Expenditures 15-22'!K295</f>
        <v>30069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03" t="s">
        <v>143</v>
      </c>
      <c r="B298" s="2297"/>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118437</v>
      </c>
      <c r="F301" s="466">
        <v>8648</v>
      </c>
      <c r="G301" s="466">
        <v>2641552</v>
      </c>
      <c r="H301" s="466">
        <v>0</v>
      </c>
      <c r="I301" s="467">
        <v>0</v>
      </c>
      <c r="J301" s="467">
        <v>0</v>
      </c>
      <c r="K301" s="1667">
        <f>SUM(C301:J301)</f>
        <v>2768637</v>
      </c>
      <c r="L301" s="467">
        <v>2790000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118437</v>
      </c>
      <c r="F303" s="1673">
        <f t="shared" si="23"/>
        <v>8648</v>
      </c>
      <c r="G303" s="1673">
        <f t="shared" si="23"/>
        <v>2641552</v>
      </c>
      <c r="H303" s="1673">
        <f t="shared" si="23"/>
        <v>0</v>
      </c>
      <c r="I303" s="1673">
        <f t="shared" si="23"/>
        <v>0</v>
      </c>
      <c r="J303" s="1673">
        <f t="shared" si="23"/>
        <v>0</v>
      </c>
      <c r="K303" s="1673">
        <f t="shared" si="23"/>
        <v>2768637</v>
      </c>
      <c r="L303" s="1673">
        <f t="shared" si="23"/>
        <v>2790000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1846</v>
      </c>
      <c r="B306" s="687" t="s">
        <v>1841</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308" t="s">
        <v>277</v>
      </c>
      <c r="B312" s="2309"/>
      <c r="C312" s="1666">
        <f>SUM(C303)</f>
        <v>0</v>
      </c>
      <c r="D312" s="1666">
        <f>SUM(D303)</f>
        <v>0</v>
      </c>
      <c r="E312" s="1666">
        <f>SUM(E303,E310)</f>
        <v>118437</v>
      </c>
      <c r="F312" s="1666">
        <f>SUM(F303)</f>
        <v>8648</v>
      </c>
      <c r="G312" s="1666">
        <f>SUM(G303)</f>
        <v>2641552</v>
      </c>
      <c r="H312" s="1666">
        <f>SUM(H303,H310)</f>
        <v>0</v>
      </c>
      <c r="I312" s="1666">
        <f>SUM(I303)</f>
        <v>0</v>
      </c>
      <c r="J312" s="1666">
        <f>SUM(J303)</f>
        <v>0</v>
      </c>
      <c r="K312" s="1666">
        <f>SUM(K303,K310,K311)</f>
        <v>2768637</v>
      </c>
      <c r="L312" s="1666">
        <f>SUM(L303,L310,L311)</f>
        <v>2790000</v>
      </c>
      <c r="M312" s="662"/>
      <c r="N312" s="662"/>
    </row>
    <row r="313" spans="1:14" ht="13.5" thickTop="1" x14ac:dyDescent="0.2">
      <c r="A313" s="2304" t="s">
        <v>996</v>
      </c>
      <c r="B313" s="2305"/>
      <c r="C313" s="623"/>
      <c r="D313" s="623"/>
      <c r="E313" s="623"/>
      <c r="F313" s="623"/>
      <c r="G313" s="623"/>
      <c r="H313" s="623"/>
      <c r="I313" s="623"/>
      <c r="J313" s="623"/>
      <c r="K313" s="1681">
        <f>'Revenues 9-14'!H268-'Expenditures 15-22'!K312</f>
        <v>-2104704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17" t="s">
        <v>149</v>
      </c>
      <c r="B315" s="2318"/>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19" t="s">
        <v>898</v>
      </c>
      <c r="B317" s="2318"/>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1801</v>
      </c>
      <c r="B320" s="695" t="s">
        <v>282</v>
      </c>
      <c r="C320" s="467">
        <v>0</v>
      </c>
      <c r="D320" s="467">
        <v>0</v>
      </c>
      <c r="E320" s="467">
        <v>68412</v>
      </c>
      <c r="F320" s="467">
        <v>0</v>
      </c>
      <c r="G320" s="467">
        <v>0</v>
      </c>
      <c r="H320" s="467">
        <v>0</v>
      </c>
      <c r="I320" s="467">
        <v>0</v>
      </c>
      <c r="J320" s="467">
        <v>0</v>
      </c>
      <c r="K320" s="1667">
        <f t="shared" ref="K320:K327" si="24">SUM(C320:J320)</f>
        <v>68412</v>
      </c>
      <c r="L320" s="467">
        <v>75000</v>
      </c>
      <c r="M320" s="662"/>
      <c r="N320" s="662"/>
    </row>
    <row r="321" spans="1:14" s="671" customFormat="1" x14ac:dyDescent="0.2">
      <c r="A321" s="1515" t="s">
        <v>300</v>
      </c>
      <c r="B321" s="694" t="s">
        <v>283</v>
      </c>
      <c r="C321" s="467">
        <v>0</v>
      </c>
      <c r="D321" s="467">
        <v>0</v>
      </c>
      <c r="E321" s="467">
        <v>1872</v>
      </c>
      <c r="F321" s="467">
        <v>0</v>
      </c>
      <c r="G321" s="467">
        <v>0</v>
      </c>
      <c r="H321" s="467">
        <v>0</v>
      </c>
      <c r="I321" s="467">
        <v>0</v>
      </c>
      <c r="J321" s="467">
        <v>0</v>
      </c>
      <c r="K321" s="1667">
        <f t="shared" si="24"/>
        <v>1872</v>
      </c>
      <c r="L321" s="467">
        <v>3000</v>
      </c>
      <c r="M321" s="662"/>
      <c r="N321" s="662"/>
    </row>
    <row r="322" spans="1:14" s="671" customFormat="1" x14ac:dyDescent="0.2">
      <c r="A322" s="1515" t="s">
        <v>238</v>
      </c>
      <c r="B322" s="694" t="s">
        <v>284</v>
      </c>
      <c r="C322" s="467">
        <v>0</v>
      </c>
      <c r="D322" s="467">
        <v>0</v>
      </c>
      <c r="E322" s="467">
        <v>215985</v>
      </c>
      <c r="F322" s="467">
        <v>0</v>
      </c>
      <c r="G322" s="467">
        <v>0</v>
      </c>
      <c r="H322" s="467">
        <v>0</v>
      </c>
      <c r="I322" s="467">
        <v>0</v>
      </c>
      <c r="J322" s="467">
        <v>0</v>
      </c>
      <c r="K322" s="1667">
        <f t="shared" si="24"/>
        <v>215985</v>
      </c>
      <c r="L322" s="467">
        <v>193062</v>
      </c>
      <c r="M322" s="662"/>
      <c r="N322" s="662"/>
    </row>
    <row r="323" spans="1:14" s="671" customFormat="1" x14ac:dyDescent="0.2">
      <c r="A323" s="1515" t="s">
        <v>702</v>
      </c>
      <c r="B323" s="694" t="s">
        <v>285</v>
      </c>
      <c r="C323" s="467">
        <v>0</v>
      </c>
      <c r="D323" s="467">
        <v>0</v>
      </c>
      <c r="E323" s="467">
        <v>151311</v>
      </c>
      <c r="F323" s="467">
        <v>0</v>
      </c>
      <c r="G323" s="467">
        <v>0</v>
      </c>
      <c r="H323" s="467">
        <v>0</v>
      </c>
      <c r="I323" s="467">
        <v>1025</v>
      </c>
      <c r="J323" s="467">
        <v>0</v>
      </c>
      <c r="K323" s="1667">
        <f t="shared" si="24"/>
        <v>152336</v>
      </c>
      <c r="L323" s="467">
        <v>167000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180200</v>
      </c>
      <c r="D325" s="467">
        <v>0</v>
      </c>
      <c r="E325" s="467">
        <v>142722</v>
      </c>
      <c r="F325" s="467">
        <v>0</v>
      </c>
      <c r="G325" s="467">
        <v>49722</v>
      </c>
      <c r="H325" s="467">
        <v>0</v>
      </c>
      <c r="I325" s="467">
        <v>0</v>
      </c>
      <c r="J325" s="467">
        <v>0</v>
      </c>
      <c r="K325" s="1667">
        <f t="shared" si="24"/>
        <v>372644</v>
      </c>
      <c r="L325" s="467">
        <v>106500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15948</v>
      </c>
      <c r="F327" s="467">
        <v>0</v>
      </c>
      <c r="G327" s="467">
        <v>0</v>
      </c>
      <c r="H327" s="467">
        <v>0</v>
      </c>
      <c r="I327" s="467">
        <v>0</v>
      </c>
      <c r="J327" s="467">
        <v>0</v>
      </c>
      <c r="K327" s="1667">
        <f t="shared" si="24"/>
        <v>15948</v>
      </c>
      <c r="L327" s="467">
        <v>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180200</v>
      </c>
      <c r="D330" s="1666">
        <f t="shared" ref="D330:J330" si="25">SUM(D319:D329)</f>
        <v>0</v>
      </c>
      <c r="E330" s="1666">
        <f t="shared" si="25"/>
        <v>596250</v>
      </c>
      <c r="F330" s="1666">
        <f t="shared" si="25"/>
        <v>0</v>
      </c>
      <c r="G330" s="1666">
        <f t="shared" si="25"/>
        <v>49722</v>
      </c>
      <c r="H330" s="1666">
        <f t="shared" si="25"/>
        <v>0</v>
      </c>
      <c r="I330" s="1666">
        <f t="shared" si="25"/>
        <v>1025</v>
      </c>
      <c r="J330" s="1666">
        <f t="shared" si="25"/>
        <v>0</v>
      </c>
      <c r="K330" s="1666">
        <f>SUM(K319:K329)</f>
        <v>827197</v>
      </c>
      <c r="L330" s="1666">
        <f>SUM(L319:L329)</f>
        <v>544562</v>
      </c>
      <c r="M330" s="662"/>
      <c r="N330" s="662"/>
    </row>
    <row r="331" spans="1:14" s="671" customFormat="1" ht="12.75" customHeight="1" thickTop="1" x14ac:dyDescent="0.2">
      <c r="A331" s="1827" t="s">
        <v>1847</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1841</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1843</v>
      </c>
      <c r="C333" s="1829"/>
      <c r="D333" s="1829"/>
      <c r="E333" s="1829"/>
      <c r="F333" s="1829"/>
      <c r="G333" s="1829"/>
      <c r="H333" s="467">
        <v>14877</v>
      </c>
      <c r="I333" s="1829"/>
      <c r="J333" s="1829"/>
      <c r="K333" s="1667">
        <f>H333</f>
        <v>14877</v>
      </c>
      <c r="L333" s="467">
        <v>0</v>
      </c>
      <c r="M333" s="662"/>
      <c r="N333" s="662"/>
    </row>
    <row r="334" spans="1:14" s="671" customFormat="1" ht="12.75" customHeight="1" thickBot="1" x14ac:dyDescent="0.25">
      <c r="A334" s="1828" t="s">
        <v>1848</v>
      </c>
      <c r="B334" s="1823" t="s">
        <v>860</v>
      </c>
      <c r="C334" s="1829"/>
      <c r="D334" s="1829"/>
      <c r="E334" s="1829"/>
      <c r="F334" s="1829"/>
      <c r="G334" s="1829"/>
      <c r="H334" s="1666">
        <f>SUM(H332:H333)</f>
        <v>14877</v>
      </c>
      <c r="I334" s="1829"/>
      <c r="J334" s="1829"/>
      <c r="K334" s="1666">
        <f>SUM(K332:K333)</f>
        <v>14877</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180200</v>
      </c>
      <c r="D342" s="1666">
        <f>SUM(D330)</f>
        <v>0</v>
      </c>
      <c r="E342" s="1666">
        <f>SUM(E330)</f>
        <v>596250</v>
      </c>
      <c r="F342" s="1666">
        <f>SUM(F330)</f>
        <v>0</v>
      </c>
      <c r="G342" s="1666">
        <f>SUM(G330)</f>
        <v>49722</v>
      </c>
      <c r="H342" s="1666">
        <f>SUM(H330,H334,H340)</f>
        <v>14877</v>
      </c>
      <c r="I342" s="1666">
        <f>SUM(I330)</f>
        <v>1025</v>
      </c>
      <c r="J342" s="1666">
        <f>SUM(J330)</f>
        <v>0</v>
      </c>
      <c r="K342" s="1666">
        <f>SUM(K330,K334,K340)</f>
        <v>842074</v>
      </c>
      <c r="L342" s="1673">
        <f>SUM(L330,L340,L341)</f>
        <v>544562</v>
      </c>
    </row>
    <row r="343" spans="1:14" ht="12.75" customHeight="1" thickTop="1" x14ac:dyDescent="0.2">
      <c r="A343" s="2306" t="s">
        <v>996</v>
      </c>
      <c r="B343" s="2307"/>
      <c r="C343" s="613"/>
      <c r="D343" s="613"/>
      <c r="E343" s="613"/>
      <c r="F343" s="613"/>
      <c r="G343" s="613"/>
      <c r="H343" s="613"/>
      <c r="I343" s="613"/>
      <c r="J343" s="613"/>
      <c r="K343" s="1680">
        <f>'Revenues 9-14'!J268-'Expenditures 15-22'!K342</f>
        <v>-17060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96" t="s">
        <v>966</v>
      </c>
      <c r="B345" s="2297"/>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725246</v>
      </c>
      <c r="H348" s="466">
        <v>0</v>
      </c>
      <c r="I348" s="467">
        <v>0</v>
      </c>
      <c r="J348" s="467">
        <v>0</v>
      </c>
      <c r="K348" s="1667">
        <f>SUM(C348:J348)</f>
        <v>725246</v>
      </c>
      <c r="L348" s="466">
        <v>610000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725246</v>
      </c>
      <c r="H350" s="1666">
        <f t="shared" si="26"/>
        <v>0</v>
      </c>
      <c r="I350" s="1666">
        <f t="shared" si="26"/>
        <v>0</v>
      </c>
      <c r="J350" s="1666">
        <f t="shared" si="26"/>
        <v>0</v>
      </c>
      <c r="K350" s="1666">
        <f t="shared" si="26"/>
        <v>725246</v>
      </c>
      <c r="L350" s="1666">
        <f t="shared" si="26"/>
        <v>610000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725246</v>
      </c>
      <c r="H352" s="1666">
        <f t="shared" si="27"/>
        <v>0</v>
      </c>
      <c r="I352" s="1666">
        <f t="shared" si="27"/>
        <v>0</v>
      </c>
      <c r="J352" s="1666">
        <f t="shared" si="27"/>
        <v>0</v>
      </c>
      <c r="K352" s="1666">
        <f t="shared" si="27"/>
        <v>725246</v>
      </c>
      <c r="L352" s="1666">
        <f t="shared" si="27"/>
        <v>610000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1849</v>
      </c>
      <c r="B354" s="680" t="s">
        <v>1841</v>
      </c>
      <c r="C354" s="613"/>
      <c r="D354" s="613"/>
      <c r="E354" s="613"/>
      <c r="F354" s="613"/>
      <c r="G354" s="613"/>
      <c r="H354" s="473">
        <v>0</v>
      </c>
      <c r="I354" s="698"/>
      <c r="J354" s="613"/>
      <c r="K354" s="1695">
        <f>H354</f>
        <v>0</v>
      </c>
      <c r="L354" s="471">
        <v>0</v>
      </c>
    </row>
    <row r="355" spans="1:14" ht="12.75" customHeight="1" x14ac:dyDescent="0.2">
      <c r="A355" s="1509" t="s">
        <v>1850</v>
      </c>
      <c r="B355" s="687" t="s">
        <v>1843</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725246</v>
      </c>
      <c r="H367" s="1666">
        <f t="shared" si="28"/>
        <v>0</v>
      </c>
      <c r="I367" s="1666">
        <f t="shared" si="28"/>
        <v>0</v>
      </c>
      <c r="J367" s="1666">
        <f t="shared" si="28"/>
        <v>0</v>
      </c>
      <c r="K367" s="1666">
        <f t="shared" si="28"/>
        <v>725246</v>
      </c>
      <c r="L367" s="1666">
        <f t="shared" si="28"/>
        <v>610000</v>
      </c>
    </row>
    <row r="368" spans="1:14" ht="13.5" thickTop="1" x14ac:dyDescent="0.2">
      <c r="A368" s="2293" t="s">
        <v>996</v>
      </c>
      <c r="B368" s="2294"/>
      <c r="C368" s="651"/>
      <c r="D368" s="651"/>
      <c r="E368" s="623"/>
      <c r="F368" s="623"/>
      <c r="G368" s="623"/>
      <c r="H368" s="623"/>
      <c r="I368" s="623"/>
      <c r="J368" s="620"/>
      <c r="K368" s="1667">
        <f>'Revenues 9-14'!K268-'Expenditures 15-22'!K367</f>
        <v>-722684</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metadata/properties"/>
    <ds:schemaRef ds:uri="http://schemas.microsoft.com/sharepoint/v3"/>
    <ds:schemaRef ds:uri="http://schemas.microsoft.com/office/2006/documentManagement/types"/>
    <ds:schemaRef ds:uri="6ce3111e-7420-4802-b50a-75d4e9a0b980"/>
    <ds:schemaRef ds:uri="http://schemas.microsoft.com/office/infopath/2007/PartnerControls"/>
    <ds:schemaRef ds:uri="d21dc803-237d-4c68-8692-8d731fd29118"/>
    <ds:schemaRef ds:uri="http://purl.org/dc/elements/1.1/"/>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 2018</vt:lpstr>
      <vt:lpstr>SF&amp;QC Sec-2</vt:lpstr>
      <vt:lpstr>SF&amp;QC Sec-3</vt:lpstr>
      <vt:lpstr>CAP 2019-001</vt:lpstr>
      <vt:lpstr>SSPAF</vt:lpstr>
      <vt:lpstr>zzzSF&amp;QC Sec-1</vt:lpstr>
      <vt:lpstr>' SEFA'!Print_Area</vt:lpstr>
      <vt:lpstr>'SEFA 19'!Print_Area</vt:lpstr>
      <vt:lpstr>'SEFA NOTES'!Print_Area</vt:lpstr>
      <vt:lpstr>'SEFA Reconcile'!Print_Area</vt:lpstr>
      <vt:lpstr>'SF&amp;QC Sec-1 2018'!Print_Area</vt:lpstr>
      <vt:lpstr>'SF&amp;QC Sec-3'!Print_Area</vt:lpstr>
      <vt:lpstr>'Single Audit Checklist'!Print_Area</vt:lpstr>
      <vt:lpstr>'Single Audit Cover'!Print_Area</vt:lpstr>
      <vt:lpstr>'zzzSF&amp;QC Sec-1'!Print_Area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2019-11-18T17:14:30Z</cp:lastPrinted>
  <dcterms:created xsi:type="dcterms:W3CDTF">2003-10-29T19:06:34Z</dcterms:created>
  <dcterms:modified xsi:type="dcterms:W3CDTF">2019-12-26T21:44:04Z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