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40272EB-5916-4D74-A70B-CF4AA1E16FA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5" i="8" l="1"/>
  <c r="J34" i="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4" i="106"/>
  <c r="D7074"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G28" i="108"/>
  <c r="E30"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F50" i="34" l="1"/>
  <c r="F42" i="34"/>
  <c r="G33" i="108"/>
  <c r="L15" i="11"/>
  <c r="B3459" i="106" s="1"/>
  <c r="D3459" i="106" s="1"/>
  <c r="D54" i="36"/>
  <c r="D24" i="37"/>
  <c r="B4270" i="106" s="1"/>
  <c r="D4270" i="106" s="1"/>
  <c r="F64" i="34"/>
  <c r="G14" i="4"/>
  <c r="B2609" i="106" s="1"/>
  <c r="D2609" i="106" s="1"/>
  <c r="F46" i="34"/>
  <c r="F31" i="108"/>
  <c r="J210" i="29"/>
  <c r="B7072" i="106" s="1"/>
  <c r="D7072" i="106" s="1"/>
  <c r="F72" i="34"/>
  <c r="F71" i="34"/>
  <c r="H76" i="4"/>
  <c r="B3298" i="106" s="1"/>
  <c r="D3298" i="106" s="1"/>
  <c r="J23" i="12"/>
  <c r="J24" i="12" s="1"/>
  <c r="L5" i="11"/>
  <c r="B2056" i="106" s="1"/>
  <c r="D2056" i="106" s="1"/>
  <c r="F36" i="108"/>
  <c r="F49" i="34"/>
  <c r="J22" i="37"/>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B7730" i="106"/>
  <c r="D7730" i="106" s="1"/>
  <c r="B7270" i="106"/>
  <c r="D7251" i="106" l="1"/>
  <c r="D7254" i="106"/>
  <c r="D7250" i="106"/>
  <c r="D7255" i="106"/>
  <c r="H77" i="4"/>
  <c r="B3299" i="106" s="1"/>
  <c r="D3299" i="106" s="1"/>
  <c r="B1328" i="106"/>
  <c r="D1328" i="106" s="1"/>
  <c r="D7256" i="106"/>
  <c r="D7252" i="106"/>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<sst xmlns="http://schemas.openxmlformats.org/spreadsheetml/2006/main" count="5091" uniqueCount="2112">
  <si>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</si>
  <si>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</si>
  <si>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</si>
  <si>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</si>
  <si>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</si>
  <si>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</si>
  <si>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</si>
  <si>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</si>
  <si>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</si>
  <si>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</si>
  <si>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</si>
  <si>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</si>
  <si>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</si>
  <si>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</si>
  <si>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</si>
  <si>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</si>
  <si>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</si>
  <si>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</si>
  <si>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</si>
  <si>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</si>
  <si>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</si>
  <si>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</si>
  <si>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</si>
  <si>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</si>
  <si>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</si>
  <si>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</si>
  <si>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</si>
  <si>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</si>
  <si>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</si>
  <si>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</si>
  <si>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</si>
  <si>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</si>
  <si>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</si>
  <si>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</si>
  <si>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</si>
  <si>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</si>
  <si>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</si>
  <si>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</si>
  <si>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</si>
  <si>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</si>
  <si>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</si>
  <si>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</si>
  <si>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</si>
  <si>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</si>
  <si>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</si>
  <si>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</si>
  <si>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</si>
  <si>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</si>
  <si>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</si>
  <si>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</si>
  <si>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</si>
  <si>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</si>
  <si>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</si>
  <si>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</si>
  <si>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</si>
  <si>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</si>
  <si>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</si>
  <si>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</si>
  <si>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</si>
  <si>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</si>
  <si>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</si>
  <si>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</si>
  <si>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</si>
  <si>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</si>
  <si>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</si>
  <si>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</si>
  <si>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</si>
  <si>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</si>
  <si>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</si>
  <si>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</si>
  <si>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</si>
  <si>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</si>
  <si>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</si>
  <si>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</si>
  <si>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</si>
  <si>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</si>
  <si>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</si>
  <si>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</si>
  <si>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</si>
  <si>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</si>
  <si>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</si>
  <si>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</si>
  <si>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</si>
  <si>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</si>
  <si>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</si>
  <si>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</si>
  <si>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</si>
  <si>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</si>
  <si>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</si>
  <si>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</si>
  <si>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</si>
  <si>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</si>
  <si>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</si>
  <si>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</si>
  <si>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</si>
  <si>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</si>
  <si>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</si>
  <si>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</si>
  <si>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</si>
  <si>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</si>
  <si>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</si>
  <si>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</si>
  <si>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</si>
  <si>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</si>
  <si>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</si>
  <si>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</si>
  <si>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</si>
  <si>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</si>
  <si>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</si>
  <si>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</si>
  <si>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</si>
  <si>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</si>
  <si>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</si>
  <si>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</si>
  <si>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</si>
  <si>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</si>
  <si>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</si>
  <si>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</si>
  <si>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</si>
  <si>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</si>
  <si>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</si>
  <si>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</si>
  <si>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</si>
  <si>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</si>
  <si>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</si>
  <si>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</si>
  <si>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</si>
  <si>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</si>
  <si>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</si>
  <si>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</si>
  <si>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</si>
  <si>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</si>
  <si>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</si>
  <si>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</si>
  <si>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</si>
  <si>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</si>
  <si>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</si>
  <si>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</si>
  <si>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</si>
  <si>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</si>
  <si>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</si>
  <si>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</si>
  <si>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</si>
  <si>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</si>
  <si>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</si>
  <si>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</si>
  <si>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</si>
  <si>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</si>
  <si>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</si>
  <si>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</si>
  <si>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</si>
  <si>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</si>
  <si>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</si>
  <si>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</si>
  <si>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</si>
  <si>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</si>
  <si>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</si>
  <si>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</si>
  <si>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</si>
  <si>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</si>
  <si>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</si>
  <si>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</si>
  <si>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</si>
  <si>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</si>
  <si>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</si>
  <si>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</si>
  <si>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</si>
  <si>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</si>
  <si>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</si>
  <si>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</si>
  <si>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</si>
  <si>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</si>
  <si>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</si>
  <si>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</si>
  <si>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</si>
  <si>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</si>
  <si>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</si>
  <si>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</si>
  <si>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</si>
  <si>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</si>
  <si>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</si>
  <si>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</si>
  <si>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</si>
  <si>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</si>
  <si>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</si>
  <si>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</si>
  <si>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</si>
  <si>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</si>
  <si>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</si>
  <si>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</si>
  <si>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</si>
  <si>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</si>
  <si>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</si>
  <si>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</si>
  <si>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</si>
  <si>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</si>
  <si>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</si>
  <si>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</si>
  <si>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</si>
  <si>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</si>
  <si>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</si>
  <si>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</si>
  <si>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</si>
  <si>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</si>
  <si>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</si>
  <si>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</si>
  <si>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</si>
  <si>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</si>
  <si>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</si>
  <si>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</si>
  <si>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</si>
  <si>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</si>
  <si>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</si>
  <si>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</si>
  <si>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</si>
  <si>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</si>
  <si>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</si>
  <si>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</si>
  <si>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</si>
  <si>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</si>
  <si>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</si>
  <si>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</si>
  <si>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</si>
  <si>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</si>
  <si>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</si>
  <si>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</si>
  <si>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</si>
  <si>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</si>
  <si>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</si>
  <si>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</si>
  <si>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</si>
  <si>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</si>
  <si>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</si>
  <si>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</si>
  <si>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</si>
  <si>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</si>
  <si>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</si>
  <si>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</si>
  <si>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</si>
  <si>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</si>
  <si>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</si>
  <si>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</si>
  <si>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</si>
  <si>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</si>
  <si>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</si>
  <si>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</si>
  <si>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</si>
  <si>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</si>
  <si>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</si>
  <si>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</si>
  <si>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</si>
  <si>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</si>
  <si>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</si>
  <si>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</si>
  <si>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</si>
  <si>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</si>
  <si>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</si>
  <si>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</si>
  <si>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</si>
  <si>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</si>
  <si>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</si>
  <si>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</si>
  <si>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</si>
  <si>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</si>
  <si>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</si>
  <si>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</si>
  <si>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</si>
  <si>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</si>
  <si>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</si>
  <si>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</si>
  <si>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</si>
  <si>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</si>
  <si>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</si>
  <si>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</si>
  <si>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</si>
  <si>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</si>
  <si>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</si>
  <si>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</si>
  <si>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</si>
  <si>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</si>
  <si>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</si>
  <si>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</si>
  <si>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</si>
  <si>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</si>
  <si>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</si>
  <si>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</si>
  <si>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</si>
  <si>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</si>
  <si>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</si>
  <si>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</si>
  <si>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</si>
  <si>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</si>
  <si>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</si>
  <si>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</si>
  <si>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</si>
  <si>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</si>
  <si>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</si>
  <si>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</si>
  <si>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</si>
  <si>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</si>
  <si>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</si>
  <si>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</si>
  <si>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</si>
  <si>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</si>
  <si>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</si>
  <si>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</si>
  <si>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</si>
  <si>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</si>
  <si>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</si>
  <si>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</si>
  <si>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</si>
  <si>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</si>
  <si>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</si>
  <si>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</si>
  <si>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</si>
  <si>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</si>
  <si>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</si>
  <si>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</si>
  <si>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</si>
  <si>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</si>
  <si>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</si>
  <si>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</si>
  <si>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</si>
  <si>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</si>
  <si>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</si>
  <si>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</si>
  <si>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</si>
  <si>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</si>
  <si>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</si>
  <si>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</si>
  <si>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</si>
  <si>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</si>
  <si>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</si>
  <si>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</si>
  <si>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</si>
  <si>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</si>
  <si>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</si>
  <si>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</si>
  <si>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</si>
  <si>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</si>
  <si>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</si>
  <si>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</si>
  <si>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</si>
  <si>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</si>
  <si>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</si>
  <si>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</si>
  <si>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</si>
  <si>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</si>
  <si>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</si>
  <si>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</si>
  <si>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</si>
  <si>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</si>
  <si>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</si>
  <si>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</si>
  <si>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</si>
  <si>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</si>
  <si>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</si>
  <si>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</si>
  <si>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</si>
  <si>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</si>
  <si>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</si>
  <si>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</si>
  <si>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</si>
  <si>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</si>
  <si>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</si>
  <si>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</si>
  <si>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</si>
  <si>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</si>
  <si>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</si>
  <si>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</si>
  <si>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</si>
  <si>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</si>
  <si>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</si>
  <si>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</si>
  <si>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</si>
  <si>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</si>
  <si>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</si>
  <si>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</si>
  <si>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</si>
  <si>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</si>
  <si>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</si>
  <si>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</si>
  <si>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</si>
  <si>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</si>
  <si>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</si>
  <si>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</si>
  <si>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</si>
  <si>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</si>
  <si>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</si>
  <si>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</si>
  <si>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</si>
  <si>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</si>
  <si>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</si>
  <si>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</si>
  <si>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</si>
  <si>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</si>
  <si>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</si>
  <si>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</si>
  <si>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</si>
  <si>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</si>
  <si>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</si>
  <si>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</si>
  <si>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</si>
  <si>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</si>
  <si>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</si>
  <si>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</si>
  <si>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</si>
  <si>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</si>
  <si>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</si>
  <si>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</si>
  <si>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</si>
  <si>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</si>
  <si>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</si>
  <si>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</si>
  <si>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</si>
  <si>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</si>
  <si>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</si>
  <si>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</si>
  <si>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</si>
  <si>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</si>
  <si>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</si>
  <si>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</si>
  <si>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</si>
  <si>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</si>
  <si>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</si>
  <si>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</si>
  <si>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</si>
  <si>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</si>
  <si>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</si>
  <si>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</si>
  <si>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</si>
  <si>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</si>
  <si>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</si>
  <si>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</si>
  <si>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</si>
  <si>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</si>
  <si>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</si>
  <si>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</si>
  <si>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</si>
  <si>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</si>
  <si>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</si>
  <si>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</si>
  <si>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</si>
  <si>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</si>
  <si>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</si>
  <si>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</si>
  <si>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</si>
  <si>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</si>
  <si>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</si>
  <si>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</si>
  <si>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</si>
  <si>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</si>
  <si>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</si>
  <si>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</si>
  <si>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</si>
  <si>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</si>
  <si>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</si>
  <si>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</si>
  <si>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</si>
  <si>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</si>
  <si>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</si>
  <si>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</si>
  <si>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</si>
  <si>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</si>
  <si>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</si>
  <si>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</si>
  <si>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</si>
  <si>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</si>
  <si>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</si>
  <si>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</si>
  <si>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</si>
  <si>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</si>
  <si>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</si>
  <si>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</si>
  <si>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</si>
  <si>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</si>
  <si>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</si>
  <si>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</si>
  <si>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</si>
  <si>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</si>
  <si>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</si>
  <si>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</si>
  <si>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</si>
  <si>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</si>
  <si>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</si>
  <si>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</si>
  <si>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</si>
  <si>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</si>
  <si>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</si>
  <si>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</si>
  <si>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</si>
  <si>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</si>
  <si>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</si>
  <si>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</si>
  <si>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</si>
  <si>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</si>
  <si>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</si>
  <si>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</si>
  <si>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</si>
  <si>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</si>
  <si>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</si>
  <si>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</si>
  <si>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</si>
  <si>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</si>
  <si>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</si>
  <si>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</si>
  <si>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</si>
  <si>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</si>
  <si>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</si>
  <si>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</si>
  <si>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</si>
  <si>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</si>
  <si>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</si>
  <si>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</si>
  <si>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</si>
  <si>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</si>
  <si>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</si>
  <si>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</si>
  <si>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</si>
  <si>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</si>
  <si>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</si>
  <si>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</si>
  <si>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</si>
  <si>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</si>
  <si>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</si>
  <si>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</si>
  <si>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</si>
  <si>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</si>
  <si>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</si>
  <si>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</si>
  <si>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</si>
  <si>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</si>
  <si>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</si>
  <si>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</si>
  <si>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</si>
  <si>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</si>
  <si>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</si>
  <si>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</si>
  <si>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</si>
  <si>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</si>
  <si>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</si>
  <si>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</si>
  <si>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</si>
  <si>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</si>
  <si>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</si>
  <si>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</si>
  <si>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</si>
  <si>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</si>
  <si>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</si>
  <si>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</si>
  <si>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</si>
  <si>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</si>
  <si>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</si>
  <si>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</si>
  <si>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</si>
  <si>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</si>
  <si>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</si>
  <si>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</si>
  <si>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</si>
  <si>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</si>
  <si>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</si>
  <si>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</si>
  <si>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</si>
  <si>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</si>
  <si>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</si>
  <si>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</si>
  <si>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</si>
  <si>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</si>
  <si>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</si>
  <si>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</si>
  <si>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</si>
  <si>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</si>
  <si>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</si>
  <si>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</si>
  <si>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</si>
  <si>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</si>
  <si>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</si>
  <si>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</si>
  <si>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</si>
  <si>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</si>
  <si>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</si>
  <si>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</si>
  <si>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</si>
  <si>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</si>
  <si>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</si>
  <si>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</si>
  <si>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</si>
  <si>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</si>
  <si>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</si>
  <si>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</si>
  <si>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</si>
  <si>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</si>
  <si>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</si>
  <si>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</si>
  <si>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</si>
  <si>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</si>
  <si>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</si>
  <si>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</si>
  <si>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</si>
  <si>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</si>
  <si>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</si>
  <si>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</si>
  <si>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</si>
  <si>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</si>
  <si>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</si>
  <si>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</si>
  <si>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</si>
  <si>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</si>
  <si>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</si>
  <si>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</si>
  <si>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</si>
  <si>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</si>
  <si>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</si>
  <si>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</si>
  <si>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</si>
  <si>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</si>
  <si>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</si>
  <si>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</si>
  <si>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</si>
  <si>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</si>
  <si>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</si>
  <si>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</si>
  <si>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</si>
  <si>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</si>
  <si>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</si>
  <si>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</si>
  <si>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</si>
  <si>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</si>
  <si>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</si>
  <si>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</si>
  <si>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</si>
  <si>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</si>
  <si>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</si>
  <si>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</si>
  <si>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</si>
  <si>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</si>
  <si>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</si>
  <si>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</si>
  <si>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</si>
  <si>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</si>
  <si>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</si>
  <si>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</si>
  <si>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</si>
  <si>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</si>
  <si>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</si>
  <si>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</si>
  <si>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</si>
  <si>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</si>
  <si>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</si>
  <si>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</si>
  <si>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</si>
  <si>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</si>
  <si>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</si>
  <si>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</si>
  <si>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</si>
  <si>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</si>
  <si>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</si>
  <si>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</si>
  <si>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</si>
  <si>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</si>
  <si>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</si>
  <si>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</si>
  <si>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</si>
  <si>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</si>
  <si>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</si>
  <si>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</si>
  <si>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</si>
  <si>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</si>
  <si>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</si>
  <si>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</si>
  <si>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</si>
  <si>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</si>
  <si>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</si>
  <si>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</si>
  <si>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</si>
  <si>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</si>
  <si>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</si>
  <si>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</si>
  <si>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</si>
  <si>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</si>
  <si>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</si>
  <si>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</si>
  <si>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</si>
  <si>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</si>
  <si>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</si>
  <si>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</si>
  <si>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</si>
  <si>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</si>
  <si>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</si>
  <si>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</si>
  <si>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</si>
  <si>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</si>
  <si>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</si>
  <si>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</si>
  <si>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</si>
  <si>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</si>
  <si>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</si>
  <si>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</si>
  <si>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</si>
  <si>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</si>
  <si>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</si>
  <si>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</si>
  <si>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</si>
  <si>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</si>
  <si>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</si>
  <si>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</si>
  <si>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</si>
  <si>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</si>
  <si>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</si>
  <si>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</si>
  <si>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</si>
  <si>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</si>
  <si>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</si>
  <si>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</si>
  <si>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</si>
  <si>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</si>
  <si>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</si>
  <si>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</si>
  <si>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</si>
  <si>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</si>
  <si>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</si>
  <si>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</si>
  <si>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</si>
  <si>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</si>
  <si>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</si>
  <si>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</si>
  <si>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</si>
  <si>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</si>
  <si>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</si>
  <si>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</si>
  <si>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</si>
  <si>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</si>
  <si>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</si>
  <si>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</si>
  <si>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</si>
  <si>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</si>
  <si>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</si>
  <si>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</si>
  <si>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</si>
  <si>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</si>
  <si>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</si>
  <si>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</si>
  <si>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</si>
  <si>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</si>
  <si>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</si>
  <si>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</si>
  <si>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</si>
  <si>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</si>
  <si>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</si>
  <si>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</si>
  <si>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</si>
  <si>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</si>
  <si>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</si>
  <si>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</si>
  <si>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</si>
  <si>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</si>
  <si>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</si>
  <si>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</si>
  <si>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</si>
  <si>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</si>
  <si>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</si>
  <si>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</si>
  <si>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</si>
  <si>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</si>
  <si>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</si>
  <si>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</si>
  <si>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</si>
  <si>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</si>
  <si>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</si>
  <si>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</si>
  <si>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</si>
  <si>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</si>
  <si>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</si>
  <si>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</si>
  <si>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</si>
  <si>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</si>
  <si>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</si>
  <si>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</si>
  <si>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</si>
  <si>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</si>
  <si>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</si>
  <si>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</si>
  <si>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</si>
  <si>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</si>
  <si>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</si>
  <si>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</si>
  <si>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</si>
  <si>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</si>
  <si>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</si>
  <si>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</si>
  <si>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</si>
  <si>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</si>
  <si>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</si>
  <si>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</si>
  <si>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</si>
  <si>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</si>
  <si>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</si>
  <si>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</si>
  <si>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</si>
  <si>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</si>
  <si>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</si>
  <si>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</si>
  <si>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</si>
  <si>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</si>
  <si>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</si>
  <si>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</si>
  <si>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</si>
  <si>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</si>
  <si>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</si>
  <si>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</si>
  <si>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</si>
  <si>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</si>
  <si>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</si>
  <si>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</si>
  <si>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</si>
  <si>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</si>
  <si>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</si>
  <si>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</si>
  <si>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</si>
  <si>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</si>
  <si>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</si>
  <si>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</si>
  <si>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</si>
  <si>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</si>
  <si>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</si>
  <si>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</si>
  <si>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</si>
  <si>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</si>
  <si>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</si>
  <si>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</si>
  <si>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</si>
  <si>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</si>
  <si>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</si>
  <si>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</si>
  <si>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</si>
  <si>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</si>
  <si>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</si>
  <si>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</si>
  <si>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</si>
  <si>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</si>
  <si>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</si>
  <si>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</si>
  <si>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</si>
  <si>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</si>
  <si>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</si>
  <si>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</si>
  <si>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</si>
  <si>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</si>
  <si>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</si>
  <si>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</si>
  <si>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</si>
  <si>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</si>
  <si>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</si>
  <si>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</si>
  <si>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</si>
  <si>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</si>
  <si>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</si>
  <si>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</si>
  <si>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</si>
  <si>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</si>
  <si>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</si>
  <si>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</si>
  <si>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</si>
  <si>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</si>
  <si>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</si>
  <si>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</si>
  <si>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</si>
  <si>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</si>
  <si>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</si>
  <si>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</si>
  <si>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</si>
  <si>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</si>
  <si>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</si>
  <si>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</si>
  <si>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</si>
  <si>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</si>
  <si>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</si>
  <si>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</si>
  <si>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</si>
  <si>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</si>
  <si>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</si>
  <si>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</si>
  <si>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</si>
  <si>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</si>
  <si>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</si>
  <si>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</si>
  <si>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</si>
  <si>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</si>
  <si>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</si>
  <si>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</si>
  <si>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</si>
  <si>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</si>
  <si>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</si>
  <si>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</si>
  <si>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</si>
  <si>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</si>
  <si>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</si>
  <si>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</si>
  <si>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</si>
  <si>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</si>
  <si>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</si>
  <si>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</si>
  <si>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</si>
  <si>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</si>
  <si>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</si>
  <si>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</si>
  <si>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</si>
  <si>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</si>
  <si>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</si>
  <si>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</si>
  <si>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</si>
  <si>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</si>
  <si>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</si>
  <si>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</si>
  <si>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</si>
  <si>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</si>
  <si>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</si>
  <si>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</si>
  <si>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</si>
  <si>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</si>
  <si>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</si>
  <si>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</si>
  <si>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</si>
  <si>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</si>
  <si>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</si>
  <si>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</si>
  <si>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</si>
  <si>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</si>
  <si>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</si>
  <si>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</si>
  <si>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</si>
  <si>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</si>
  <si>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</si>
  <si>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</si>
  <si>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</si>
  <si>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</si>
  <si>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</si>
  <si>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</si>
  <si>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</si>
  <si>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</si>
  <si>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</si>
  <si>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</si>
  <si>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</si>
  <si>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</si>
  <si>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</si>
  <si>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</si>
  <si>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</si>
  <si>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</si>
  <si>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</si>
  <si>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</si>
  <si>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</si>
  <si>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</si>
  <si>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</si>
  <si>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</si>
  <si>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</si>
  <si>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</si>
  <si>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</si>
  <si>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</si>
  <si>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</si>
  <si>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</si>
  <si>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</si>
  <si>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</si>
  <si>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</si>
  <si>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</si>
  <si>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</si>
  <si>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</si>
  <si>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</si>
  <si>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</si>
  <si>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</si>
  <si>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</si>
  <si>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</si>
  <si>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</si>
  <si>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</si>
  <si>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</si>
  <si>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</si>
  <si>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</si>
  <si>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</si>
  <si>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</si>
  <si>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</si>
  <si>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</si>
  <si>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</si>
  <si>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</si>
  <si>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</si>
  <si>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</si>
  <si>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</si>
  <si>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</si>
  <si>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</si>
  <si>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</si>
  <si>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</si>
  <si>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</si>
  <si>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</si>
  <si>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</si>
  <si>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</si>
  <si>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</si>
  <si>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</si>
  <si>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</si>
  <si>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</si>
  <si>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</si>
  <si>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</si>
  <si>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</si>
  <si>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</si>
  <si>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</si>
  <si>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</si>
  <si>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</si>
  <si>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</si>
  <si>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</si>
  <si>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</si>
  <si>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</si>
  <si>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</si>
  <si>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</si>
  <si>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</si>
  <si>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</si>
  <si>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</si>
  <si>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</si>
  <si>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</si>
  <si>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</si>
  <si>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</si>
  <si>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</si>
  <si>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</si>
  <si>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</si>
  <si>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</si>
  <si>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</si>
  <si>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</si>
  <si>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</si>
  <si>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</si>
  <si>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</si>
  <si>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</si>
  <si>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</si>
  <si>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</si>
  <si>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</si>
  <si>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</si>
  <si>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</si>
  <si>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</si>
  <si>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</si>
  <si>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</si>
  <si>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</si>
  <si>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</si>
  <si>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</si>
  <si>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</si>
  <si>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</si>
  <si>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</si>
  <si>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</si>
  <si>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</si>
  <si>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</si>
  <si>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</si>
  <si>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</si>
  <si>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</si>
  <si>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</si>
  <si>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</si>
  <si>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</si>
  <si>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</si>
  <si>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</si>
  <si>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</si>
  <si>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</si>
  <si>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</si>
  <si>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</si>
  <si>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</si>
  <si>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</si>
  <si>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</si>
  <si>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</si>
  <si>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</si>
  <si>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</si>
  <si>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</si>
  <si>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</si>
  <si>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</si>
  <si>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</si>
  <si>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</si>
  <si>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</si>
  <si>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</si>
  <si>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</si>
  <si>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</si>
  <si>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</si>
  <si>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</si>
  <si>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</si>
  <si>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</si>
  <si>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</si>
  <si>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</si>
  <si>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</si>
  <si>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</si>
  <si>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</si>
  <si>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</si>
  <si>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</si>
  <si>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</si>
  <si>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</si>
  <si>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</si>
  <si>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</si>
  <si>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</si>
  <si>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</si>
  <si>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</si>
  <si>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</si>
  <si>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</si>
  <si>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</si>
  <si>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</si>
  <si>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</si>
  <si>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</si>
  <si>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</si>
  <si>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</si>
  <si>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</si>
  <si>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</si>
  <si>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</si>
  <si>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</si>
  <si>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</si>
  <si>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</si>
  <si>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</si>
  <si>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</si>
  <si>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</si>
  <si>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</si>
  <si>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</si>
  <si>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</si>
  <si>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</si>
  <si>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</si>
  <si>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</si>
  <si>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</si>
  <si>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</si>
  <si>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</si>
  <si>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</si>
  <si>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</si>
  <si>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</si>
  <si>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</si>
  <si>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</si>
  <si>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</si>
  <si>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</si>
  <si>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</si>
  <si>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</si>
  <si>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</si>
  <si>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</si>
  <si>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</si>
  <si>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</si>
  <si>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</si>
  <si>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</si>
  <si>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</si>
  <si>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</si>
  <si>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</si>
  <si>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</si>
  <si>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</si>
  <si>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</si>
  <si>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</si>
  <si>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</si>
  <si>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</si>
  <si>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</si>
  <si>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</si>
  <si>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</si>
  <si>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</si>
  <si>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</si>
  <si>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</si>
  <si>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</si>
  <si>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</si>
  <si>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</si>
  <si>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</si>
  <si>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</si>
  <si>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</si>
  <si>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</si>
  <si>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</si>
  <si>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</si>
  <si>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</si>
  <si>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</si>
  <si>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</si>
  <si>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</si>
  <si>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</si>
  <si>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</si>
  <si>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</si>
  <si>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</si>
  <si>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</si>
  <si>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</si>
  <si>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</si>
  <si>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</si>
  <si>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</si>
  <si>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</si>
  <si>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</si>
  <si>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</si>
  <si>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</si>
  <si>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</si>
  <si>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</si>
  <si>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</si>
  <si>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</si>
  <si>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</si>
  <si>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</si>
  <si>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</si>
  <si>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</si>
  <si>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</si>
  <si>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</si>
  <si>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</si>
  <si>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</si>
  <si>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</si>
  <si>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</si>
  <si>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</si>
  <si>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</si>
  <si>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</si>
  <si>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</si>
  <si>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</si>
  <si>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</si>
  <si>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</si>
  <si>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</si>
  <si>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</si>
  <si>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</si>
  <si>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</si>
  <si>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</si>
  <si>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</si>
  <si>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</si>
  <si>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</si>
  <si>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</si>
  <si>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</si>
  <si>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</si>
  <si>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</si>
  <si>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</si>
  <si>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</si>
  <si>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</si>
  <si>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</si>
  <si>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</si>
  <si>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</si>
  <si>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</si>
  <si>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</si>
  <si>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</si>
  <si>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</si>
  <si>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</si>
  <si>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</si>
  <si>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</si>
  <si>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</si>
  <si>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</si>
  <si>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</si>
  <si>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</si>
  <si>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</si>
  <si>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</si>
  <si>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</si>
  <si>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</si>
  <si>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</si>
  <si>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</si>
  <si>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</si>
  <si>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</si>
  <si>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</si>
  <si>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</si>
  <si>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</si>
  <si>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</si>
  <si>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</si>
  <si>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</si>
  <si>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</si>
  <si>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</si>
  <si>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</si>
  <si>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</si>
  <si>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</si>
  <si>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</si>
  <si>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</si>
  <si>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</si>
  <si>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</si>
  <si>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</si>
  <si>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</si>
  <si>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</si>
  <si>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</si>
  <si>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</si>
  <si>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</si>
  <si>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</si>
  <si>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</si>
  <si>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</si>
  <si>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</si>
  <si>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</si>
  <si>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</si>
  <si>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</si>
  <si>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</si>
  <si>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</si>
  <si>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</si>
  <si>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</si>
  <si>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</si>
  <si>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</si>
  <si>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</si>
  <si>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</si>
  <si>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</si>
  <si>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</si>
  <si>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</si>
  <si>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</si>
  <si>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</si>
  <si>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</si>
  <si>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</si>
  <si>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</si>
  <si>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</si>
  <si>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</si>
  <si>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</si>
  <si>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</si>
  <si>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</si>
  <si>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</si>
  <si>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</si>
  <si>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</si>
  <si>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</si>
  <si>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</si>
  <si>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</si>
  <si>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</si>
  <si>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</si>
  <si>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</si>
  <si>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</si>
  <si>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</si>
  <si>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</si>
  <si>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</si>
  <si>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</si>
  <si>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</si>
  <si>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</si>
  <si>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</si>
  <si>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</si>
  <si>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</si>
  <si>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</si>
  <si>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</si>
  <si>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</si>
  <si>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</si>
  <si>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</si>
  <si>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</si>
  <si>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</si>
  <si>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</si>
  <si>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</si>
  <si>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</si>
  <si>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</si>
  <si>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</si>
  <si>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</si>
  <si>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</si>
  <si>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</si>
  <si>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</si>
  <si>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</si>
  <si>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</si>
  <si>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</si>
  <si>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</si>
  <si>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</si>
  <si>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</si>
  <si>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</si>
  <si>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</si>
  <si>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</si>
  <si>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</si>
  <si>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</si>
  <si>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</si>
  <si>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</si>
  <si>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</si>
  <si>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</si>
  <si>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</si>
  <si>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</si>
  <si>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</si>
  <si>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</si>
  <si>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</si>
  <si>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</si>
  <si>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</si>
  <si>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</si>
  <si>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</si>
  <si>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</si>
  <si>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</si>
  <si>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</si>
  <si>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</si>
  <si>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</si>
  <si>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</si>
  <si>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</si>
  <si>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</si>
  <si>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</si>
  <si>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</si>
  <si>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</si>
  <si>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</si>
  <si>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</si>
  <si>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</si>
  <si>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</si>
  <si>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</si>
  <si>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</si>
  <si>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</si>
  <si>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</si>
  <si>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</si>
  <si>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</si>
  <si>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</si>
  <si>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</si>
  <si>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</si>
  <si>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</si>
  <si>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</si>
  <si>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</si>
  <si>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</si>
  <si>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</si>
  <si>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</si>
  <si>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</si>
  <si>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</si>
  <si>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</si>
  <si>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</si>
  <si>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</si>
  <si>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</si>
  <si>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</si>
  <si>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</si>
  <si>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</si>
  <si>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</si>
  <si>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</si>
  <si>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</si>
  <si>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</si>
  <si>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</si>
  <si>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</si>
  <si>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</si>
  <si>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</si>
  <si>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</si>
  <si>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</si>
  <si>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</si>
  <si>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</si>
  <si>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</si>
  <si>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</si>
  <si>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</si>
  <si>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</si>
  <si>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</si>
  <si>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</si>
  <si>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</si>
  <si>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</si>
  <si>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</si>
  <si>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</si>
  <si>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</si>
  <si>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</si>
  <si>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</si>
  <si>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</si>
  <si>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</si>
  <si>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</si>
  <si>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</si>
  <si>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</si>
  <si>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</si>
  <si>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</si>
  <si>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</si>
  <si>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</si>
  <si>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</si>
  <si>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</si>
  <si>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</si>
  <si>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</si>
  <si>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</si>
  <si>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</si>
  <si>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</si>
  <si>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</si>
  <si>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</si>
  <si>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</si>
  <si>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</si>
  <si>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</si>
  <si>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</si>
  <si>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</si>
  <si>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</si>
  <si>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</si>
  <si>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</si>
  <si>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</si>
  <si>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</si>
  <si>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</si>
  <si>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</si>
  <si>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</si>
  <si>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</si>
  <si>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</si>
  <si>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</si>
  <si>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</si>
  <si>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</si>
  <si>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</si>
  <si>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</si>
  <si>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</si>
  <si>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</si>
  <si>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</si>
  <si>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</si>
  <si>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</si>
  <si>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</si>
  <si>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</si>
  <si>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</si>
  <si>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</si>
  <si>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</si>
  <si>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</si>
  <si>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</si>
  <si>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</si>
  <si>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</si>
  <si>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</si>
  <si>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</si>
  <si>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</si>
  <si>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</si>
  <si>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</si>
  <si>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</si>
  <si>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</si>
  <si>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</si>
  <si>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</si>
  <si>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</si>
  <si>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</si>
  <si>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</si>
  <si>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</si>
  <si>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</si>
  <si>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</si>
  <si>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</si>
  <si>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</si>
  <si>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</si>
  <si>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</si>
  <si>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</si>
  <si>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</si>
  <si>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</si>
  <si>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</si>
  <si>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</si>
  <si>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</si>
  <si>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</si>
  <si>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</si>
  <si>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</si>
  <si>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</si>
  <si>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</si>
  <si>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</si>
  <si>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</si>
  <si>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</si>
  <si>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</si>
  <si>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</si>
  <si>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</si>
  <si>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</si>
  <si>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</si>
  <si>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</si>
  <si>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</si>
  <si>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</si>
  <si>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</si>
  <si>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</si>
  <si>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</si>
  <si>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</si>
  <si>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</si>
  <si>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</si>
  <si>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</si>
  <si>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</si>
  <si>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</si>
  <si>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</si>
  <si>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</si>
  <si>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</si>
  <si>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</si>
  <si>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</si>
  <si>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</si>
  <si>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</si>
  <si>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</si>
  <si>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</si>
  <si>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</si>
  <si>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</si>
  <si>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</si>
  <si>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</si>
  <si>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</si>
  <si>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</si>
  <si>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</si>
  <si>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</si>
  <si>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</si>
  <si>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</si>
  <si>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</si>
  <si>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</si>
  <si>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</si>
  <si>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</si>
  <si>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</si>
  <si>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</si>
  <si>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</si>
  <si>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</si>
  <si>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</si>
  <si>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</si>
  <si>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</si>
  <si>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</si>
  <si>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</si>
  <si>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</si>
  <si>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</si>
  <si>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</si>
  <si>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</si>
  <si>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</si>
  <si>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</si>
  <si>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</si>
  <si>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</si>
  <si>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</si>
  <si>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</si>
  <si>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</si>
  <si>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</si>
  <si>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</si>
  <si>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</si>
  <si>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</si>
  <si>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</si>
  <si>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</si>
  <si>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</si>
  <si>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</si>
  <si>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</si>
  <si>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</si>
  <si>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</si>
  <si>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</si>
  <si>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</si>
  <si>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</si>
  <si>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</si>
  <si>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</si>
  <si>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</si>
  <si>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</si>
  <si>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</si>
  <si>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</si>
  <si>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</si>
  <si>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</si>
  <si>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</si>
  <si>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</si>
  <si>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</si>
  <si>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</si>
  <si>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</si>
  <si>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</si>
  <si>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</si>
  <si>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</si>
  <si>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</si>
  <si>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</si>
  <si>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</si>
  <si>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</si>
  <si>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</si>
  <si>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</si>
  <si>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</si>
  <si>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</si>
  <si>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</si>
  <si>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</si>
  <si>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</si>
  <si>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</si>
  <si>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</si>
  <si>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</si>
  <si>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</si>
  <si>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</si>
  <si>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</si>
  <si>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</si>
  <si>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</si>
  <si>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</si>
  <si>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</si>
  <si>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</si>
  <si>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</si>
  <si>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</si>
  <si>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</si>
  <si>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</si>
  <si>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</si>
  <si>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</si>
  <si>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</si>
  <si>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</si>
  <si>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</si>
  <si>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</si>
  <si>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</si>
  <si>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</si>
  <si>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</si>
  <si>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</si>
  <si>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</si>
  <si>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</si>
  <si>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</si>
  <si>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</si>
  <si>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</si>
  <si>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</si>
  <si>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</si>
  <si>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</si>
  <si>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</si>
  <si>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</si>
  <si>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</si>
  <si>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</si>
  <si>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</si>
  <si>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</si>
  <si>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</si>
  <si>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</si>
  <si>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</si>
  <si>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</si>
  <si>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</si>
  <si>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</si>
  <si>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</si>
  <si>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</si>
  <si>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</si>
  <si>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</si>
  <si>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</si>
  <si>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</si>
  <si>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</si>
  <si>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</si>
  <si>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</si>
  <si>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</si>
  <si>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</si>
  <si>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</si>
  <si>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</si>
  <si>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</si>
  <si>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</si>
  <si>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</si>
  <si>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</si>
  <si>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</si>
  <si>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</si>
  <si>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</si>
  <si>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</si>
  <si>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</si>
  <si>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</si>
  <si>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</si>
  <si>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</si>
  <si>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</si>
  <si>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</si>
  <si>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</si>
  <si>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</si>
  <si>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</si>
  <si>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</si>
  <si>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</si>
  <si>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</si>
  <si>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</si>
  <si>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</si>
  <si>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</si>
  <si>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</si>
  <si>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</si>
  <si>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</si>
  <si>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</si>
  <si>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</si>
  <si>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</si>
  <si>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</si>
  <si>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</si>
  <si>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</si>
  <si>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</si>
  <si>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</si>
  <si>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</si>
  <si>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</si>
  <si>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</si>
  <si>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</si>
  <si>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</si>
  <si>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</si>
  <si>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</si>
  <si>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</si>
  <si>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</si>
  <si>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</si>
  <si>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</si>
  <si>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</si>
  <si>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</si>
  <si>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</si>
  <si>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</si>
  <si>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</si>
  <si>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</si>
  <si>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</si>
  <si>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</si>
  <si>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</si>
  <si>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</si>
  <si>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</si>
  <si>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</si>
  <si>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</si>
  <si>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</si>
  <si>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</si>
  <si>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</si>
  <si>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</si>
  <si>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</si>
  <si>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</si>
  <si>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</si>
  <si>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</si>
  <si>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</si>
  <si>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</si>
  <si>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</si>
  <si>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</si>
  <si>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</si>
  <si>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</si>
  <si>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</si>
  <si>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</si>
  <si>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</si>
  <si>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</si>
  <si>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</si>
  <si>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</si>
  <si>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</si>
  <si>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</si>
  <si>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</si>
  <si>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</si>
  <si>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</si>
  <si>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</si>
  <si>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</si>
  <si>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</si>
  <si>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</si>
  <si>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</si>
  <si>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</si>
  <si>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</si>
  <si>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</si>
  <si>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</si>
  <si>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</si>
  <si>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</si>
  <si>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</si>
  <si>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</si>
  <si>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</si>
  <si>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</si>
  <si>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</si>
  <si>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</si>
  <si>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</si>
  <si>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</si>
  <si>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</si>
  <si>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</si>
  <si>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</si>
  <si>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</si>
  <si>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</si>
  <si>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</si>
  <si>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</si>
  <si>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</si>
  <si>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</si>
  <si>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</si>
  <si>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</si>
  <si>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</si>
  <si>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</si>
  <si>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</si>
  <si>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</si>
  <si>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</si>
  <si>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</si>
  <si>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</si>
  <si>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</si>
  <si>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</si>
  <si>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</si>
  <si>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</si>
  <si>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</si>
  <si>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</si>
  <si>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</si>
  <si>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</si>
  <si>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</si>
  <si>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</si>
  <si>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</si>
  <si>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</si>
  <si>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</si>
  <si>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</si>
  <si>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</si>
  <si>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</si>
  <si>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</si>
  <si>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</si>
  <si>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</si>
  <si>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</si>
  <si>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</si>
  <si>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</si>
  <si>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</si>
  <si>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</si>
  <si>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</si>
  <si>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</si>
  <si>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</si>
  <si>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</si>
  <si>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</si>
  <si>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</si>
  <si>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</si>
  <si>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</si>
  <si>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</si>
  <si>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</si>
  <si>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</si>
  <si>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</si>
  <si>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</si>
  <si>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</si>
  <si>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</si>
  <si>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</si>
  <si>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</si>
  <si>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</si>
  <si>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</si>
  <si>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</si>
  <si>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</si>
  <si>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</si>
  <si>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</si>
  <si>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</si>
  <si>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</si>
  <si>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</si>
  <si>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</si>
  <si>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</si>
  <si>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</si>
  <si>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</si>
  <si>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</si>
  <si>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</si>
  <si>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</si>
  <si>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</si>
  <si>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</si>
  <si>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</si>
  <si>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</si>
  <si>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</si>
  <si>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</si>
  <si>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</si>
  <si>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</si>
  <si>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</si>
  <si>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</si>
  <si>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</si>
  <si>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</si>
  <si>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</si>
  <si>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</si>
  <si>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</si>
  <si>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</si>
  <si>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</si>
  <si>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</si>
  <si>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</si>
  <si>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</si>
  <si>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</si>
  <si>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</si>
  <si>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</si>
  <si>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</si>
  <si>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</si>
  <si>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</si>
  <si>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</si>
  <si>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</si>
  <si>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</si>
  <si>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</si>
  <si>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</si>
  <si>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</si>
  <si>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</si>
  <si>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</si>
  <si>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</si>
  <si>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</si>
  <si>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</si>
  <si>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</si>
  <si>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</si>
  <si>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</si>
  <si>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</si>
  <si>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</si>
  <si>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</si>
  <si>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</si>
  <si>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</si>
  <si>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</si>
  <si>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</si>
  <si>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</si>
  <si>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</si>
  <si>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</si>
  <si>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</si>
  <si>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</si>
  <si>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</si>
  <si>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</si>
  <si>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</si>
  <si>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</si>
  <si>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</si>
  <si>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</si>
  <si>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</si>
  <si>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</si>
  <si>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</si>
  <si>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</si>
  <si>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</si>
  <si>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</si>
  <si>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</si>
  <si>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</si>
  <si>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</si>
  <si>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</si>
  <si>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</si>
  <si>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</si>
  <si>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</si>
  <si>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</si>
  <si>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</si>
  <si>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</si>
  <si>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</si>
  <si>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</si>
  <si>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</si>
  <si>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</si>
  <si>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</si>
  <si>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</si>
  <si>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</si>
  <si>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</si>
  <si>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</si>
  <si>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</si>
  <si>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</si>
  <si>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</si>
  <si>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</si>
  <si>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</si>
  <si>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</si>
  <si>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</si>
  <si>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</si>
  <si>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</si>
  <si>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</si>
  <si>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</si>
  <si>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</si>
  <si>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</si>
  <si>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</si>
  <si>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</si>
  <si>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</si>
  <si>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</si>
  <si>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</si>
  <si>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</si>
  <si>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</si>
  <si>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</si>
  <si>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</si>
  <si>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</si>
  <si>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</si>
  <si>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</si>
  <si>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</si>
  <si>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</si>
  <si>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</si>
  <si>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</si>
  <si>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</si>
  <si>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</si>
  <si>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</si>
  <si>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</si>
  <si>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</si>
  <si>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</si>
  <si>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</si>
  <si>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</si>
  <si>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</si>
  <si>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</si>
  <si>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</si>
  <si>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</si>
  <si>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</si>
  <si>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</si>
  <si>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</si>
  <si>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</si>
  <si>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</si>
  <si>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</si>
  <si>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</si>
  <si>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</si>
  <si>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</si>
  <si>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</si>
  <si>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</si>
  <si>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</si>
  <si>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</si>
  <si>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</si>
  <si>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</si>
  <si>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</si>
  <si>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</si>
  <si>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</si>
  <si>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</si>
  <si>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</si>
  <si>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</si>
  <si>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</si>
  <si>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</si>
  <si>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</si>
  <si>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</si>
  <si>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</si>
  <si>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</si>
  <si>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</si>
  <si>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</si>
  <si>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</si>
  <si>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</si>
  <si>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</si>
  <si>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</si>
  <si>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</si>
  <si>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</si>
  <si>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</si>
  <si>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</si>
  <si>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</si>
  <si>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</si>
  <si>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</si>
  <si>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</si>
  <si>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</si>
  <si>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</si>
  <si>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</si>
  <si>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</si>
  <si>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</si>
  <si>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</si>
  <si>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</si>
  <si>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</si>
  <si>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</si>
  <si>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</si>
  <si>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</si>
  <si>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</si>
  <si>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</si>
  <si>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</si>
  <si>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</si>
  <si>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</si>
  <si>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</si>
  <si>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</si>
  <si>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</si>
  <si>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</si>
  <si>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</si>
  <si>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</si>
  <si>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</si>
  <si>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</si>
  <si>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</si>
  <si>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</si>
  <si>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</si>
  <si>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</si>
  <si>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</si>
  <si>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</si>
  <si>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</si>
  <si>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</si>
  <si>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</si>
  <si>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</si>
  <si>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</si>
  <si>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</si>
  <si>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</si>
  <si>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</si>
  <si>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</si>
  <si>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</si>
  <si>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</si>
  <si>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</si>
  <si>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</si>
  <si>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</si>
  <si>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</si>
  <si>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</si>
  <si>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</si>
  <si>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</si>
  <si>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</si>
  <si>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</si>
  <si>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</si>
  <si>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</si>
  <si>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</si>
  <si>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</si>
  <si>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</si>
  <si>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</si>
  <si>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</si>
  <si>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</si>
  <si>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</si>
  <si>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</si>
  <si>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</si>
  <si>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</si>
  <si>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</si>
  <si>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</si>
  <si>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</si>
  <si>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</si>
  <si>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</si>
  <si>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</si>
  <si>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</si>
  <si>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</si>
  <si>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</si>
  <si>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</si>
  <si>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</si>
  <si>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</si>
  <si>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</si>
  <si>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</si>
  <si>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</si>
  <si>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</si>
  <si>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</si>
  <si>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</si>
  <si>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</si>
  <si>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</si>
  <si>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</si>
  <si>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</si>
  <si>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</si>
  <si>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</si>
  <si>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Henry</t>
  </si>
  <si>
    <t>300 South West Street</t>
  </si>
  <si>
    <t>Cambridge</t>
  </si>
  <si>
    <t>takers@district227.org</t>
  </si>
  <si>
    <t>Thomas Peffer, CPA</t>
  </si>
  <si>
    <t>tpeffer@gorenzcpa.com</t>
  </si>
  <si>
    <t>Thomas Akers</t>
  </si>
  <si>
    <t>309-937-2144</t>
  </si>
  <si>
    <t>309-937-5128</t>
  </si>
  <si>
    <t>GO Life Safety Bonds</t>
  </si>
  <si>
    <t>Alternative Revenue Bonds</t>
  </si>
  <si>
    <t>Alwood School District</t>
  </si>
  <si>
    <t>Constallation New Energy</t>
  </si>
  <si>
    <t>Prairie State Insurance Cooperative</t>
  </si>
  <si>
    <t>Bureau, Henry, Stark Regional Office of Education</t>
  </si>
  <si>
    <t>Henry Stark Special Education Association</t>
  </si>
  <si>
    <t>Alwood School District, Galva School District, QCCTEC</t>
  </si>
  <si>
    <t xml:space="preserve">There were no findings for the prior year ending June 30, 2018. </t>
  </si>
  <si>
    <t>x</t>
  </si>
  <si>
    <t>GORENZ AND ASSOCIATES, LTD.</t>
  </si>
  <si>
    <t>Refunding Bonds, Series 2017</t>
  </si>
  <si>
    <t>Refunding Bonds, Series 2018</t>
  </si>
  <si>
    <t>None</t>
  </si>
  <si>
    <t>Page 10, Line 81 - After School Program</t>
  </si>
  <si>
    <t>Page 11, Line 107 - Educational Fund - Compeer Ag Grant $3,000, E-Rate Grant $21,121, Refunds &amp; Reimbursements $1,824</t>
  </si>
  <si>
    <t xml:space="preserve">                                      Operations &amp; Maintenance Fund - Refunds &amp; Reimbursements</t>
  </si>
  <si>
    <t xml:space="preserve">                                      Debt Services Fund - Refunds &amp; Reimbursements</t>
  </si>
  <si>
    <t xml:space="preserve">                                      Transportation Fund - Refunds &amp; Reimbursements</t>
  </si>
  <si>
    <t xml:space="preserve">                                      Capital Projects Fund - Local Energy Efficiency Program</t>
  </si>
  <si>
    <t xml:space="preserve">                                      Tort Fund - Refunds &amp; Reimbursements</t>
  </si>
  <si>
    <t>Page 18, Line 171 - Bond Fees</t>
  </si>
  <si>
    <t>Page 29, Line 80 - "PLEASE ENTER CONTRACTS PAID IN THE CURRENT YEAR"</t>
  </si>
  <si>
    <t>For the current fiscal year under audit, the district did not have any qualifying contracts</t>
  </si>
  <si>
    <t>exceeding the $25,000 limit.</t>
  </si>
  <si>
    <t xml:space="preserve">                                      Fire Prevention &amp; Safety Fund - Refunds &amp; Reimbursements</t>
  </si>
  <si>
    <t>Page 12, Line 168 - Library Grant</t>
  </si>
  <si>
    <t>Page 12, Line 180 - REAP Grant</t>
  </si>
  <si>
    <t>See PDF version</t>
  </si>
  <si>
    <t>Cambridge CUSD 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</si>
</sst>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1047751</xdr:colOff>
          <xdr:row>1</xdr:row>
          <xdr:rowOff>0</xdr:rowOff>
        </xdr:from>
        <xdr:to>
          <xdr:col>1</xdr:col>
          <xdr:colOff>1958687</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1" t="s">
        <v>405</v>
      </c>
      <c r="J1" s="2012"/>
      <c r="K1" s="2012"/>
      <c r="L1" s="2012"/>
      <c r="M1" s="2012"/>
      <c r="N1" s="2012"/>
      <c r="O1" s="2012"/>
      <c r="P1" s="2012"/>
      <c r="Q1" s="2012"/>
      <c r="R1" s="2012"/>
      <c r="S1" s="2012"/>
    </row>
    <row r="2" spans="1:28" ht="12" customHeight="1" x14ac:dyDescent="0.2">
      <c r="A2" s="47" t="s">
        <v>1993</v>
      </c>
      <c r="D2" s="48"/>
      <c r="I2" s="2013" t="s">
        <v>979</v>
      </c>
      <c r="J2" s="2012"/>
      <c r="K2" s="2012"/>
      <c r="L2" s="2012"/>
      <c r="M2" s="2012"/>
      <c r="N2" s="2012"/>
      <c r="O2" s="2012"/>
      <c r="P2" s="2012"/>
      <c r="Q2" s="2012"/>
      <c r="R2" s="2012"/>
      <c r="S2" s="2012"/>
    </row>
    <row r="3" spans="1:28" ht="12" customHeight="1" x14ac:dyDescent="0.2">
      <c r="A3" s="155" t="s">
        <v>1945</v>
      </c>
      <c r="B3" s="156"/>
      <c r="C3" s="156"/>
      <c r="D3" s="157"/>
      <c r="I3" s="2013" t="s">
        <v>52</v>
      </c>
      <c r="J3" s="2012"/>
      <c r="K3" s="2012"/>
      <c r="L3" s="2012"/>
      <c r="M3" s="2012"/>
      <c r="N3" s="2012"/>
      <c r="O3" s="2012"/>
      <c r="P3" s="2012"/>
      <c r="Q3" s="2012"/>
      <c r="R3" s="2012"/>
      <c r="S3" s="2012"/>
    </row>
    <row r="4" spans="1:28" ht="12" customHeight="1" x14ac:dyDescent="0.2">
      <c r="A4" s="37"/>
      <c r="I4" s="2013" t="s">
        <v>524</v>
      </c>
      <c r="J4" s="2012"/>
      <c r="K4" s="2012"/>
      <c r="L4" s="2012"/>
      <c r="M4" s="2012"/>
      <c r="N4" s="2012"/>
      <c r="O4" s="2012"/>
      <c r="P4" s="2012"/>
      <c r="Q4" s="2012"/>
      <c r="R4" s="2012"/>
      <c r="S4" s="2012"/>
    </row>
    <row r="5" spans="1:28" ht="14.1" customHeight="1" x14ac:dyDescent="0.2">
      <c r="B5" s="104" t="s">
        <v>2070</v>
      </c>
      <c r="C5" s="26" t="s">
        <v>910</v>
      </c>
      <c r="D5" s="84"/>
      <c r="E5" s="84"/>
      <c r="H5" s="38"/>
      <c r="I5" s="2020" t="s">
        <v>680</v>
      </c>
      <c r="J5" s="1965"/>
      <c r="K5" s="1965"/>
      <c r="L5" s="1965"/>
      <c r="M5" s="1965"/>
      <c r="N5" s="1965"/>
      <c r="O5" s="1965"/>
      <c r="P5" s="1965"/>
      <c r="Q5" s="1965"/>
      <c r="R5" s="1965"/>
      <c r="S5" s="1965"/>
    </row>
    <row r="6" spans="1:28" ht="14.1" customHeight="1" x14ac:dyDescent="0.2">
      <c r="B6" s="104"/>
      <c r="C6" s="26" t="s">
        <v>911</v>
      </c>
      <c r="D6" s="84"/>
      <c r="E6" s="84"/>
      <c r="I6" s="2019" t="s">
        <v>883</v>
      </c>
      <c r="J6" s="1965"/>
      <c r="K6" s="1965"/>
      <c r="L6" s="1965"/>
      <c r="M6" s="1965"/>
      <c r="N6" s="1965"/>
      <c r="O6" s="1965"/>
      <c r="P6" s="1965"/>
      <c r="Q6" s="1965"/>
      <c r="R6" s="1965"/>
      <c r="S6" s="1965"/>
    </row>
    <row r="7" spans="1:28" ht="12.2" customHeight="1" x14ac:dyDescent="0.2">
      <c r="I7" s="2014">
        <v>43646</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674</v>
      </c>
      <c r="J9" s="2017"/>
      <c r="K9" s="2017"/>
      <c r="L9" s="2017"/>
      <c r="M9" s="2017"/>
      <c r="N9" s="2017"/>
      <c r="O9" s="2017"/>
      <c r="P9" s="2017"/>
      <c r="Q9" s="2017"/>
      <c r="R9" s="2017"/>
      <c r="S9" s="2018"/>
      <c r="T9" s="1961" t="s">
        <v>533</v>
      </c>
      <c r="U9" s="1962"/>
      <c r="V9" s="1962"/>
      <c r="W9" s="1962"/>
      <c r="X9" s="1962"/>
      <c r="Y9" s="1962"/>
      <c r="Z9" s="1962"/>
      <c r="AA9" s="1963"/>
    </row>
    <row r="10" spans="1:28" ht="13.5" customHeight="1" x14ac:dyDescent="0.2">
      <c r="A10" s="1970" t="s">
        <v>675</v>
      </c>
      <c r="B10" s="1971"/>
      <c r="C10" s="1971"/>
      <c r="D10" s="1971"/>
      <c r="E10" s="1971"/>
      <c r="F10" s="1971"/>
      <c r="G10" s="1971"/>
      <c r="H10" s="1972"/>
      <c r="I10" s="29"/>
      <c r="J10" s="30"/>
      <c r="K10" s="28"/>
      <c r="R10" s="30"/>
      <c r="S10" s="30"/>
      <c r="T10" s="1964"/>
      <c r="U10" s="1965"/>
      <c r="V10" s="1965"/>
      <c r="W10" s="1965"/>
      <c r="X10" s="1965"/>
      <c r="Y10" s="1965"/>
      <c r="Z10" s="1965"/>
      <c r="AA10" s="1966"/>
    </row>
    <row r="11" spans="1:28" ht="14.25" customHeight="1" x14ac:dyDescent="0.2">
      <c r="A11" s="1973" t="s">
        <v>955</v>
      </c>
      <c r="B11" s="1974"/>
      <c r="C11" s="1974"/>
      <c r="D11" s="1974"/>
      <c r="E11" s="1974"/>
      <c r="F11" s="1974"/>
      <c r="G11" s="1974"/>
      <c r="H11" s="1975"/>
      <c r="I11" s="27"/>
      <c r="J11" s="74"/>
      <c r="K11" s="27"/>
      <c r="O11" s="148" t="s">
        <v>2070</v>
      </c>
      <c r="P11" s="100" t="s">
        <v>201</v>
      </c>
      <c r="Q11" s="30"/>
      <c r="R11" s="28"/>
      <c r="S11" s="27"/>
      <c r="T11" s="1967"/>
      <c r="U11" s="1968"/>
      <c r="V11" s="1968"/>
      <c r="W11" s="1968"/>
      <c r="X11" s="1968"/>
      <c r="Y11" s="1968"/>
      <c r="Z11" s="1968"/>
      <c r="AA11" s="196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1">
        <v>28037227026</v>
      </c>
      <c r="B13" s="1982"/>
      <c r="C13" s="1982"/>
      <c r="D13" s="1982"/>
      <c r="E13" s="1982"/>
      <c r="F13" s="1982"/>
      <c r="G13" s="1982"/>
      <c r="H13" s="1983"/>
      <c r="I13" s="31"/>
      <c r="J13" s="30"/>
      <c r="K13" s="28"/>
      <c r="L13" s="30"/>
      <c r="M13" s="30"/>
      <c r="N13" s="30"/>
      <c r="O13" s="30"/>
      <c r="P13" s="30"/>
      <c r="Q13" s="30"/>
      <c r="R13" s="30"/>
      <c r="S13" s="30"/>
      <c r="T13" s="1986" t="s">
        <v>2072</v>
      </c>
      <c r="U13" s="1987"/>
      <c r="V13" s="1987"/>
      <c r="W13" s="1987"/>
      <c r="X13" s="1987"/>
      <c r="Y13" s="1988"/>
      <c r="Z13" s="1988"/>
      <c r="AA13" s="198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9" t="s">
        <v>2073</v>
      </c>
      <c r="B15" s="1984"/>
      <c r="C15" s="1984"/>
      <c r="D15" s="1984"/>
      <c r="E15" s="1984"/>
      <c r="F15" s="1984"/>
      <c r="G15" s="1984"/>
      <c r="H15" s="1985"/>
      <c r="T15" s="1947" t="s">
        <v>2077</v>
      </c>
      <c r="U15" s="1948"/>
      <c r="V15" s="1948"/>
      <c r="W15" s="1948"/>
      <c r="X15" s="1948"/>
      <c r="Y15" s="1990"/>
      <c r="Z15" s="1990"/>
      <c r="AA15" s="199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9" t="s">
        <v>2111</v>
      </c>
      <c r="B17" s="2009"/>
      <c r="C17" s="2009"/>
      <c r="D17" s="2009"/>
      <c r="E17" s="2009"/>
      <c r="F17" s="2009"/>
      <c r="G17" s="2009"/>
      <c r="H17" s="2010"/>
      <c r="T17" s="1996" t="s">
        <v>2064</v>
      </c>
      <c r="U17" s="1997"/>
      <c r="V17" s="1997"/>
      <c r="W17" s="1997"/>
      <c r="X17" s="1997"/>
      <c r="Y17" s="1997"/>
      <c r="Z17" s="1997"/>
      <c r="AA17" s="1998"/>
    </row>
    <row r="18" spans="1:27" ht="13.5" customHeight="1" x14ac:dyDescent="0.2">
      <c r="A18" s="85" t="s">
        <v>530</v>
      </c>
      <c r="B18" s="76"/>
      <c r="C18" s="72"/>
      <c r="D18" s="76"/>
      <c r="E18" s="76"/>
      <c r="F18" s="76"/>
      <c r="G18" s="76"/>
      <c r="H18" s="56"/>
      <c r="I18" s="2006" t="s">
        <v>676</v>
      </c>
      <c r="J18" s="2007"/>
      <c r="K18" s="2007"/>
      <c r="L18" s="2007"/>
      <c r="M18" s="2007"/>
      <c r="N18" s="2007"/>
      <c r="O18" s="2007"/>
      <c r="P18" s="2007"/>
      <c r="Q18" s="2007"/>
      <c r="R18" s="2007"/>
      <c r="S18" s="2008"/>
      <c r="T18" s="85" t="s">
        <v>711</v>
      </c>
      <c r="U18" s="51"/>
      <c r="V18" s="72"/>
      <c r="W18" s="50"/>
      <c r="X18" s="85" t="s">
        <v>266</v>
      </c>
      <c r="Y18" s="81"/>
      <c r="Z18" s="159" t="s">
        <v>677</v>
      </c>
      <c r="AA18" s="46"/>
    </row>
    <row r="19" spans="1:27" ht="13.5" customHeight="1" x14ac:dyDescent="0.2">
      <c r="A19" s="1979" t="s">
        <v>2074</v>
      </c>
      <c r="B19" s="1980"/>
      <c r="C19" s="1980"/>
      <c r="D19" s="1980"/>
      <c r="E19" s="1980"/>
      <c r="F19" s="1980"/>
      <c r="G19" s="1980"/>
      <c r="H19" s="1978"/>
      <c r="I19" s="30"/>
      <c r="J19" s="99"/>
      <c r="K19" s="40"/>
      <c r="L19" s="38"/>
      <c r="M19" s="112" t="s">
        <v>315</v>
      </c>
      <c r="P19" s="27"/>
      <c r="Q19" s="27"/>
      <c r="R19" s="27"/>
      <c r="S19" s="31"/>
      <c r="T19" s="1979" t="s">
        <v>2065</v>
      </c>
      <c r="U19" s="1977"/>
      <c r="V19" s="1977"/>
      <c r="W19" s="1978"/>
      <c r="X19" s="1994" t="s">
        <v>2066</v>
      </c>
      <c r="Y19" s="1995"/>
      <c r="Z19" s="1992">
        <v>61614</v>
      </c>
      <c r="AA19" s="199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6" t="s">
        <v>2075</v>
      </c>
      <c r="B21" s="1977"/>
      <c r="C21" s="1977"/>
      <c r="D21" s="1977"/>
      <c r="E21" s="1977"/>
      <c r="F21" s="1977"/>
      <c r="G21" s="1977"/>
      <c r="H21" s="1978"/>
      <c r="I21" s="2002" t="s">
        <v>678</v>
      </c>
      <c r="J21" s="1965"/>
      <c r="K21" s="1965"/>
      <c r="L21" s="1965"/>
      <c r="M21" s="1965"/>
      <c r="N21" s="1965"/>
      <c r="O21" s="1965"/>
      <c r="P21" s="1965"/>
      <c r="Q21" s="1965"/>
      <c r="R21" s="1965"/>
      <c r="S21" s="1966"/>
      <c r="T21" s="1944" t="s">
        <v>2067</v>
      </c>
      <c r="U21" s="1945"/>
      <c r="V21" s="1945"/>
      <c r="W21" s="1945"/>
      <c r="X21" s="1958" t="s">
        <v>2068</v>
      </c>
      <c r="Y21" s="1959"/>
      <c r="Z21" s="1959"/>
      <c r="AA21" s="1960"/>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9" t="s">
        <v>2076</v>
      </c>
      <c r="B23" s="2000"/>
      <c r="C23" s="2000"/>
      <c r="D23" s="2000"/>
      <c r="E23" s="2000"/>
      <c r="F23" s="2000"/>
      <c r="G23" s="2000"/>
      <c r="H23" s="2001"/>
      <c r="T23" s="1939" t="s">
        <v>2069</v>
      </c>
      <c r="U23" s="1940"/>
      <c r="V23" s="1940"/>
      <c r="W23" s="1940"/>
      <c r="X23" s="1955">
        <v>44501</v>
      </c>
      <c r="Y23" s="1956"/>
      <c r="Z23" s="1956"/>
      <c r="AA23" s="1957"/>
    </row>
    <row r="24" spans="1:27" ht="14.1" customHeight="1" x14ac:dyDescent="0.2">
      <c r="A24" s="88" t="s">
        <v>677</v>
      </c>
      <c r="B24" s="49"/>
      <c r="C24" s="49"/>
      <c r="D24" s="49"/>
      <c r="E24" s="49"/>
      <c r="F24" s="49"/>
      <c r="G24" s="49"/>
      <c r="H24" s="61"/>
      <c r="J24" s="2041">
        <f>IF(B5="x",IF(AUDITCHECK!D29="AFR form Incomplete.","",IF(AUDITCHECK!D29="Deficit reduction plan is required.","School District must complete a deficit reduction plan in the 2019-2020 Budget",)),"")</f>
        <v>0</v>
      </c>
      <c r="K24" s="2041"/>
      <c r="L24" s="2041"/>
      <c r="M24" s="2041"/>
      <c r="N24" s="2041"/>
      <c r="O24" s="2041"/>
      <c r="P24" s="2041"/>
      <c r="Q24" s="2041"/>
      <c r="R24" s="2041"/>
      <c r="S24" s="2042"/>
      <c r="T24" s="105" t="s">
        <v>531</v>
      </c>
      <c r="U24" s="106"/>
      <c r="V24" s="106"/>
      <c r="W24" s="106"/>
      <c r="X24" s="107"/>
      <c r="Y24" s="107"/>
      <c r="Z24" s="107"/>
      <c r="AA24" s="108"/>
    </row>
    <row r="25" spans="1:27" ht="14.1" customHeight="1" x14ac:dyDescent="0.2">
      <c r="A25" s="1976">
        <v>61238</v>
      </c>
      <c r="B25" s="1977"/>
      <c r="C25" s="1977"/>
      <c r="D25" s="1977"/>
      <c r="E25" s="1977"/>
      <c r="F25" s="1977"/>
      <c r="G25" s="1977"/>
      <c r="H25" s="1978"/>
      <c r="I25" s="113"/>
      <c r="J25" s="2043"/>
      <c r="K25" s="2043"/>
      <c r="L25" s="2043"/>
      <c r="M25" s="2043"/>
      <c r="N25" s="2043"/>
      <c r="O25" s="2043"/>
      <c r="P25" s="2043"/>
      <c r="Q25" s="2043"/>
      <c r="R25" s="2043"/>
      <c r="S25" s="2044"/>
      <c r="T25" s="1936" t="s">
        <v>2078</v>
      </c>
      <c r="U25" s="1937"/>
      <c r="V25" s="1937"/>
      <c r="W25" s="1937"/>
      <c r="X25" s="1937"/>
      <c r="Y25" s="1937"/>
      <c r="Z25" s="1937"/>
      <c r="AA25" s="19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4" t="s">
        <v>1511</v>
      </c>
      <c r="J27" s="2007"/>
      <c r="K27" s="2007"/>
      <c r="L27" s="2007"/>
      <c r="M27" s="2007"/>
      <c r="N27" s="2007"/>
      <c r="O27" s="2007"/>
      <c r="P27" s="2007"/>
      <c r="Q27" s="2007"/>
      <c r="R27" s="2007"/>
      <c r="S27" s="200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2091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c r="Q35" s="1977"/>
      <c r="R35" s="197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9" t="s">
        <v>2079</v>
      </c>
      <c r="B38" s="2009"/>
      <c r="C38" s="2009"/>
      <c r="D38" s="2009"/>
      <c r="E38" s="2009"/>
      <c r="F38" s="1977"/>
      <c r="G38" s="1977"/>
      <c r="H38" s="1978"/>
      <c r="I38" s="2028"/>
      <c r="J38" s="1948"/>
      <c r="K38" s="1948"/>
      <c r="L38" s="1948"/>
      <c r="M38" s="1948"/>
      <c r="N38" s="1948"/>
      <c r="O38" s="1948"/>
      <c r="P38" s="1949"/>
      <c r="Q38" s="1949"/>
      <c r="R38" s="1949"/>
      <c r="S38" s="1950"/>
      <c r="T38" s="1947"/>
      <c r="U38" s="1948"/>
      <c r="V38" s="1948"/>
      <c r="W38" s="1948"/>
      <c r="X38" s="1949"/>
      <c r="Y38" s="1949"/>
      <c r="Z38" s="1949"/>
      <c r="AA38" s="1950"/>
    </row>
    <row r="39" spans="1:27" ht="12" customHeight="1" x14ac:dyDescent="0.2">
      <c r="A39" s="2032" t="s">
        <v>531</v>
      </c>
      <c r="B39" s="2033"/>
      <c r="C39" s="72"/>
      <c r="D39" s="69"/>
      <c r="E39" s="69"/>
      <c r="F39" s="79"/>
      <c r="G39" s="69"/>
      <c r="H39" s="56"/>
      <c r="I39" s="2032" t="s">
        <v>531</v>
      </c>
      <c r="J39" s="2033"/>
      <c r="K39" s="2033"/>
      <c r="L39" s="2033"/>
      <c r="M39" s="2033"/>
      <c r="N39" s="67"/>
      <c r="O39" s="72"/>
      <c r="P39" s="72"/>
      <c r="Q39" s="78"/>
      <c r="R39" s="72"/>
      <c r="S39" s="56"/>
      <c r="T39" s="72" t="s">
        <v>531</v>
      </c>
      <c r="U39" s="51"/>
      <c r="V39" s="72"/>
      <c r="W39" s="50"/>
      <c r="X39" s="78"/>
      <c r="Y39" s="45"/>
      <c r="Z39" s="45"/>
      <c r="AA39" s="46"/>
    </row>
    <row r="40" spans="1:27" ht="13.5" customHeight="1" x14ac:dyDescent="0.2">
      <c r="A40" s="2035" t="s">
        <v>2076</v>
      </c>
      <c r="B40" s="2036"/>
      <c r="C40" s="2037"/>
      <c r="D40" s="2037"/>
      <c r="E40" s="2037"/>
      <c r="F40" s="2038"/>
      <c r="G40" s="2038"/>
      <c r="H40" s="2039"/>
      <c r="I40" s="1951"/>
      <c r="J40" s="1953"/>
      <c r="K40" s="1953"/>
      <c r="L40" s="1953"/>
      <c r="M40" s="1953"/>
      <c r="N40" s="1953"/>
      <c r="O40" s="1953"/>
      <c r="P40" s="1953"/>
      <c r="Q40" s="1953"/>
      <c r="R40" s="1953"/>
      <c r="S40" s="1954"/>
      <c r="T40" s="1951"/>
      <c r="U40" s="1952"/>
      <c r="V40" s="1953"/>
      <c r="W40" s="1953"/>
      <c r="X40" s="1953"/>
      <c r="Y40" s="1953"/>
      <c r="Z40" s="1953"/>
      <c r="AA40" s="195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5" t="s">
        <v>2080</v>
      </c>
      <c r="B42" s="2026"/>
      <c r="C42" s="2027"/>
      <c r="D42" s="2040" t="s">
        <v>2081</v>
      </c>
      <c r="E42" s="2026"/>
      <c r="F42" s="2026"/>
      <c r="G42" s="2026"/>
      <c r="H42" s="2027"/>
      <c r="I42" s="1946"/>
      <c r="J42" s="1942"/>
      <c r="K42" s="1942"/>
      <c r="L42" s="1942"/>
      <c r="M42" s="1942"/>
      <c r="N42" s="1942"/>
      <c r="O42" s="1943"/>
      <c r="P42" s="1941"/>
      <c r="Q42" s="1942"/>
      <c r="R42" s="1942"/>
      <c r="S42" s="1943"/>
      <c r="T42" s="1946"/>
      <c r="U42" s="1942"/>
      <c r="V42" s="1942"/>
      <c r="W42" s="1943"/>
      <c r="X42" s="1941"/>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9"/>
      <c r="B44" s="2030"/>
      <c r="C44" s="2030"/>
      <c r="D44" s="2030"/>
      <c r="E44" s="2030"/>
      <c r="F44" s="2030"/>
      <c r="G44" s="2030"/>
      <c r="H44" s="2031"/>
      <c r="I44" s="2021"/>
      <c r="J44" s="2023"/>
      <c r="K44" s="2023"/>
      <c r="L44" s="2023"/>
      <c r="M44" s="2023"/>
      <c r="N44" s="2023"/>
      <c r="O44" s="2023"/>
      <c r="P44" s="2023"/>
      <c r="Q44" s="2023"/>
      <c r="R44" s="2023"/>
      <c r="S44" s="2024"/>
      <c r="T44" s="2021"/>
      <c r="U44" s="2022"/>
      <c r="V44" s="2022"/>
      <c r="W44" s="2022"/>
      <c r="X44" s="2022"/>
      <c r="Y44" s="2022"/>
      <c r="Z44" s="2023"/>
      <c r="AA44" s="202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78" t="s">
        <v>1802</v>
      </c>
      <c r="B2" s="1524" t="s">
        <v>1951</v>
      </c>
      <c r="C2" s="711" t="s">
        <v>1952</v>
      </c>
      <c r="D2" s="711" t="s">
        <v>1953</v>
      </c>
      <c r="E2" s="711" t="s">
        <v>1954</v>
      </c>
      <c r="F2" s="711" t="s">
        <v>1955</v>
      </c>
    </row>
    <row r="3" spans="1:6" ht="12" customHeight="1" x14ac:dyDescent="0.2">
      <c r="A3" s="2179"/>
      <c r="B3" s="1521"/>
      <c r="C3" s="1522"/>
      <c r="D3" s="1523" t="s">
        <v>256</v>
      </c>
      <c r="E3" s="1522"/>
      <c r="F3" s="1523" t="s">
        <v>257</v>
      </c>
    </row>
    <row r="4" spans="1:6" ht="13.7" customHeight="1" x14ac:dyDescent="0.2">
      <c r="A4" s="712" t="s">
        <v>1155</v>
      </c>
      <c r="B4" s="1745">
        <f>'Revenues 9-14'!C5</f>
        <v>1776742</v>
      </c>
      <c r="C4" s="1520">
        <v>996669</v>
      </c>
      <c r="D4" s="1748">
        <f>B4-C4</f>
        <v>780073</v>
      </c>
      <c r="E4" s="1520">
        <v>1804855</v>
      </c>
      <c r="F4" s="1748">
        <f>E4-C4</f>
        <v>808186</v>
      </c>
    </row>
    <row r="5" spans="1:6" ht="13.7" customHeight="1" x14ac:dyDescent="0.2">
      <c r="A5" s="712" t="s">
        <v>870</v>
      </c>
      <c r="B5" s="1746">
        <f>'Revenues 9-14'!D5</f>
        <v>325758</v>
      </c>
      <c r="C5" s="582">
        <v>182727</v>
      </c>
      <c r="D5" s="1749">
        <f t="shared" ref="D5:D18" si="0">B5-C5</f>
        <v>143031</v>
      </c>
      <c r="E5" s="582">
        <v>330898</v>
      </c>
      <c r="F5" s="1749">
        <f>E5-C5</f>
        <v>148171</v>
      </c>
    </row>
    <row r="6" spans="1:6" ht="13.7" customHeight="1" x14ac:dyDescent="0.2">
      <c r="A6" s="712" t="s">
        <v>411</v>
      </c>
      <c r="B6" s="1746">
        <f>'Revenues 9-14'!E5</f>
        <v>142048</v>
      </c>
      <c r="C6" s="582">
        <v>79110</v>
      </c>
      <c r="D6" s="1749">
        <f t="shared" si="0"/>
        <v>62938</v>
      </c>
      <c r="E6" s="582">
        <v>143259</v>
      </c>
      <c r="F6" s="1749">
        <f t="shared" ref="F6:F18" si="1">E6-C6</f>
        <v>64149</v>
      </c>
    </row>
    <row r="7" spans="1:6" ht="13.7" customHeight="1" x14ac:dyDescent="0.2">
      <c r="A7" s="712" t="s">
        <v>155</v>
      </c>
      <c r="B7" s="1746">
        <f>'Revenues 9-14'!F5</f>
        <v>118487</v>
      </c>
      <c r="C7" s="582">
        <v>66473</v>
      </c>
      <c r="D7" s="1749">
        <f t="shared" si="0"/>
        <v>52014</v>
      </c>
      <c r="E7" s="582">
        <v>120376</v>
      </c>
      <c r="F7" s="1749">
        <f t="shared" si="1"/>
        <v>53903</v>
      </c>
    </row>
    <row r="8" spans="1:6" ht="13.7" customHeight="1" x14ac:dyDescent="0.2">
      <c r="A8" s="712" t="s">
        <v>1179</v>
      </c>
      <c r="B8" s="1746">
        <f>'Revenues 9-14'!G5</f>
        <v>37870</v>
      </c>
      <c r="C8" s="582">
        <v>20950</v>
      </c>
      <c r="D8" s="1749">
        <f t="shared" si="0"/>
        <v>16920</v>
      </c>
      <c r="E8" s="582">
        <v>37937</v>
      </c>
      <c r="F8" s="1749">
        <f t="shared" si="1"/>
        <v>16987</v>
      </c>
    </row>
    <row r="9" spans="1:6" ht="13.7" customHeight="1" x14ac:dyDescent="0.2">
      <c r="A9" s="712" t="s">
        <v>408</v>
      </c>
      <c r="B9" s="1746">
        <f>'Revenues 9-14'!H5</f>
        <v>0</v>
      </c>
      <c r="C9" s="582">
        <v>0</v>
      </c>
      <c r="D9" s="1749">
        <f t="shared" si="0"/>
        <v>0</v>
      </c>
      <c r="E9" s="582">
        <v>0</v>
      </c>
      <c r="F9" s="1749">
        <f t="shared" si="1"/>
        <v>0</v>
      </c>
    </row>
    <row r="10" spans="1:6" ht="13.7" customHeight="1" x14ac:dyDescent="0.2">
      <c r="A10" s="712" t="s">
        <v>407</v>
      </c>
      <c r="B10" s="1746">
        <f>'Revenues 9-14'!I5</f>
        <v>29637</v>
      </c>
      <c r="C10" s="582">
        <v>16627</v>
      </c>
      <c r="D10" s="1749">
        <f t="shared" si="0"/>
        <v>13010</v>
      </c>
      <c r="E10" s="582">
        <v>30109</v>
      </c>
      <c r="F10" s="1749">
        <f t="shared" si="1"/>
        <v>13482</v>
      </c>
    </row>
    <row r="11" spans="1:6" x14ac:dyDescent="0.2">
      <c r="A11" s="712" t="s">
        <v>409</v>
      </c>
      <c r="B11" s="1746">
        <f>'Revenues 9-14'!J5</f>
        <v>407373</v>
      </c>
      <c r="C11" s="582">
        <v>229249</v>
      </c>
      <c r="D11" s="1749">
        <f t="shared" si="0"/>
        <v>178124</v>
      </c>
      <c r="E11" s="582">
        <v>415143</v>
      </c>
      <c r="F11" s="1749">
        <f t="shared" si="1"/>
        <v>185894</v>
      </c>
    </row>
    <row r="12" spans="1:6" ht="13.7" customHeight="1" x14ac:dyDescent="0.2">
      <c r="A12" s="712" t="s">
        <v>157</v>
      </c>
      <c r="B12" s="1746">
        <f>'Revenues 9-14'!K5</f>
        <v>29636</v>
      </c>
      <c r="C12" s="582">
        <v>16626</v>
      </c>
      <c r="D12" s="1749">
        <f t="shared" si="0"/>
        <v>13010</v>
      </c>
      <c r="E12" s="582">
        <v>30109</v>
      </c>
      <c r="F12" s="1749">
        <f t="shared" si="1"/>
        <v>13483</v>
      </c>
    </row>
    <row r="13" spans="1:6" ht="13.7" customHeight="1" x14ac:dyDescent="0.2">
      <c r="A13" s="712" t="s">
        <v>936</v>
      </c>
      <c r="B13" s="1746">
        <f>SUM('Revenues 9-14'!C6:D6)</f>
        <v>29637</v>
      </c>
      <c r="C13" s="582">
        <v>16627</v>
      </c>
      <c r="D13" s="1749">
        <f t="shared" si="0"/>
        <v>13010</v>
      </c>
      <c r="E13" s="582">
        <v>30109</v>
      </c>
      <c r="F13" s="1749">
        <f t="shared" si="1"/>
        <v>13482</v>
      </c>
    </row>
    <row r="14" spans="1:6" ht="13.7" customHeight="1" x14ac:dyDescent="0.2">
      <c r="A14" s="712" t="s">
        <v>410</v>
      </c>
      <c r="B14" s="1746">
        <f>SUM('Revenues 9-14'!C7:D7,'Revenues 9-14'!F7:H7)</f>
        <v>23704</v>
      </c>
      <c r="C14" s="582">
        <v>13301</v>
      </c>
      <c r="D14" s="1749">
        <f t="shared" si="0"/>
        <v>10403</v>
      </c>
      <c r="E14" s="582">
        <v>24087</v>
      </c>
      <c r="F14" s="1749">
        <f t="shared" si="1"/>
        <v>10786</v>
      </c>
    </row>
    <row r="15" spans="1:6" ht="13.7" customHeight="1" x14ac:dyDescent="0.2">
      <c r="A15" s="712" t="s">
        <v>1158</v>
      </c>
      <c r="B15" s="1746">
        <f>SUM('Revenues 9-14'!D9:E9,'Revenues 9-14'!H9)</f>
        <v>0</v>
      </c>
      <c r="C15" s="582">
        <v>0</v>
      </c>
      <c r="D15" s="1749">
        <f t="shared" si="0"/>
        <v>0</v>
      </c>
      <c r="E15" s="582">
        <v>0</v>
      </c>
      <c r="F15" s="1749">
        <f t="shared" si="1"/>
        <v>0</v>
      </c>
    </row>
    <row r="16" spans="1:6" ht="13.7" customHeight="1" x14ac:dyDescent="0.2">
      <c r="A16" s="712" t="s">
        <v>1159</v>
      </c>
      <c r="B16" s="1746">
        <f>'Revenues 9-14'!G8</f>
        <v>128656</v>
      </c>
      <c r="C16" s="582">
        <v>71428</v>
      </c>
      <c r="D16" s="1749">
        <f t="shared" si="0"/>
        <v>57228</v>
      </c>
      <c r="E16" s="582">
        <v>129348</v>
      </c>
      <c r="F16" s="1749">
        <f t="shared" si="1"/>
        <v>57920</v>
      </c>
    </row>
    <row r="17" spans="1:6" ht="13.7" customHeight="1" x14ac:dyDescent="0.2">
      <c r="A17" s="712" t="s">
        <v>1160</v>
      </c>
      <c r="B17" s="1746">
        <f>'Revenues 9-14'!C10</f>
        <v>0</v>
      </c>
      <c r="C17" s="582">
        <v>0</v>
      </c>
      <c r="D17" s="1749">
        <f t="shared" si="0"/>
        <v>0</v>
      </c>
      <c r="E17" s="582">
        <v>0</v>
      </c>
      <c r="F17" s="1749">
        <f t="shared" si="1"/>
        <v>0</v>
      </c>
    </row>
    <row r="18" spans="1:6" ht="13.7" customHeight="1" x14ac:dyDescent="0.2">
      <c r="A18" s="712" t="s">
        <v>762</v>
      </c>
      <c r="B18" s="1746">
        <f>SUM('Revenues 9-14'!C11:K11)</f>
        <v>0</v>
      </c>
      <c r="C18" s="582">
        <v>0</v>
      </c>
      <c r="D18" s="1749">
        <f t="shared" si="0"/>
        <v>0</v>
      </c>
      <c r="E18" s="582">
        <v>0</v>
      </c>
      <c r="F18" s="1749">
        <f t="shared" si="1"/>
        <v>0</v>
      </c>
    </row>
    <row r="19" spans="1:6" ht="13.7" customHeight="1" thickBot="1" x14ac:dyDescent="0.25">
      <c r="A19" s="1750" t="s">
        <v>1161</v>
      </c>
      <c r="B19" s="1747">
        <f>SUM(B4:B18)</f>
        <v>3049548</v>
      </c>
      <c r="C19" s="1747">
        <f>SUM(C4:C18)</f>
        <v>1709787</v>
      </c>
      <c r="D19" s="1747">
        <f>SUM(D4:D18)</f>
        <v>1339761</v>
      </c>
      <c r="E19" s="1747">
        <f>SUM(E4:E18)</f>
        <v>3096230</v>
      </c>
      <c r="F19" s="1747">
        <f>SUM(F4:F18)</f>
        <v>1386443</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4" t="s">
        <v>629</v>
      </c>
      <c r="B1" s="2185"/>
      <c r="C1" s="718"/>
    </row>
    <row r="2" spans="1:7" ht="33.75" x14ac:dyDescent="0.2">
      <c r="A2" s="2193" t="s">
        <v>1802</v>
      </c>
      <c r="B2" s="2194"/>
      <c r="C2" s="1880" t="s">
        <v>1956</v>
      </c>
      <c r="D2" s="720" t="s">
        <v>1957</v>
      </c>
      <c r="E2" s="720" t="s">
        <v>1958</v>
      </c>
      <c r="F2" s="1880" t="s">
        <v>1959</v>
      </c>
    </row>
    <row r="3" spans="1:7" ht="15.75" customHeight="1" x14ac:dyDescent="0.2">
      <c r="A3" s="2197" t="s">
        <v>1114</v>
      </c>
      <c r="B3" s="2198"/>
      <c r="C3" s="2186"/>
      <c r="D3" s="2187"/>
      <c r="E3" s="2187"/>
      <c r="F3" s="2188"/>
    </row>
    <row r="4" spans="1:7" ht="12.75" customHeight="1" thickBot="1" x14ac:dyDescent="0.25">
      <c r="A4" s="2195" t="s">
        <v>630</v>
      </c>
      <c r="B4" s="2196"/>
      <c r="C4" s="578"/>
      <c r="D4" s="578"/>
      <c r="E4" s="578"/>
      <c r="F4" s="1751">
        <f>SUM(C4+D4)-E4</f>
        <v>0</v>
      </c>
    </row>
    <row r="5" spans="1:7" ht="15.75" customHeight="1" thickTop="1" x14ac:dyDescent="0.2">
      <c r="A5" s="2180" t="s">
        <v>1110</v>
      </c>
      <c r="B5" s="2181"/>
      <c r="C5" s="2189"/>
      <c r="D5" s="2190"/>
      <c r="E5" s="2190"/>
      <c r="F5" s="2191"/>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182" t="s">
        <v>631</v>
      </c>
      <c r="B15" s="2183"/>
      <c r="C15" s="1751">
        <f>SUM(C6:C14)</f>
        <v>0</v>
      </c>
      <c r="D15" s="1751">
        <f>SUM(D6:D14)</f>
        <v>0</v>
      </c>
      <c r="E15" s="1751">
        <f>SUM(E6:E14)</f>
        <v>0</v>
      </c>
      <c r="F15" s="1751">
        <f>SUM(F6:F14)</f>
        <v>0</v>
      </c>
      <c r="G15" s="549"/>
    </row>
    <row r="16" spans="1:7" s="202" customFormat="1" ht="15.75" customHeight="1" thickTop="1" x14ac:dyDescent="0.2">
      <c r="A16" s="2192" t="s">
        <v>1111</v>
      </c>
      <c r="B16" s="2181"/>
      <c r="C16" s="2189"/>
      <c r="D16" s="2190"/>
      <c r="E16" s="2190"/>
      <c r="F16" s="2191"/>
    </row>
    <row r="17" spans="1:11" ht="12.75" customHeight="1" thickBot="1" x14ac:dyDescent="0.25">
      <c r="A17" s="2205" t="s">
        <v>64</v>
      </c>
      <c r="B17" s="2206"/>
      <c r="C17" s="723"/>
      <c r="D17" s="582"/>
      <c r="E17" s="723"/>
      <c r="F17" s="1751">
        <f>SUM(C17+D17)-E17</f>
        <v>0</v>
      </c>
    </row>
    <row r="18" spans="1:11" ht="12.75" customHeight="1" thickTop="1" thickBot="1" x14ac:dyDescent="0.25">
      <c r="A18" s="2205" t="s">
        <v>6</v>
      </c>
      <c r="B18" s="2206"/>
      <c r="C18" s="723"/>
      <c r="D18" s="582"/>
      <c r="E18" s="723"/>
      <c r="F18" s="1751">
        <f>SUM(C18+D18)-E18</f>
        <v>0</v>
      </c>
    </row>
    <row r="19" spans="1:11" ht="12.75" customHeight="1" thickTop="1" thickBot="1" x14ac:dyDescent="0.25">
      <c r="A19" s="2205" t="s">
        <v>388</v>
      </c>
      <c r="B19" s="2206"/>
      <c r="C19" s="723"/>
      <c r="D19" s="582"/>
      <c r="E19" s="723"/>
      <c r="F19" s="1751">
        <f>SUM(C19+D19)-E19</f>
        <v>0</v>
      </c>
    </row>
    <row r="20" spans="1:11" ht="12.75" customHeight="1" thickTop="1" thickBot="1" x14ac:dyDescent="0.25">
      <c r="A20" s="2205" t="s">
        <v>448</v>
      </c>
      <c r="B20" s="2206"/>
      <c r="C20" s="723"/>
      <c r="D20" s="582"/>
      <c r="E20" s="723"/>
      <c r="F20" s="1751">
        <f>SUM(C20+D20)-E20</f>
        <v>0</v>
      </c>
    </row>
    <row r="21" spans="1:11" ht="14.25" thickTop="1" thickBot="1" x14ac:dyDescent="0.25">
      <c r="A21" s="2182" t="s">
        <v>632</v>
      </c>
      <c r="B21" s="2183"/>
      <c r="C21" s="1751">
        <f>SUM(C17:C20)</f>
        <v>0</v>
      </c>
      <c r="D21" s="1751">
        <f>SUM(D17:D20)</f>
        <v>0</v>
      </c>
      <c r="E21" s="1751">
        <f>SUM(E17:E20)</f>
        <v>0</v>
      </c>
      <c r="F21" s="1751">
        <f>SUM(F17:F20)</f>
        <v>0</v>
      </c>
      <c r="G21" s="549"/>
    </row>
    <row r="22" spans="1:11" ht="15.75" customHeight="1" thickTop="1" x14ac:dyDescent="0.2">
      <c r="A22" s="2207" t="s">
        <v>1112</v>
      </c>
      <c r="B22" s="2181"/>
      <c r="C22" s="2189"/>
      <c r="D22" s="2190"/>
      <c r="E22" s="2190"/>
      <c r="F22" s="2191"/>
    </row>
    <row r="23" spans="1:11" ht="13.5" thickBot="1" x14ac:dyDescent="0.25">
      <c r="A23" s="2195" t="s">
        <v>633</v>
      </c>
      <c r="B23" s="2196"/>
      <c r="C23" s="578"/>
      <c r="D23" s="578"/>
      <c r="E23" s="578"/>
      <c r="F23" s="1751">
        <f>SUM(C23+D23)-E23</f>
        <v>0</v>
      </c>
      <c r="G23" s="549"/>
    </row>
    <row r="24" spans="1:11" ht="15.75" customHeight="1" thickTop="1" x14ac:dyDescent="0.2">
      <c r="A24" s="2207" t="s">
        <v>1113</v>
      </c>
      <c r="B24" s="2181"/>
      <c r="C24" s="2189"/>
      <c r="D24" s="2190"/>
      <c r="E24" s="2190"/>
      <c r="F24" s="2191"/>
    </row>
    <row r="25" spans="1:11" ht="13.5" thickBot="1" x14ac:dyDescent="0.25">
      <c r="A25" s="2195" t="s">
        <v>634</v>
      </c>
      <c r="B25" s="2196"/>
      <c r="C25" s="578"/>
      <c r="D25" s="578"/>
      <c r="E25" s="578"/>
      <c r="F25" s="1751">
        <f>SUM(C25+D25)-E25</f>
        <v>0</v>
      </c>
      <c r="G25" s="549"/>
    </row>
    <row r="26" spans="1:11" ht="15.75" customHeight="1" thickTop="1" x14ac:dyDescent="0.2">
      <c r="A26" s="2180" t="s">
        <v>657</v>
      </c>
      <c r="B26" s="2181"/>
      <c r="C26" s="724"/>
      <c r="D26" s="724"/>
      <c r="E26" s="724"/>
      <c r="F26" s="725"/>
    </row>
    <row r="27" spans="1:11" ht="13.5" thickBot="1" x14ac:dyDescent="0.25">
      <c r="A27" s="2182" t="s">
        <v>1070</v>
      </c>
      <c r="B27" s="2183"/>
      <c r="C27" s="582"/>
      <c r="D27" s="582"/>
      <c r="E27" s="582"/>
      <c r="F27" s="1751">
        <f>SUM(C27+D27)-E27</f>
        <v>0</v>
      </c>
      <c r="G27" s="549"/>
    </row>
    <row r="28" spans="1:11" ht="7.5" customHeight="1" thickTop="1" x14ac:dyDescent="0.2">
      <c r="A28" s="590"/>
    </row>
    <row r="29" spans="1:11" ht="23.25" customHeight="1" x14ac:dyDescent="0.2">
      <c r="A29" s="2208" t="s">
        <v>582</v>
      </c>
      <c r="B29" s="2185"/>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c r="B31" s="730"/>
      <c r="C31" s="731"/>
      <c r="D31" s="732"/>
      <c r="E31" s="731"/>
      <c r="F31" s="731"/>
      <c r="G31" s="731"/>
      <c r="H31" s="731"/>
      <c r="I31" s="1752">
        <f>((E31+F31)-H31)+G31</f>
        <v>0</v>
      </c>
      <c r="J31" s="731"/>
      <c r="K31" s="733"/>
    </row>
    <row r="32" spans="1:11" ht="12" customHeight="1" x14ac:dyDescent="0.2">
      <c r="A32" s="729" t="s">
        <v>2082</v>
      </c>
      <c r="B32" s="730">
        <v>41030</v>
      </c>
      <c r="C32" s="731">
        <v>590000</v>
      </c>
      <c r="D32" s="732">
        <v>4</v>
      </c>
      <c r="E32" s="731">
        <v>330000</v>
      </c>
      <c r="F32" s="731"/>
      <c r="G32" s="731"/>
      <c r="H32" s="731">
        <v>330000</v>
      </c>
      <c r="I32" s="1752">
        <f>((E32+F32)-H32)+G32</f>
        <v>0</v>
      </c>
      <c r="J32" s="731">
        <v>0</v>
      </c>
      <c r="K32" s="733"/>
    </row>
    <row r="33" spans="1:11" ht="12" customHeight="1" x14ac:dyDescent="0.2">
      <c r="A33" s="729" t="s">
        <v>2083</v>
      </c>
      <c r="B33" s="730">
        <v>43076</v>
      </c>
      <c r="C33" s="731">
        <v>1100000</v>
      </c>
      <c r="D33" s="732">
        <v>7</v>
      </c>
      <c r="E33" s="731">
        <v>1100000</v>
      </c>
      <c r="F33" s="731"/>
      <c r="G33" s="731"/>
      <c r="H33" s="731"/>
      <c r="I33" s="1752">
        <f t="shared" ref="I33:I48" si="1">((E33+F33)-H33)+G33</f>
        <v>1100000</v>
      </c>
      <c r="J33" s="731">
        <v>1100000</v>
      </c>
      <c r="K33" s="733"/>
    </row>
    <row r="34" spans="1:11" ht="12" customHeight="1" x14ac:dyDescent="0.2">
      <c r="A34" s="729" t="s">
        <v>2093</v>
      </c>
      <c r="B34" s="730">
        <v>43009</v>
      </c>
      <c r="C34" s="731">
        <v>736000</v>
      </c>
      <c r="D34" s="732">
        <v>3</v>
      </c>
      <c r="E34" s="731">
        <v>715000</v>
      </c>
      <c r="F34" s="731"/>
      <c r="G34" s="731"/>
      <c r="H34" s="731">
        <v>53000</v>
      </c>
      <c r="I34" s="1752">
        <f t="shared" si="1"/>
        <v>662000</v>
      </c>
      <c r="J34" s="731">
        <f>662000-34850</f>
        <v>627150</v>
      </c>
      <c r="K34" s="734"/>
    </row>
    <row r="35" spans="1:11" ht="12" customHeight="1" x14ac:dyDescent="0.2">
      <c r="A35" s="729" t="s">
        <v>2094</v>
      </c>
      <c r="B35" s="730">
        <v>43437</v>
      </c>
      <c r="C35" s="735">
        <v>271200</v>
      </c>
      <c r="D35" s="732">
        <v>3</v>
      </c>
      <c r="E35" s="735"/>
      <c r="F35" s="735">
        <v>271200</v>
      </c>
      <c r="G35" s="735"/>
      <c r="H35" s="735"/>
      <c r="I35" s="1752">
        <f t="shared" si="1"/>
        <v>271200</v>
      </c>
      <c r="J35" s="735">
        <f>271200-61449</f>
        <v>209751</v>
      </c>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2697200</v>
      </c>
      <c r="D49" s="742"/>
      <c r="E49" s="1752">
        <f t="shared" ref="E49:J49" si="2">SUM(E31:E48)</f>
        <v>2145000</v>
      </c>
      <c r="F49" s="1752">
        <f t="shared" si="2"/>
        <v>271200</v>
      </c>
      <c r="G49" s="1752">
        <f t="shared" si="2"/>
        <v>0</v>
      </c>
      <c r="H49" s="1752">
        <f t="shared" si="2"/>
        <v>383000</v>
      </c>
      <c r="I49" s="1752">
        <f t="shared" si="2"/>
        <v>2033200</v>
      </c>
      <c r="J49" s="1752">
        <f t="shared" si="2"/>
        <v>1936901</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99" t="s">
        <v>584</v>
      </c>
      <c r="C52" s="2200"/>
      <c r="D52" s="2200"/>
      <c r="E52" s="746" t="s">
        <v>845</v>
      </c>
      <c r="F52" s="2201" t="s">
        <v>2083</v>
      </c>
      <c r="G52" s="2202"/>
      <c r="H52" s="733"/>
      <c r="I52" s="733"/>
      <c r="J52" s="743"/>
    </row>
    <row r="53" spans="1:11" ht="11.25" customHeight="1" x14ac:dyDescent="0.2">
      <c r="A53" s="747" t="s">
        <v>913</v>
      </c>
      <c r="B53" s="748" t="s">
        <v>951</v>
      </c>
      <c r="C53" s="743"/>
      <c r="D53" s="734"/>
      <c r="E53" s="746" t="s">
        <v>497</v>
      </c>
      <c r="F53" s="2203"/>
      <c r="G53" s="2204"/>
      <c r="H53" s="733"/>
      <c r="I53" s="733"/>
      <c r="J53" s="743"/>
    </row>
    <row r="54" spans="1:11" ht="11.25" customHeight="1" x14ac:dyDescent="0.2">
      <c r="A54" s="749" t="s">
        <v>914</v>
      </c>
      <c r="B54" s="744" t="s">
        <v>952</v>
      </c>
      <c r="C54" s="743"/>
      <c r="D54" s="734"/>
      <c r="E54" s="746" t="s">
        <v>498</v>
      </c>
      <c r="F54" s="2203"/>
      <c r="G54" s="2204"/>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856</v>
      </c>
      <c r="B1" s="2234"/>
      <c r="C1" s="2234"/>
      <c r="D1" s="2234"/>
      <c r="E1" s="2234"/>
      <c r="F1" s="2234"/>
      <c r="G1" s="2235"/>
      <c r="H1" s="1526"/>
      <c r="I1" s="757"/>
      <c r="J1" s="433"/>
    </row>
    <row r="2" spans="1:11" ht="26.25" x14ac:dyDescent="0.2">
      <c r="A2" s="2212" t="s">
        <v>1677</v>
      </c>
      <c r="B2" s="2213"/>
      <c r="C2" s="2213"/>
      <c r="D2" s="2213"/>
      <c r="E2" s="2214"/>
      <c r="F2" s="758" t="s">
        <v>904</v>
      </c>
      <c r="G2" s="759" t="s">
        <v>1674</v>
      </c>
      <c r="H2" s="759" t="s">
        <v>410</v>
      </c>
      <c r="I2" s="759" t="s">
        <v>1158</v>
      </c>
      <c r="J2" s="759" t="s">
        <v>1812</v>
      </c>
      <c r="K2" s="759" t="s">
        <v>138</v>
      </c>
    </row>
    <row r="3" spans="1:11" x14ac:dyDescent="0.2">
      <c r="A3" s="2215" t="s">
        <v>1964</v>
      </c>
      <c r="B3" s="2216"/>
      <c r="C3" s="2216"/>
      <c r="D3" s="2216"/>
      <c r="E3" s="2217"/>
      <c r="F3" s="760"/>
      <c r="G3" s="761"/>
      <c r="H3" s="761"/>
      <c r="I3" s="761"/>
      <c r="J3" s="762">
        <v>369447</v>
      </c>
      <c r="K3" s="762"/>
    </row>
    <row r="4" spans="1:11" x14ac:dyDescent="0.2">
      <c r="A4" s="2218" t="s">
        <v>369</v>
      </c>
      <c r="B4" s="2219"/>
      <c r="C4" s="2219"/>
      <c r="D4" s="2219"/>
      <c r="E4" s="2200"/>
      <c r="F4" s="763"/>
      <c r="G4" s="764"/>
      <c r="H4" s="765"/>
      <c r="I4" s="764"/>
      <c r="J4" s="766"/>
      <c r="K4" s="766"/>
    </row>
    <row r="5" spans="1:11" x14ac:dyDescent="0.2">
      <c r="A5" s="2236" t="s">
        <v>1069</v>
      </c>
      <c r="B5" s="2209"/>
      <c r="C5" s="2209"/>
      <c r="D5" s="2209"/>
      <c r="E5" s="2237"/>
      <c r="F5" s="767" t="s">
        <v>848</v>
      </c>
      <c r="G5" s="768"/>
      <c r="H5" s="761">
        <v>23704</v>
      </c>
      <c r="I5" s="769"/>
      <c r="J5" s="770"/>
      <c r="K5" s="770"/>
    </row>
    <row r="6" spans="1:11" x14ac:dyDescent="0.2">
      <c r="A6" s="771" t="s">
        <v>720</v>
      </c>
      <c r="B6" s="772"/>
      <c r="C6" s="772"/>
      <c r="D6" s="772"/>
      <c r="E6" s="773"/>
      <c r="F6" s="774" t="s">
        <v>849</v>
      </c>
      <c r="G6" s="761"/>
      <c r="H6" s="761">
        <v>15</v>
      </c>
      <c r="I6" s="761"/>
      <c r="J6" s="762">
        <v>793</v>
      </c>
      <c r="K6" s="762"/>
    </row>
    <row r="7" spans="1:11" x14ac:dyDescent="0.2">
      <c r="A7" s="775" t="s">
        <v>246</v>
      </c>
      <c r="B7" s="776"/>
      <c r="C7" s="776"/>
      <c r="D7" s="776"/>
      <c r="E7" s="777"/>
      <c r="F7" s="767" t="s">
        <v>850</v>
      </c>
      <c r="G7" s="764"/>
      <c r="H7" s="764"/>
      <c r="I7" s="764"/>
      <c r="J7" s="778"/>
      <c r="K7" s="762">
        <v>1700</v>
      </c>
    </row>
    <row r="8" spans="1:11" x14ac:dyDescent="0.2">
      <c r="A8" s="775" t="s">
        <v>345</v>
      </c>
      <c r="B8" s="776"/>
      <c r="C8" s="776"/>
      <c r="D8" s="776"/>
      <c r="E8" s="777"/>
      <c r="F8" s="767" t="s">
        <v>851</v>
      </c>
      <c r="G8" s="779"/>
      <c r="H8" s="779"/>
      <c r="I8" s="779"/>
      <c r="J8" s="762">
        <v>152949</v>
      </c>
      <c r="K8" s="766"/>
    </row>
    <row r="9" spans="1:11" x14ac:dyDescent="0.2">
      <c r="A9" s="775" t="s">
        <v>138</v>
      </c>
      <c r="B9" s="776"/>
      <c r="C9" s="776"/>
      <c r="D9" s="776"/>
      <c r="E9" s="777"/>
      <c r="F9" s="774" t="s">
        <v>853</v>
      </c>
      <c r="G9" s="779"/>
      <c r="H9" s="768"/>
      <c r="I9" s="768"/>
      <c r="J9" s="778"/>
      <c r="K9" s="762">
        <v>7294</v>
      </c>
    </row>
    <row r="10" spans="1:11" x14ac:dyDescent="0.2">
      <c r="A10" s="2236" t="s">
        <v>1813</v>
      </c>
      <c r="B10" s="2209"/>
      <c r="C10" s="2209"/>
      <c r="D10" s="2209"/>
      <c r="E10" s="2238"/>
      <c r="F10" s="780" t="s">
        <v>862</v>
      </c>
      <c r="G10" s="779"/>
      <c r="H10" s="781"/>
      <c r="I10" s="761"/>
      <c r="J10" s="762"/>
      <c r="K10" s="762"/>
    </row>
    <row r="11" spans="1:11" x14ac:dyDescent="0.2">
      <c r="A11" s="2236" t="s">
        <v>160</v>
      </c>
      <c r="B11" s="2209"/>
      <c r="C11" s="2209"/>
      <c r="D11" s="2209"/>
      <c r="E11" s="2237"/>
      <c r="F11" s="767" t="s">
        <v>852</v>
      </c>
      <c r="G11" s="768"/>
      <c r="H11" s="761"/>
      <c r="I11" s="761"/>
      <c r="J11" s="762"/>
      <c r="K11" s="770"/>
    </row>
    <row r="12" spans="1:11" ht="13.5" thickBot="1" x14ac:dyDescent="0.25">
      <c r="A12" s="2226" t="s">
        <v>905</v>
      </c>
      <c r="B12" s="2227"/>
      <c r="C12" s="2227"/>
      <c r="D12" s="2227"/>
      <c r="E12" s="2228"/>
      <c r="F12" s="1753"/>
      <c r="G12" s="1754">
        <f>SUM(G5:G11)</f>
        <v>0</v>
      </c>
      <c r="H12" s="1754">
        <f>SUM(H5:H11)</f>
        <v>23719</v>
      </c>
      <c r="I12" s="1754">
        <f>SUM(I5:I11)</f>
        <v>0</v>
      </c>
      <c r="J12" s="1754">
        <f>SUM(J5:J11)</f>
        <v>153742</v>
      </c>
      <c r="K12" s="1754">
        <f>SUM(K5:K11)</f>
        <v>8994</v>
      </c>
    </row>
    <row r="13" spans="1:11" ht="13.5" thickTop="1" x14ac:dyDescent="0.2">
      <c r="A13" s="2220" t="s">
        <v>370</v>
      </c>
      <c r="B13" s="2221"/>
      <c r="C13" s="2221"/>
      <c r="D13" s="2221"/>
      <c r="E13" s="2222"/>
      <c r="F13" s="782"/>
      <c r="G13" s="783"/>
      <c r="H13" s="784"/>
      <c r="I13" s="785"/>
      <c r="J13" s="785"/>
      <c r="K13" s="785"/>
    </row>
    <row r="14" spans="1:11" x14ac:dyDescent="0.2">
      <c r="A14" s="2242" t="s">
        <v>456</v>
      </c>
      <c r="B14" s="2242"/>
      <c r="C14" s="2242"/>
      <c r="D14" s="2242"/>
      <c r="E14" s="2243"/>
      <c r="F14" s="786" t="s">
        <v>854</v>
      </c>
      <c r="G14" s="779"/>
      <c r="H14" s="761">
        <v>23719</v>
      </c>
      <c r="I14" s="768"/>
      <c r="J14" s="770"/>
      <c r="K14" s="762">
        <v>8994</v>
      </c>
    </row>
    <row r="15" spans="1:11" x14ac:dyDescent="0.2">
      <c r="A15" s="2209" t="s">
        <v>4</v>
      </c>
      <c r="B15" s="2209"/>
      <c r="C15" s="2209"/>
      <c r="D15" s="2209"/>
      <c r="E15" s="2237"/>
      <c r="F15" s="786" t="s">
        <v>855</v>
      </c>
      <c r="G15" s="768"/>
      <c r="H15" s="761"/>
      <c r="I15" s="761"/>
      <c r="J15" s="762">
        <v>523189</v>
      </c>
      <c r="K15" s="762"/>
    </row>
    <row r="16" spans="1:11" x14ac:dyDescent="0.2">
      <c r="A16" s="2209" t="s">
        <v>298</v>
      </c>
      <c r="B16" s="2209"/>
      <c r="C16" s="2209"/>
      <c r="D16" s="2209"/>
      <c r="E16" s="2237"/>
      <c r="F16" s="786" t="s">
        <v>923</v>
      </c>
      <c r="G16" s="769"/>
      <c r="H16" s="764"/>
      <c r="I16" s="764"/>
      <c r="J16" s="766"/>
      <c r="K16" s="766"/>
    </row>
    <row r="17" spans="1:11" x14ac:dyDescent="0.2">
      <c r="A17" s="2231" t="s">
        <v>935</v>
      </c>
      <c r="B17" s="2231"/>
      <c r="C17" s="2231"/>
      <c r="D17" s="2231"/>
      <c r="E17" s="2232"/>
      <c r="F17" s="787"/>
      <c r="G17" s="788"/>
      <c r="H17" s="789"/>
      <c r="I17" s="789"/>
      <c r="J17" s="790"/>
      <c r="K17" s="791"/>
    </row>
    <row r="18" spans="1:11" x14ac:dyDescent="0.2">
      <c r="A18" s="2223" t="s">
        <v>368</v>
      </c>
      <c r="B18" s="2224"/>
      <c r="C18" s="2224"/>
      <c r="D18" s="2224"/>
      <c r="E18" s="2225"/>
      <c r="F18" s="786" t="s">
        <v>932</v>
      </c>
      <c r="G18" s="779"/>
      <c r="H18" s="779"/>
      <c r="I18" s="779"/>
      <c r="J18" s="762"/>
      <c r="K18" s="792"/>
    </row>
    <row r="19" spans="1:11" ht="21.75" customHeight="1" x14ac:dyDescent="0.2">
      <c r="A19" s="2244" t="s">
        <v>1809</v>
      </c>
      <c r="B19" s="2244"/>
      <c r="C19" s="2244"/>
      <c r="D19" s="2244"/>
      <c r="E19" s="2245"/>
      <c r="F19" s="786" t="s">
        <v>933</v>
      </c>
      <c r="G19" s="779"/>
      <c r="H19" s="779"/>
      <c r="I19" s="779"/>
      <c r="J19" s="762"/>
      <c r="K19" s="792"/>
    </row>
    <row r="20" spans="1:11" x14ac:dyDescent="0.2">
      <c r="A20" s="2223" t="s">
        <v>1814</v>
      </c>
      <c r="B20" s="2224"/>
      <c r="C20" s="2224"/>
      <c r="D20" s="2224"/>
      <c r="E20" s="2225"/>
      <c r="F20" s="786" t="s">
        <v>934</v>
      </c>
      <c r="G20" s="779"/>
      <c r="H20" s="779"/>
      <c r="I20" s="779"/>
      <c r="J20" s="762"/>
      <c r="K20" s="792"/>
    </row>
    <row r="21" spans="1:11" ht="13.5" thickBot="1" x14ac:dyDescent="0.25">
      <c r="A21" s="2229" t="s">
        <v>638</v>
      </c>
      <c r="B21" s="2229"/>
      <c r="C21" s="2229"/>
      <c r="D21" s="2229"/>
      <c r="E21" s="2229"/>
      <c r="F21" s="1755"/>
      <c r="G21" s="789"/>
      <c r="H21" s="793"/>
      <c r="I21" s="793"/>
      <c r="J21" s="1756">
        <f>SUM(J18:J20)</f>
        <v>0</v>
      </c>
      <c r="K21" s="790"/>
    </row>
    <row r="22" spans="1:11" ht="13.5" thickTop="1" x14ac:dyDescent="0.2">
      <c r="A22" s="2209" t="s">
        <v>1815</v>
      </c>
      <c r="B22" s="2209"/>
      <c r="C22" s="2209"/>
      <c r="D22" s="2209"/>
      <c r="E22" s="2237"/>
      <c r="F22" s="786" t="s">
        <v>862</v>
      </c>
      <c r="G22" s="779"/>
      <c r="H22" s="761"/>
      <c r="I22" s="761"/>
      <c r="J22" s="794"/>
      <c r="K22" s="762"/>
    </row>
    <row r="23" spans="1:11" ht="13.5" thickBot="1" x14ac:dyDescent="0.25">
      <c r="A23" s="2230" t="s">
        <v>906</v>
      </c>
      <c r="B23" s="2229"/>
      <c r="C23" s="2229"/>
      <c r="D23" s="2229"/>
      <c r="E23" s="2229"/>
      <c r="F23" s="1757"/>
      <c r="G23" s="1754">
        <f>SUM(G14:G16,G21,G22)</f>
        <v>0</v>
      </c>
      <c r="H23" s="1754">
        <f>SUM(H14:H16,H21,H22)</f>
        <v>23719</v>
      </c>
      <c r="I23" s="1754">
        <f>SUM(I14:I16,I21,I22)</f>
        <v>0</v>
      </c>
      <c r="J23" s="1754">
        <f>SUM(J14:J16,J21,J22)</f>
        <v>523189</v>
      </c>
      <c r="K23" s="1754">
        <f>SUM(K14:K16,K21,K22)</f>
        <v>8994</v>
      </c>
    </row>
    <row r="24" spans="1:11" ht="14.25" thickTop="1" thickBot="1" x14ac:dyDescent="0.25">
      <c r="A24" s="2230" t="s">
        <v>1965</v>
      </c>
      <c r="B24" s="2229"/>
      <c r="C24" s="2229"/>
      <c r="D24" s="2229"/>
      <c r="E24" s="2229"/>
      <c r="F24" s="1758"/>
      <c r="G24" s="1759">
        <f>SUM(G3,G12)-G23</f>
        <v>0</v>
      </c>
      <c r="H24" s="1759">
        <f>SUM(H3,H12)-H23</f>
        <v>0</v>
      </c>
      <c r="I24" s="1759">
        <f>SUM(I3,I12)-I23</f>
        <v>0</v>
      </c>
      <c r="J24" s="1759">
        <f>SUM(J3,J12)-J23</f>
        <v>0</v>
      </c>
      <c r="K24" s="1759">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9"/>
      <c r="I31" s="2240"/>
      <c r="J31" s="2240"/>
      <c r="K31" s="2240"/>
    </row>
    <row r="32" spans="1:11" x14ac:dyDescent="0.2">
      <c r="A32" s="806"/>
      <c r="B32" s="237"/>
      <c r="C32" s="237"/>
      <c r="D32" s="237"/>
      <c r="E32" s="802"/>
      <c r="F32" s="808" t="s">
        <v>540</v>
      </c>
      <c r="G32" s="761"/>
      <c r="H32" s="2241"/>
      <c r="I32" s="2240"/>
      <c r="J32" s="2240"/>
      <c r="K32" s="2240"/>
    </row>
    <row r="33" spans="1:11" ht="1.5" customHeight="1" x14ac:dyDescent="0.2">
      <c r="A33" s="809" t="s">
        <v>1169</v>
      </c>
      <c r="B33" s="364"/>
      <c r="C33" s="364"/>
      <c r="D33" s="364"/>
      <c r="E33" s="364"/>
      <c r="F33" s="364"/>
      <c r="G33" s="810"/>
      <c r="H33" s="2241"/>
      <c r="I33" s="2240"/>
      <c r="J33" s="2240"/>
      <c r="K33" s="224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09" t="s">
        <v>541</v>
      </c>
      <c r="B41" s="2210"/>
      <c r="C41" s="2210"/>
      <c r="D41" s="2210"/>
      <c r="E41" s="2210"/>
      <c r="F41" s="2211"/>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8" t="s">
        <v>1909</v>
      </c>
      <c r="B1" s="2249"/>
      <c r="C1" s="2250"/>
      <c r="D1" s="823"/>
      <c r="E1" s="824"/>
      <c r="F1" s="824"/>
      <c r="G1" s="825"/>
      <c r="H1" s="826"/>
      <c r="I1" s="827"/>
      <c r="J1" s="2246"/>
      <c r="K1" s="2247"/>
      <c r="L1" s="2247"/>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38250</v>
      </c>
      <c r="D5" s="838"/>
      <c r="E5" s="838"/>
      <c r="F5" s="1756">
        <f>(C5+D5)-E5</f>
        <v>38250</v>
      </c>
      <c r="G5" s="834"/>
      <c r="H5" s="839"/>
      <c r="I5" s="839"/>
      <c r="J5" s="839"/>
      <c r="K5" s="790"/>
      <c r="L5" s="1765">
        <f>F5-K5</f>
        <v>38250</v>
      </c>
    </row>
    <row r="6" spans="1:14" ht="14.25" thickTop="1" thickBot="1" x14ac:dyDescent="0.25">
      <c r="A6" s="775" t="s">
        <v>1117</v>
      </c>
      <c r="B6" s="837">
        <v>222</v>
      </c>
      <c r="C6" s="762">
        <v>0</v>
      </c>
      <c r="D6" s="762"/>
      <c r="E6" s="762"/>
      <c r="F6" s="1756">
        <f>(C6+D6)-E6</f>
        <v>0</v>
      </c>
      <c r="G6" s="834">
        <v>50</v>
      </c>
      <c r="H6" s="762">
        <v>0</v>
      </c>
      <c r="I6" s="762"/>
      <c r="J6" s="762"/>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5226128</v>
      </c>
      <c r="D8" s="841">
        <v>1037499</v>
      </c>
      <c r="E8" s="841"/>
      <c r="F8" s="1756">
        <f>(C8+D8)-E8</f>
        <v>6263627</v>
      </c>
      <c r="G8" s="840">
        <v>50</v>
      </c>
      <c r="H8" s="762">
        <v>3104971</v>
      </c>
      <c r="I8" s="762">
        <v>82692</v>
      </c>
      <c r="J8" s="762"/>
      <c r="K8" s="1765">
        <f>(H8+I8)-J8</f>
        <v>3187663</v>
      </c>
      <c r="L8" s="1765">
        <f>F8-K8</f>
        <v>3075964</v>
      </c>
    </row>
    <row r="9" spans="1:14" ht="14.25" thickTop="1" thickBot="1" x14ac:dyDescent="0.25">
      <c r="A9" s="775" t="s">
        <v>1119</v>
      </c>
      <c r="B9" s="837">
        <v>232</v>
      </c>
      <c r="C9" s="762">
        <v>0</v>
      </c>
      <c r="D9" s="762"/>
      <c r="E9" s="762"/>
      <c r="F9" s="1756">
        <f>(C9+D9)-E9</f>
        <v>0</v>
      </c>
      <c r="G9" s="840">
        <v>20</v>
      </c>
      <c r="H9" s="762">
        <v>0</v>
      </c>
      <c r="I9" s="762"/>
      <c r="J9" s="762"/>
      <c r="K9" s="1765">
        <f>(H9+I9)-J9</f>
        <v>0</v>
      </c>
      <c r="L9" s="1765">
        <f>F9-K9</f>
        <v>0</v>
      </c>
    </row>
    <row r="10" spans="1:14" ht="24" thickTop="1" thickBot="1" x14ac:dyDescent="0.25">
      <c r="A10" s="842" t="s">
        <v>1120</v>
      </c>
      <c r="B10" s="837">
        <v>240</v>
      </c>
      <c r="C10" s="843">
        <v>425959</v>
      </c>
      <c r="D10" s="843">
        <v>154717</v>
      </c>
      <c r="E10" s="843"/>
      <c r="F10" s="1760">
        <f>(C10+D10)-E10</f>
        <v>580676</v>
      </c>
      <c r="G10" s="840">
        <v>20</v>
      </c>
      <c r="H10" s="844">
        <v>373290</v>
      </c>
      <c r="I10" s="844">
        <v>11192</v>
      </c>
      <c r="J10" s="844"/>
      <c r="K10" s="1765">
        <f>(H10+I10)-J10</f>
        <v>384482</v>
      </c>
      <c r="L10" s="1765">
        <f>F10-K10</f>
        <v>196194</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345161</v>
      </c>
      <c r="D12" s="841">
        <v>35140</v>
      </c>
      <c r="E12" s="841">
        <v>23598</v>
      </c>
      <c r="F12" s="1756">
        <f>(C12+D12)-E12</f>
        <v>356703</v>
      </c>
      <c r="G12" s="840">
        <v>10</v>
      </c>
      <c r="H12" s="762">
        <v>178170</v>
      </c>
      <c r="I12" s="762">
        <v>35667</v>
      </c>
      <c r="J12" s="762">
        <v>23598</v>
      </c>
      <c r="K12" s="1765">
        <f>(H12+I12)-J12</f>
        <v>190239</v>
      </c>
      <c r="L12" s="1765">
        <f>F12-K12</f>
        <v>166464</v>
      </c>
    </row>
    <row r="13" spans="1:14" ht="14.25" thickTop="1" thickBot="1" x14ac:dyDescent="0.25">
      <c r="A13" s="845" t="s">
        <v>1122</v>
      </c>
      <c r="B13" s="837">
        <v>252</v>
      </c>
      <c r="C13" s="841">
        <v>396519</v>
      </c>
      <c r="D13" s="841">
        <v>31155</v>
      </c>
      <c r="E13" s="841">
        <v>25180</v>
      </c>
      <c r="F13" s="1756">
        <f>(C13+D13)-E13</f>
        <v>402494</v>
      </c>
      <c r="G13" s="840">
        <v>5</v>
      </c>
      <c r="H13" s="762">
        <v>396519</v>
      </c>
      <c r="I13" s="762">
        <v>6231</v>
      </c>
      <c r="J13" s="762">
        <v>25180</v>
      </c>
      <c r="K13" s="1765">
        <f>(H13+I13)-J13</f>
        <v>377570</v>
      </c>
      <c r="L13" s="1765">
        <f>F13-K13</f>
        <v>24924</v>
      </c>
    </row>
    <row r="14" spans="1:14" ht="14.25" thickTop="1" thickBot="1" x14ac:dyDescent="0.25">
      <c r="A14" s="845" t="s">
        <v>1123</v>
      </c>
      <c r="B14" s="837">
        <v>253</v>
      </c>
      <c r="C14" s="762">
        <v>0</v>
      </c>
      <c r="D14" s="762"/>
      <c r="E14" s="762"/>
      <c r="F14" s="1756">
        <f>(C14+D14)-E14</f>
        <v>0</v>
      </c>
      <c r="G14" s="840">
        <v>3</v>
      </c>
      <c r="H14" s="762">
        <v>0</v>
      </c>
      <c r="I14" s="762"/>
      <c r="J14" s="762"/>
      <c r="K14" s="1765">
        <f>(H14+I14)-J14</f>
        <v>0</v>
      </c>
      <c r="L14" s="1765">
        <f>F14-K14</f>
        <v>0</v>
      </c>
    </row>
    <row r="15" spans="1:14" ht="15" customHeight="1" thickTop="1" thickBot="1" x14ac:dyDescent="0.25">
      <c r="A15" s="1627" t="s">
        <v>528</v>
      </c>
      <c r="B15" s="1626">
        <v>260</v>
      </c>
      <c r="C15" s="841">
        <v>513353</v>
      </c>
      <c r="D15" s="841"/>
      <c r="E15" s="841">
        <v>513353</v>
      </c>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6945370</v>
      </c>
      <c r="D16" s="1756">
        <f>SUM(D3,D5:D6,D8:D10,D12:D15)</f>
        <v>1258511</v>
      </c>
      <c r="E16" s="1756">
        <f>SUM(E3,E5:E6,E8:E10,E12:E15)</f>
        <v>562131</v>
      </c>
      <c r="F16" s="1756">
        <f>SUM(F3,F5:F6,F8:F10,F12:F15)</f>
        <v>7641750</v>
      </c>
      <c r="G16" s="840"/>
      <c r="H16" s="1756">
        <f>SUM(H3,H6,H8:H10,H12:H14,)</f>
        <v>4052950</v>
      </c>
      <c r="I16" s="1756">
        <f>SUM(I3,I6,I8:I10,I12:I14,)</f>
        <v>135782</v>
      </c>
      <c r="J16" s="1756">
        <f>SUM(J3,J6,J8:J10,J12:J14,)</f>
        <v>48778</v>
      </c>
      <c r="K16" s="1756">
        <f>(H16+I16)-J16</f>
        <v>4139954</v>
      </c>
      <c r="L16" s="1756">
        <f>F16-K16</f>
        <v>3501796</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135782</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1" sqref="L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4" t="s">
        <v>1975</v>
      </c>
      <c r="B1" s="2255"/>
      <c r="C1" s="2255"/>
      <c r="D1" s="2255"/>
      <c r="E1" s="2255"/>
      <c r="F1" s="2256"/>
      <c r="G1" s="852"/>
    </row>
    <row r="2" spans="1:7" ht="15" customHeight="1" thickBot="1" x14ac:dyDescent="0.25">
      <c r="A2" s="2257" t="s">
        <v>477</v>
      </c>
      <c r="B2" s="2258"/>
      <c r="C2" s="2258"/>
      <c r="D2" s="2258"/>
      <c r="E2" s="2258"/>
      <c r="F2" s="2259"/>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0"/>
      <c r="B5" s="2261"/>
      <c r="C5" s="2261"/>
      <c r="D5" s="2261"/>
      <c r="E5" s="2261"/>
      <c r="F5" s="2261"/>
    </row>
    <row r="6" spans="1:7" ht="13.5" customHeight="1" thickBot="1" x14ac:dyDescent="0.25">
      <c r="A6" s="2251" t="s">
        <v>1104</v>
      </c>
      <c r="B6" s="2252"/>
      <c r="C6" s="2252"/>
      <c r="D6" s="2252"/>
      <c r="E6" s="2252"/>
      <c r="F6" s="2253"/>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3909154</v>
      </c>
      <c r="G8" s="862"/>
    </row>
    <row r="9" spans="1:7" x14ac:dyDescent="0.2">
      <c r="A9" s="866" t="s">
        <v>460</v>
      </c>
      <c r="B9" s="867" t="s">
        <v>1877</v>
      </c>
      <c r="C9" s="868"/>
      <c r="D9" s="866" t="s">
        <v>501</v>
      </c>
      <c r="E9" s="865"/>
      <c r="F9" s="1905">
        <f>'Expenditures 15-22'!K151</f>
        <v>399719</v>
      </c>
      <c r="G9" s="869"/>
    </row>
    <row r="10" spans="1:7" x14ac:dyDescent="0.2">
      <c r="A10" s="866" t="s">
        <v>499</v>
      </c>
      <c r="B10" s="867" t="s">
        <v>1878</v>
      </c>
      <c r="C10" s="868"/>
      <c r="D10" s="866" t="s">
        <v>501</v>
      </c>
      <c r="E10" s="865"/>
      <c r="F10" s="1905">
        <f>'Expenditures 15-22'!K174</f>
        <v>439716</v>
      </c>
      <c r="G10" s="869"/>
    </row>
    <row r="11" spans="1:7" x14ac:dyDescent="0.2">
      <c r="A11" s="866" t="s">
        <v>461</v>
      </c>
      <c r="B11" s="867" t="s">
        <v>1879</v>
      </c>
      <c r="C11" s="868"/>
      <c r="D11" s="866" t="s">
        <v>501</v>
      </c>
      <c r="E11" s="865"/>
      <c r="F11" s="1905">
        <f>'Expenditures 15-22'!K210</f>
        <v>315506</v>
      </c>
      <c r="G11" s="869"/>
    </row>
    <row r="12" spans="1:7" x14ac:dyDescent="0.2">
      <c r="A12" s="866" t="s">
        <v>462</v>
      </c>
      <c r="B12" s="867" t="s">
        <v>1880</v>
      </c>
      <c r="C12" s="868"/>
      <c r="D12" s="866" t="s">
        <v>501</v>
      </c>
      <c r="E12" s="865"/>
      <c r="F12" s="1905">
        <f>'Expenditures 15-22'!K295</f>
        <v>165181</v>
      </c>
      <c r="G12" s="869"/>
    </row>
    <row r="13" spans="1:7" x14ac:dyDescent="0.2">
      <c r="A13" s="866" t="s">
        <v>106</v>
      </c>
      <c r="B13" s="867" t="s">
        <v>1881</v>
      </c>
      <c r="C13" s="868"/>
      <c r="D13" s="866" t="s">
        <v>501</v>
      </c>
      <c r="E13" s="865"/>
      <c r="F13" s="1905">
        <f>'Expenditures 15-22'!K342</f>
        <v>419091</v>
      </c>
      <c r="G13" s="870"/>
    </row>
    <row r="14" spans="1:7" ht="12" customHeight="1" thickBot="1" x14ac:dyDescent="0.25">
      <c r="A14" s="1766"/>
      <c r="B14" s="1767"/>
      <c r="C14" s="1768"/>
      <c r="D14" s="1769" t="s">
        <v>501</v>
      </c>
      <c r="E14" s="1770" t="s">
        <v>958</v>
      </c>
      <c r="F14" s="1771">
        <f>SUM(F8:F13)</f>
        <v>5648367</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0</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59844</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3830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12003</v>
      </c>
      <c r="G52" s="862"/>
    </row>
    <row r="53" spans="1:7" x14ac:dyDescent="0.2">
      <c r="A53" s="866" t="s">
        <v>459</v>
      </c>
      <c r="B53" s="866" t="s">
        <v>1475</v>
      </c>
      <c r="C53" s="886">
        <f>'Expenditures 15-22'!B102</f>
        <v>4000</v>
      </c>
      <c r="D53" s="885" t="str">
        <f>'Expenditures 15-22'!A102</f>
        <v>Total Payments to Other Govt Units</v>
      </c>
      <c r="E53" s="865"/>
      <c r="F53" s="1909">
        <f>'Expenditures 15-22'!K102</f>
        <v>222682</v>
      </c>
      <c r="G53" s="862"/>
    </row>
    <row r="54" spans="1:7" x14ac:dyDescent="0.2">
      <c r="A54" s="866" t="s">
        <v>459</v>
      </c>
      <c r="B54" s="866" t="s">
        <v>1476</v>
      </c>
      <c r="C54" s="886" t="s">
        <v>982</v>
      </c>
      <c r="D54" s="882" t="s">
        <v>1095</v>
      </c>
      <c r="E54" s="865"/>
      <c r="F54" s="1909">
        <f>'Expenditures 15-22'!G114</f>
        <v>0</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3600</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383000</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7658</v>
      </c>
      <c r="G63" s="862"/>
    </row>
    <row r="64" spans="1:7" x14ac:dyDescent="0.2">
      <c r="A64" s="892" t="s">
        <v>461</v>
      </c>
      <c r="B64" s="892" t="s">
        <v>1889</v>
      </c>
      <c r="C64" s="893" t="str">
        <f>'Expenditures 15-22'!B206</f>
        <v>5300</v>
      </c>
      <c r="D64" s="889" t="s">
        <v>311</v>
      </c>
      <c r="E64" s="865"/>
      <c r="F64" s="1909">
        <f>'Expenditures 15-22'!K206</f>
        <v>0</v>
      </c>
      <c r="G64" s="862"/>
    </row>
    <row r="65" spans="1:8" x14ac:dyDescent="0.2">
      <c r="A65" s="866" t="s">
        <v>461</v>
      </c>
      <c r="B65" s="866" t="s">
        <v>1890</v>
      </c>
      <c r="C65" s="883" t="s">
        <v>982</v>
      </c>
      <c r="D65" s="882" t="s">
        <v>1095</v>
      </c>
      <c r="E65" s="865"/>
      <c r="F65" s="1909">
        <f>'Expenditures 15-22'!G210</f>
        <v>31155</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2418</v>
      </c>
      <c r="G67" s="862"/>
    </row>
    <row r="68" spans="1:8" x14ac:dyDescent="0.2">
      <c r="A68" s="866" t="s">
        <v>462</v>
      </c>
      <c r="B68" s="866" t="s">
        <v>1479</v>
      </c>
      <c r="C68" s="883" t="str">
        <f>'Expenditures 15-22'!B218</f>
        <v>1225</v>
      </c>
      <c r="D68" s="889" t="str">
        <f>'Expenditures 15-22'!A218</f>
        <v>Special Education Programs - Pre-K</v>
      </c>
      <c r="E68" s="865"/>
      <c r="F68" s="1909">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0</v>
      </c>
      <c r="G71" s="862"/>
    </row>
    <row r="72" spans="1:8" x14ac:dyDescent="0.2">
      <c r="A72" s="866" t="s">
        <v>462</v>
      </c>
      <c r="B72" s="866" t="s">
        <v>1896</v>
      </c>
      <c r="C72" s="883">
        <f>'Expenditures 15-22'!B280</f>
        <v>3000</v>
      </c>
      <c r="D72" s="873" t="s">
        <v>449</v>
      </c>
      <c r="E72" s="865"/>
      <c r="F72" s="1909">
        <f>'Expenditures 15-22'!K280</f>
        <v>2007</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728197</v>
      </c>
      <c r="G76" s="862"/>
    </row>
    <row r="77" spans="1:8" s="890" customFormat="1" ht="12" customHeight="1" thickTop="1" thickBot="1" x14ac:dyDescent="0.25">
      <c r="A77" s="1775"/>
      <c r="B77" s="1772"/>
      <c r="C77" s="1768"/>
      <c r="D77" s="1773" t="s">
        <v>1900</v>
      </c>
      <c r="E77" s="1770"/>
      <c r="F77" s="1776">
        <f>(F14-F76)</f>
        <v>4920170</v>
      </c>
      <c r="G77" s="866"/>
    </row>
    <row r="78" spans="1:8" s="890" customFormat="1" ht="12" customHeight="1" thickTop="1" x14ac:dyDescent="0.2">
      <c r="A78" s="1777"/>
      <c r="B78" s="1772"/>
      <c r="C78" s="1768"/>
      <c r="D78" s="1773" t="s">
        <v>2062</v>
      </c>
      <c r="E78" s="1770"/>
      <c r="F78" s="895">
        <v>405.4</v>
      </c>
      <c r="G78" s="896"/>
      <c r="H78" s="866"/>
    </row>
    <row r="79" spans="1:8" s="890" customFormat="1" ht="12" customHeight="1" thickBot="1" x14ac:dyDescent="0.25">
      <c r="A79" s="1778"/>
      <c r="B79" s="1772"/>
      <c r="C79" s="1768"/>
      <c r="D79" s="1773" t="s">
        <v>1901</v>
      </c>
      <c r="E79" s="1770" t="s">
        <v>958</v>
      </c>
      <c r="F79" s="1779">
        <f>IF(F78&gt;0,F77/F78," Complete Line 78")</f>
        <v>12136.581154415393</v>
      </c>
      <c r="G79" s="866"/>
    </row>
    <row r="80" spans="1:8" s="890" customFormat="1" ht="8.25" customHeight="1" thickTop="1" x14ac:dyDescent="0.2">
      <c r="A80" s="897"/>
      <c r="B80" s="866"/>
      <c r="C80" s="868"/>
      <c r="D80" s="898"/>
      <c r="E80" s="865"/>
      <c r="F80" s="899"/>
      <c r="G80" s="866"/>
    </row>
    <row r="81" spans="1:7" s="890" customFormat="1" ht="12" thickBot="1" x14ac:dyDescent="0.25">
      <c r="A81" s="2251" t="s">
        <v>1105</v>
      </c>
      <c r="B81" s="2252"/>
      <c r="C81" s="2252"/>
      <c r="D81" s="2252"/>
      <c r="E81" s="2252"/>
      <c r="F81" s="2253"/>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174</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1496</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115912</v>
      </c>
      <c r="G94" s="909"/>
    </row>
    <row r="95" spans="1:7" x14ac:dyDescent="0.2">
      <c r="A95" s="905" t="s">
        <v>140</v>
      </c>
      <c r="B95" s="905" t="s">
        <v>175</v>
      </c>
      <c r="C95" s="907">
        <v>1700</v>
      </c>
      <c r="D95" s="915" t="str">
        <f>'Revenues 9-14'!A82</f>
        <v>Total District/School Activity Income</v>
      </c>
      <c r="E95" s="903"/>
      <c r="F95" s="1785">
        <f>SUM('Revenues 9-14'!C82,'Revenues 9-14'!D82)</f>
        <v>27522</v>
      </c>
      <c r="G95" s="909"/>
    </row>
    <row r="96" spans="1:7" x14ac:dyDescent="0.2">
      <c r="A96" s="905" t="s">
        <v>459</v>
      </c>
      <c r="B96" s="905" t="s">
        <v>176</v>
      </c>
      <c r="C96" s="907">
        <f>'Revenues 9-14'!B84</f>
        <v>1811</v>
      </c>
      <c r="D96" s="908" t="str">
        <f>'Revenues 9-14'!A84</f>
        <v>Rentals - Regular Textbooks</v>
      </c>
      <c r="E96" s="903"/>
      <c r="F96" s="1785">
        <f>'Revenues 9-14'!C84</f>
        <v>19490</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71993</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5">
        <f>('Revenues 9-14'!C106)</f>
        <v>0</v>
      </c>
      <c r="G104" s="909"/>
    </row>
    <row r="105" spans="1:7" x14ac:dyDescent="0.2">
      <c r="A105" s="905" t="s">
        <v>503</v>
      </c>
      <c r="B105" s="905" t="s">
        <v>2003</v>
      </c>
      <c r="C105" s="910">
        <v>3100</v>
      </c>
      <c r="D105" s="916" t="str">
        <f>'Revenues 9-14'!A132</f>
        <v>Total Special Education</v>
      </c>
      <c r="E105" s="903"/>
      <c r="F105" s="1785">
        <f>SUM('Revenues 9-14'!C132:D132,'Revenues 9-14'!F132)</f>
        <v>18429</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29103</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1798</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7294</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190135</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43048</v>
      </c>
      <c r="G123" s="927"/>
    </row>
    <row r="124" spans="1:7" x14ac:dyDescent="0.2">
      <c r="A124" s="924" t="s">
        <v>668</v>
      </c>
      <c r="B124" s="924" t="s">
        <v>2022</v>
      </c>
      <c r="C124" s="929">
        <v>4100</v>
      </c>
      <c r="D124" s="930" t="str">
        <f>'Revenues 9-14'!A188</f>
        <v>Total Title V</v>
      </c>
      <c r="E124" s="903"/>
      <c r="F124" s="1785">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5">
        <f>SUM('Revenues 9-14'!C198,'Revenues 9-14'!G198)</f>
        <v>106621</v>
      </c>
      <c r="G125" s="927"/>
    </row>
    <row r="126" spans="1:7" x14ac:dyDescent="0.2">
      <c r="A126" s="924" t="s">
        <v>668</v>
      </c>
      <c r="B126" s="924" t="s">
        <v>2024</v>
      </c>
      <c r="C126" s="929">
        <v>4300</v>
      </c>
      <c r="D126" s="930" t="str">
        <f>'Revenues 9-14'!A204</f>
        <v>Total Title I</v>
      </c>
      <c r="E126" s="903"/>
      <c r="F126" s="1785">
        <f>SUM('Revenues 9-14'!C204,'Revenues 9-14'!D204,'Revenues 9-14'!F204,'Revenues 9-14'!G204)</f>
        <v>51055</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126405</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14543</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5290</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6058</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104275</v>
      </c>
      <c r="G171" s="924"/>
    </row>
    <row r="172" spans="1:7" x14ac:dyDescent="0.2">
      <c r="A172" s="1914" t="s">
        <v>664</v>
      </c>
      <c r="B172" s="1915" t="s">
        <v>1920</v>
      </c>
      <c r="C172" s="1916">
        <v>3300</v>
      </c>
      <c r="D172" s="1917" t="s">
        <v>1923</v>
      </c>
      <c r="E172" s="903"/>
      <c r="F172" s="1902">
        <v>0</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941391</v>
      </c>
    </row>
    <row r="175" spans="1:7" ht="12" customHeight="1" x14ac:dyDescent="0.2">
      <c r="A175" s="1766"/>
      <c r="B175" s="1780"/>
      <c r="C175" s="1781"/>
      <c r="D175" s="1782" t="s">
        <v>2057</v>
      </c>
      <c r="E175" s="1783"/>
      <c r="F175" s="1785">
        <f>'PCTC-OEPP 27-28'!F77-F174</f>
        <v>3978779</v>
      </c>
    </row>
    <row r="176" spans="1:7" ht="12" customHeight="1" x14ac:dyDescent="0.2">
      <c r="A176" s="1766"/>
      <c r="B176" s="1780"/>
      <c r="C176" s="1781"/>
      <c r="D176" s="1782" t="s">
        <v>1817</v>
      </c>
      <c r="E176" s="1783"/>
      <c r="F176" s="1785">
        <f>'Cap Outlay Deprec 26'!I18</f>
        <v>135782</v>
      </c>
    </row>
    <row r="177" spans="1:7" ht="12" customHeight="1" x14ac:dyDescent="0.2">
      <c r="A177" s="1766"/>
      <c r="B177" s="1780"/>
      <c r="C177" s="1781"/>
      <c r="D177" s="1782" t="s">
        <v>2058</v>
      </c>
      <c r="E177" s="1783"/>
      <c r="F177" s="1785">
        <f>F175+F176</f>
        <v>4114561</v>
      </c>
    </row>
    <row r="178" spans="1:7" ht="12" customHeight="1" x14ac:dyDescent="0.2">
      <c r="A178" s="1766"/>
      <c r="B178" s="1786"/>
      <c r="C178" s="1781"/>
      <c r="D178" s="1782" t="str">
        <f>D78</f>
        <v>9 Month ADA from District Average Daily Attendance/Prior General State Aid Inquiry 2018-2019</v>
      </c>
      <c r="E178" s="1783"/>
      <c r="F178" s="1787">
        <f>'PCTC-OEPP 27-28'!F78</f>
        <v>405.4</v>
      </c>
      <c r="G178" s="927"/>
    </row>
    <row r="179" spans="1:7" ht="12" customHeight="1" thickBot="1" x14ac:dyDescent="0.25">
      <c r="A179" s="1766"/>
      <c r="B179" s="1786"/>
      <c r="C179" s="1781"/>
      <c r="D179" s="1782" t="s">
        <v>2059</v>
      </c>
      <c r="E179" s="1783" t="s">
        <v>1545</v>
      </c>
      <c r="F179" s="1788">
        <f>F177/F178</f>
        <v>10149.385791810559</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L31" sqref="L31"/>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65" t="s">
        <v>1818</v>
      </c>
      <c r="B4" s="2266"/>
      <c r="C4" s="2266"/>
      <c r="D4" s="2266"/>
      <c r="E4" s="2266"/>
      <c r="F4" s="2266"/>
      <c r="G4" s="2267"/>
    </row>
    <row r="5" spans="1:7" x14ac:dyDescent="0.25">
      <c r="A5" s="2268"/>
      <c r="B5" s="2269"/>
      <c r="C5" s="2269"/>
      <c r="D5" s="2269"/>
      <c r="E5" s="2269"/>
      <c r="F5" s="2269"/>
      <c r="G5" s="2270"/>
    </row>
    <row r="6" spans="1:7" ht="18.75" x14ac:dyDescent="0.25">
      <c r="A6" s="1530" t="s">
        <v>1819</v>
      </c>
      <c r="B6" s="1531"/>
      <c r="C6" s="1531"/>
      <c r="D6" s="1531"/>
      <c r="E6" s="1531"/>
      <c r="F6" s="1531"/>
      <c r="G6" s="1532"/>
    </row>
    <row r="7" spans="1:7" ht="30.75" customHeight="1" x14ac:dyDescent="0.25">
      <c r="A7" s="2271" t="s">
        <v>1932</v>
      </c>
      <c r="B7" s="2272"/>
      <c r="C7" s="2272"/>
      <c r="D7" s="2272"/>
      <c r="E7" s="2272"/>
      <c r="F7" s="2272"/>
      <c r="G7" s="2273"/>
    </row>
    <row r="8" spans="1:7" ht="15.75" customHeight="1" x14ac:dyDescent="0.25">
      <c r="A8" s="2274" t="s">
        <v>1907</v>
      </c>
      <c r="B8" s="2275"/>
      <c r="C8" s="2275"/>
      <c r="D8" s="2275"/>
      <c r="E8" s="2275"/>
      <c r="F8" s="2275"/>
      <c r="G8" s="2276"/>
    </row>
    <row r="9" spans="1:7" ht="35.25" customHeight="1" x14ac:dyDescent="0.25">
      <c r="A9" s="2271" t="s">
        <v>1935</v>
      </c>
      <c r="B9" s="2272"/>
      <c r="C9" s="2272"/>
      <c r="D9" s="2272"/>
      <c r="E9" s="2272"/>
      <c r="F9" s="2272"/>
      <c r="G9" s="2273"/>
    </row>
    <row r="10" spans="1:7" ht="15" customHeight="1" x14ac:dyDescent="0.25">
      <c r="A10" s="1533" t="s">
        <v>1820</v>
      </c>
      <c r="B10" s="1534"/>
      <c r="C10" s="1534"/>
      <c r="D10" s="1534"/>
      <c r="E10" s="1534"/>
      <c r="F10" s="1534"/>
      <c r="G10" s="1535"/>
    </row>
    <row r="11" spans="1:7" ht="17.25" customHeight="1" x14ac:dyDescent="0.25">
      <c r="A11" s="2271" t="s">
        <v>1934</v>
      </c>
      <c r="B11" s="2272"/>
      <c r="C11" s="2272"/>
      <c r="D11" s="2272"/>
      <c r="E11" s="2272"/>
      <c r="F11" s="2272"/>
      <c r="G11" s="2273"/>
    </row>
    <row r="12" spans="1:7" ht="15" customHeight="1" x14ac:dyDescent="0.25">
      <c r="A12" s="1533" t="s">
        <v>1825</v>
      </c>
      <c r="B12" s="1534"/>
      <c r="C12" s="1534"/>
      <c r="D12" s="1534"/>
      <c r="E12" s="1534"/>
      <c r="F12" s="1534"/>
      <c r="G12" s="1535"/>
    </row>
    <row r="13" spans="1:7" ht="32.25" customHeight="1" x14ac:dyDescent="0.25">
      <c r="A13" s="2262" t="s">
        <v>1976</v>
      </c>
      <c r="B13" s="2263"/>
      <c r="C13" s="2263"/>
      <c r="D13" s="2263"/>
      <c r="E13" s="2263"/>
      <c r="F13" s="2263"/>
      <c r="G13" s="2264"/>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35" t="s">
        <v>2095</v>
      </c>
      <c r="B17" s="1933"/>
      <c r="C17" s="1934"/>
      <c r="D17" s="1840"/>
      <c r="E17" s="1536">
        <f t="shared" ref="E17:E141" si="0">IF(D17&lt;=25000,D17,IF(D17&gt;25000,25000,0))</f>
        <v>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89">
        <f>IF(F17=0,0,D17-F17)</f>
        <v>0</v>
      </c>
      <c r="H17" s="1643"/>
    </row>
    <row r="18" spans="1:8" x14ac:dyDescent="0.25">
      <c r="A18" s="1649"/>
      <c r="B18" s="1930"/>
      <c r="C18" s="1652"/>
      <c r="D18" s="1840"/>
      <c r="E18" s="1536">
        <f t="shared" ref="E18:E140" si="2">IF(D18&lt;=25000,D18,IF(D18&gt;25000,25000,0))</f>
        <v>0</v>
      </c>
      <c r="F18" s="1928">
        <f t="shared" si="1"/>
        <v>0</v>
      </c>
      <c r="G18" s="1789">
        <f t="shared" ref="G18:G140" si="3">IF(F18=0,0,D18-F18)</f>
        <v>0</v>
      </c>
    </row>
    <row r="19" spans="1:8" x14ac:dyDescent="0.25">
      <c r="A19" s="1649"/>
      <c r="B19" s="1930"/>
      <c r="C19" s="1652"/>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0</v>
      </c>
      <c r="E141" s="1537">
        <f t="shared" si="0"/>
        <v>0</v>
      </c>
      <c r="F141" s="1929">
        <f>SUM(F17:F140)</f>
        <v>0</v>
      </c>
      <c r="G141" s="1791">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7" t="s">
        <v>1679</v>
      </c>
      <c r="B5" s="2278"/>
      <c r="C5" s="2278"/>
      <c r="D5" s="2278"/>
      <c r="E5" s="2278"/>
      <c r="F5" s="2278"/>
      <c r="G5" s="2279"/>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106908</v>
      </c>
      <c r="F10" s="971"/>
      <c r="G10" s="972"/>
      <c r="H10" s="162"/>
      <c r="I10" s="162"/>
    </row>
    <row r="11" spans="1:9" s="665" customFormat="1" ht="22.5" customHeight="1" x14ac:dyDescent="0.2">
      <c r="A11" s="2282" t="s">
        <v>1977</v>
      </c>
      <c r="B11" s="2283"/>
      <c r="C11" s="2283"/>
      <c r="D11" s="2284"/>
      <c r="E11" s="974">
        <v>17712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2950263</v>
      </c>
      <c r="F19" s="1795"/>
      <c r="G19" s="1797">
        <f>'Expenditures 15-22'!K33-SUM('Expenditures 15-22'!G33,'Expenditures 15-22'!I33)+'Expenditures 15-22'!D229</f>
        <v>2950263</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17044</v>
      </c>
      <c r="F21" s="1798"/>
      <c r="G21" s="1801">
        <f>'Expenditures 15-22'!K42-SUM('Expenditures 15-22'!G42,'Expenditures 15-22'!I42)+'Expenditures 15-22'!K120-SUM('Expenditures 15-22'!G120,'Expenditures 15-22'!I120)+'Expenditures 15-22'!K180-SUM('Expenditures 15-22'!G180,'Expenditures 15-22'!I180)+'Expenditures 15-22'!D238</f>
        <v>17044</v>
      </c>
      <c r="H21" s="984"/>
      <c r="I21" s="162"/>
    </row>
    <row r="22" spans="1:9" s="665" customFormat="1" ht="12" customHeight="1" x14ac:dyDescent="0.2">
      <c r="A22" s="991" t="s">
        <v>564</v>
      </c>
      <c r="B22" s="992"/>
      <c r="C22" s="990">
        <v>2200</v>
      </c>
      <c r="D22" s="1798"/>
      <c r="E22" s="1800">
        <f>'Expenditures 15-22'!K47-SUM('Expenditures 15-22'!G47,'Expenditures 15-22'!I47)+'Expenditures 15-22'!D243</f>
        <v>53085</v>
      </c>
      <c r="F22" s="1798"/>
      <c r="G22" s="1801">
        <f>'Expenditures 15-22'!K47-SUM('Expenditures 15-22'!G47,'Expenditures 15-22'!I47)+'Expenditures 15-22'!D243</f>
        <v>53085</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534500</v>
      </c>
      <c r="F23" s="1798"/>
      <c r="G23" s="1800">
        <f>'Expenditures 15-22'!K53-SUM('Expenditures 15-22'!G53,'Expenditures 15-22'!I53)+'Expenditures 15-22'!D257+'Expenditures 15-22'!K330-SUM('Expenditures 15-22'!G330,'Expenditures 15-22'!I330)</f>
        <v>534500</v>
      </c>
      <c r="H23" s="984"/>
      <c r="I23" s="162"/>
    </row>
    <row r="24" spans="1:9" s="665" customFormat="1" ht="12" customHeight="1" x14ac:dyDescent="0.2">
      <c r="A24" s="991" t="s">
        <v>566</v>
      </c>
      <c r="B24" s="992"/>
      <c r="C24" s="990">
        <v>2400</v>
      </c>
      <c r="D24" s="1798"/>
      <c r="E24" s="1800">
        <f>'Expenditures 15-22'!K57-SUM('Expenditures 15-22'!G57,'Expenditures 15-22'!I57)+'Expenditures 15-22'!D261</f>
        <v>316685</v>
      </c>
      <c r="F24" s="1798"/>
      <c r="G24" s="1801">
        <f>'Expenditures 15-22'!K57-SUM('Expenditures 15-22'!G57,'Expenditures 15-22'!I57)+'Expenditures 15-22'!D261</f>
        <v>316685</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133938</v>
      </c>
      <c r="E27" s="1800">
        <f>E8</f>
        <v>0</v>
      </c>
      <c r="F27" s="1800">
        <f>'Expenditures 15-22'!K60-SUM('Expenditures 15-22'!G60,'Expenditures 15-22'!I60)+'Expenditures 15-22'!D264-E8</f>
        <v>133938</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415843</v>
      </c>
      <c r="F28" s="1802">
        <f>'Expenditures 15-22'!K61-SUM('Expenditures 15-22'!G61,'Expenditures 15-22'!I61)+'Expenditures 15-22'!K124-SUM('Expenditures 15-22'!G124,'Expenditures 15-22'!I124)+'Expenditures 15-22'!D266-E9</f>
        <v>415843</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299737</v>
      </c>
      <c r="F29" s="1798"/>
      <c r="G29" s="1801">
        <f>'Expenditures 15-22'!K62-SUM('Expenditures 15-22'!G62,'Expenditures 15-22'!I62)+'Expenditures 15-22'!K125-SUM('Expenditures 15-22'!G125,'Expenditures 15-22'!I125)+'Expenditures 15-22'!K182-SUM('Expenditures 15-22'!G182,'Expenditures 15-22'!I182)+'Expenditures 15-22'!D267</f>
        <v>299737</v>
      </c>
      <c r="H29" s="982"/>
    </row>
    <row r="30" spans="1:9" ht="12" customHeight="1" x14ac:dyDescent="0.2">
      <c r="A30" s="991" t="s">
        <v>100</v>
      </c>
      <c r="B30" s="994"/>
      <c r="C30" s="990">
        <v>2560</v>
      </c>
      <c r="D30" s="1798"/>
      <c r="E30" s="1800">
        <f>'Expenditures 15-22'!K63-SUM('Expenditures 15-22'!G63,'Expenditures 15-22'!I63)+'Expenditures 15-22'!D268-E10</f>
        <v>101543</v>
      </c>
      <c r="F30" s="1798"/>
      <c r="G30" s="1800">
        <f>'Expenditures 15-22'!K63-SUM('Expenditures 15-22'!G63,'Expenditures 15-22'!I63)+'Expenditures 15-22'!D268-E10</f>
        <v>101543</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14010</v>
      </c>
      <c r="F39" s="1798"/>
      <c r="G39" s="1800">
        <f>'Expenditures 15-22'!K75-SUM('Expenditures 15-22'!G75,'Expenditures 15-22'!I75)+'Expenditures 15-22'!K130-SUM('Expenditures 15-22'!G130,'Expenditures 15-22'!I130)+'Expenditures 15-22'!K185-SUM('Expenditures 15-22'!G185,'Expenditures 15-22'!I185)+'Expenditures 15-22'!D280</f>
        <v>14010</v>
      </c>
    </row>
    <row r="40" spans="1:7" ht="12" customHeight="1" x14ac:dyDescent="0.2">
      <c r="A40" s="987" t="s">
        <v>1823</v>
      </c>
      <c r="B40" s="988"/>
      <c r="C40" s="990"/>
      <c r="D40" s="1798"/>
      <c r="E40" s="1802">
        <f>-'Contracts Paid in CY 29'!G141</f>
        <v>0</v>
      </c>
      <c r="F40" s="1798"/>
      <c r="G40" s="1802">
        <f>-'Contracts Paid in CY 29'!G141</f>
        <v>0</v>
      </c>
    </row>
    <row r="41" spans="1:7" ht="12" customHeight="1" x14ac:dyDescent="0.2">
      <c r="A41" s="995" t="s">
        <v>156</v>
      </c>
      <c r="B41" s="996"/>
      <c r="C41" s="997"/>
      <c r="D41" s="1802">
        <f>SUM(D19:D39)</f>
        <v>133938</v>
      </c>
      <c r="E41" s="1802">
        <f>SUM(E19:E40)</f>
        <v>4702710</v>
      </c>
      <c r="F41" s="1802">
        <f>SUM(F19:F39)</f>
        <v>549781</v>
      </c>
      <c r="G41" s="1802">
        <f>SUM(G19:G40)</f>
        <v>4286867</v>
      </c>
    </row>
    <row r="42" spans="1:7" x14ac:dyDescent="0.2">
      <c r="A42" s="984"/>
      <c r="B42" s="162"/>
      <c r="C42" s="998"/>
      <c r="D42" s="2280" t="s">
        <v>522</v>
      </c>
      <c r="E42" s="2281"/>
      <c r="F42" s="999" t="s">
        <v>523</v>
      </c>
      <c r="G42" s="1000"/>
    </row>
    <row r="43" spans="1:7" ht="12" customHeight="1" x14ac:dyDescent="0.2">
      <c r="A43" s="984"/>
      <c r="B43" s="162"/>
      <c r="C43" s="998"/>
      <c r="D43" s="1803" t="s">
        <v>473</v>
      </c>
      <c r="E43" s="1804">
        <f>D41</f>
        <v>133938</v>
      </c>
      <c r="F43" s="1803" t="s">
        <v>473</v>
      </c>
      <c r="G43" s="1804">
        <f>F41</f>
        <v>549781</v>
      </c>
    </row>
    <row r="44" spans="1:7" ht="12" customHeight="1" x14ac:dyDescent="0.2">
      <c r="A44" s="984"/>
      <c r="B44" s="162"/>
      <c r="C44" s="998"/>
      <c r="D44" s="1803" t="s">
        <v>474</v>
      </c>
      <c r="E44" s="1804">
        <f>E41</f>
        <v>4702710</v>
      </c>
      <c r="F44" s="1803" t="s">
        <v>474</v>
      </c>
      <c r="G44" s="1804">
        <f>G41</f>
        <v>4286867</v>
      </c>
    </row>
    <row r="45" spans="1:7" ht="12" customHeight="1" x14ac:dyDescent="0.2">
      <c r="A45" s="984"/>
      <c r="B45" s="162"/>
      <c r="C45" s="162"/>
      <c r="D45" s="1805" t="s">
        <v>1006</v>
      </c>
      <c r="E45" s="1806">
        <f>(E43/E44)</f>
        <v>2.8481024770823631E-2</v>
      </c>
      <c r="F45" s="1805" t="s">
        <v>1006</v>
      </c>
      <c r="G45" s="1806">
        <f>(G43/G44)</f>
        <v>0.12824773896647598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288" t="s">
        <v>1379</v>
      </c>
      <c r="B1" s="2288"/>
      <c r="C1" s="2288"/>
      <c r="D1" s="2288"/>
      <c r="E1" s="2288"/>
      <c r="F1" s="2288"/>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289" t="s">
        <v>1546</v>
      </c>
      <c r="B5" s="2290"/>
      <c r="C5" s="2291"/>
      <c r="D5" s="2291"/>
      <c r="E5" s="2291"/>
      <c r="F5" s="2291"/>
    </row>
    <row r="6" spans="1:10" ht="12" customHeight="1" x14ac:dyDescent="0.25">
      <c r="A6" s="1846"/>
      <c r="B6" s="1847"/>
      <c r="C6" s="2292" t="str">
        <f>COVER!A17</f>
        <v>Cambridge CUSD 227</v>
      </c>
      <c r="D6" s="2292"/>
      <c r="E6" s="2292"/>
      <c r="F6" s="1848"/>
    </row>
    <row r="7" spans="1:10" ht="11.25" customHeight="1" thickBot="1" x14ac:dyDescent="0.3">
      <c r="A7" s="1846"/>
      <c r="B7" s="1847"/>
      <c r="C7" s="2293">
        <f>COVER!A13</f>
        <v>28037227026</v>
      </c>
      <c r="D7" s="2293"/>
      <c r="E7" s="2293"/>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t="s">
        <v>2070</v>
      </c>
      <c r="D13" s="1861" t="s">
        <v>2070</v>
      </c>
      <c r="E13" s="1864"/>
      <c r="F13" s="1863" t="s">
        <v>2084</v>
      </c>
      <c r="H13" s="1874">
        <f t="shared" si="0"/>
        <v>5</v>
      </c>
      <c r="I13" s="1874">
        <f t="shared" si="1"/>
        <v>5</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t="s">
        <v>2070</v>
      </c>
      <c r="D15" s="1861" t="s">
        <v>2070</v>
      </c>
      <c r="E15" s="1864"/>
      <c r="F15" s="1863" t="s">
        <v>2085</v>
      </c>
      <c r="H15" s="1874">
        <f t="shared" si="0"/>
        <v>5</v>
      </c>
      <c r="I15" s="1874">
        <f t="shared" si="1"/>
        <v>5</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t="s">
        <v>2070</v>
      </c>
      <c r="D19" s="1861" t="s">
        <v>2070</v>
      </c>
      <c r="E19" s="1864"/>
      <c r="F19" s="1863" t="s">
        <v>2086</v>
      </c>
      <c r="H19" s="1874">
        <f t="shared" si="0"/>
        <v>5</v>
      </c>
      <c r="I19" s="1874">
        <f t="shared" si="1"/>
        <v>5</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t="s">
        <v>2070</v>
      </c>
      <c r="D24" s="1861" t="s">
        <v>2070</v>
      </c>
      <c r="E24" s="1864"/>
      <c r="F24" s="1863" t="s">
        <v>2087</v>
      </c>
      <c r="H24" s="1874">
        <f t="shared" si="0"/>
        <v>5</v>
      </c>
      <c r="I24" s="1874">
        <f t="shared" si="1"/>
        <v>5</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2070</v>
      </c>
      <c r="D26" s="1861" t="s">
        <v>2070</v>
      </c>
      <c r="E26" s="1864"/>
      <c r="F26" s="1863" t="s">
        <v>2088</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t="s">
        <v>2070</v>
      </c>
      <c r="D31" s="1861" t="s">
        <v>2070</v>
      </c>
      <c r="E31" s="1864"/>
      <c r="F31" s="1863" t="s">
        <v>2089</v>
      </c>
      <c r="H31" s="1874">
        <f t="shared" si="0"/>
        <v>5</v>
      </c>
      <c r="I31" s="1874">
        <f t="shared" si="1"/>
        <v>5</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t="s">
        <v>2070</v>
      </c>
      <c r="D33" s="1861" t="s">
        <v>2070</v>
      </c>
      <c r="E33" s="1864"/>
      <c r="F33" s="1863"/>
      <c r="H33" s="1874">
        <f t="shared" si="0"/>
        <v>5</v>
      </c>
      <c r="I33" s="1874">
        <f t="shared" si="1"/>
        <v>5</v>
      </c>
      <c r="J33" s="1874">
        <f t="shared" si="2"/>
        <v>0</v>
      </c>
    </row>
    <row r="34" spans="1:11" ht="12" customHeight="1" x14ac:dyDescent="0.25">
      <c r="A34" s="1866"/>
      <c r="B34" s="1866"/>
      <c r="C34" s="1866"/>
      <c r="D34" s="1866"/>
      <c r="E34" s="1866"/>
      <c r="F34" s="1866"/>
      <c r="H34" s="1874">
        <f>SUM(H11:H32)</f>
        <v>30</v>
      </c>
      <c r="I34" s="1874">
        <f>SUM(I11:I32)</f>
        <v>30</v>
      </c>
      <c r="J34" s="1874">
        <f>SUM(J11:J32)</f>
        <v>0</v>
      </c>
      <c r="K34" s="1874">
        <f>SUM(H34:J34)</f>
        <v>60</v>
      </c>
    </row>
    <row r="35" spans="1:11" ht="12" customHeight="1" x14ac:dyDescent="0.2">
      <c r="A35" s="1867" t="s">
        <v>1392</v>
      </c>
      <c r="B35" s="1868"/>
      <c r="C35" s="2294"/>
      <c r="D35" s="2294"/>
      <c r="E35" s="2294"/>
      <c r="F35" s="2295"/>
    </row>
    <row r="36" spans="1:11" ht="12" customHeight="1" x14ac:dyDescent="0.2">
      <c r="A36" s="2285"/>
      <c r="B36" s="2286"/>
      <c r="C36" s="2286"/>
      <c r="D36" s="2286"/>
      <c r="E36" s="2286"/>
      <c r="F36" s="2287"/>
    </row>
    <row r="37" spans="1:11" ht="12" customHeight="1" x14ac:dyDescent="0.2">
      <c r="A37" s="2285"/>
      <c r="B37" s="2286"/>
      <c r="C37" s="2286"/>
      <c r="D37" s="2286"/>
      <c r="E37" s="2286"/>
      <c r="F37" s="2287"/>
    </row>
    <row r="38" spans="1:11" ht="12" customHeight="1" x14ac:dyDescent="0.2">
      <c r="A38" s="2299"/>
      <c r="B38" s="2300"/>
      <c r="C38" s="2300"/>
      <c r="D38" s="2300"/>
      <c r="E38" s="2300"/>
      <c r="F38" s="2301"/>
    </row>
    <row r="39" spans="1:11" ht="4.5" hidden="1" customHeight="1" x14ac:dyDescent="0.2">
      <c r="A39" s="1869"/>
      <c r="B39" s="1869"/>
      <c r="C39" s="1869"/>
      <c r="D39" s="1869"/>
      <c r="E39" s="1869"/>
      <c r="F39" s="1869"/>
    </row>
    <row r="40" spans="1:11" s="1866" customFormat="1" ht="12" customHeight="1" x14ac:dyDescent="0.25">
      <c r="A40" s="1870" t="s">
        <v>1391</v>
      </c>
      <c r="B40" s="1871"/>
      <c r="C40" s="2302"/>
      <c r="D40" s="2302"/>
      <c r="E40" s="2302"/>
      <c r="F40" s="2303"/>
      <c r="H40" s="1875"/>
      <c r="I40" s="1875"/>
      <c r="J40" s="1875"/>
      <c r="K40" s="1875"/>
    </row>
    <row r="41" spans="1:11" s="1866" customFormat="1" ht="12" customHeight="1" x14ac:dyDescent="0.25">
      <c r="A41" s="2304"/>
      <c r="B41" s="2305"/>
      <c r="C41" s="2305"/>
      <c r="D41" s="2305"/>
      <c r="E41" s="2305"/>
      <c r="F41" s="2306"/>
      <c r="H41" s="1875"/>
      <c r="I41" s="1875"/>
      <c r="J41" s="1875"/>
      <c r="K41" s="1875"/>
    </row>
    <row r="42" spans="1:11" s="1866" customFormat="1" ht="12" customHeight="1" x14ac:dyDescent="0.25">
      <c r="A42" s="2304"/>
      <c r="B42" s="2305"/>
      <c r="C42" s="2305"/>
      <c r="D42" s="2305"/>
      <c r="E42" s="2305"/>
      <c r="F42" s="2306"/>
      <c r="H42" s="1875"/>
      <c r="I42" s="1875"/>
      <c r="J42" s="1875"/>
      <c r="K42" s="1875"/>
    </row>
    <row r="43" spans="1:11" s="1866" customFormat="1" ht="15" x14ac:dyDescent="0.25">
      <c r="A43" s="2296"/>
      <c r="B43" s="2297"/>
      <c r="C43" s="2297"/>
      <c r="D43" s="2297"/>
      <c r="E43" s="2297"/>
      <c r="F43" s="2298"/>
      <c r="H43" s="1875"/>
      <c r="I43" s="1875"/>
      <c r="J43" s="1875"/>
      <c r="K43" s="1875"/>
    </row>
    <row r="44" spans="1:11" s="1866" customFormat="1" ht="12" hidden="1" customHeight="1" x14ac:dyDescent="0.25">
      <c r="A44" s="2296"/>
      <c r="B44" s="2297"/>
      <c r="C44" s="2297"/>
      <c r="D44" s="2297"/>
      <c r="E44" s="2297"/>
      <c r="F44" s="2298"/>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12" t="str">
        <f>COVER!A17</f>
        <v>Cambridge CUSD 227</v>
      </c>
      <c r="J6" s="2313"/>
      <c r="Q6" s="1660"/>
    </row>
    <row r="7" spans="1:17" x14ac:dyDescent="0.2">
      <c r="A7" s="2314" t="s">
        <v>869</v>
      </c>
      <c r="B7" s="2315"/>
      <c r="C7" s="2315"/>
      <c r="D7" s="2315"/>
      <c r="E7" s="2316"/>
      <c r="F7" s="1014"/>
      <c r="G7" s="1006"/>
      <c r="H7" s="1013" t="s">
        <v>372</v>
      </c>
      <c r="I7" s="2317">
        <f>COVER!A13</f>
        <v>28037227026</v>
      </c>
      <c r="J7" s="2317"/>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8" t="s">
        <v>481</v>
      </c>
      <c r="B11" s="2319"/>
      <c r="C11" s="2320"/>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80608</v>
      </c>
      <c r="F12" s="1036"/>
      <c r="G12" s="1807">
        <f t="shared" ref="G12:G18" si="0">SUM(E12:F12)</f>
        <v>80608</v>
      </c>
      <c r="H12" s="1037">
        <v>80067</v>
      </c>
      <c r="I12" s="1036"/>
      <c r="J12" s="1807">
        <f t="shared" ref="J12:J18" si="1">SUM(H12:I12)</f>
        <v>80067</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21" t="s">
        <v>7</v>
      </c>
      <c r="C18" s="2322"/>
      <c r="D18" s="2323"/>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80608</v>
      </c>
      <c r="F19" s="1809">
        <f t="shared" si="2"/>
        <v>0</v>
      </c>
      <c r="G19" s="1809">
        <f t="shared" si="2"/>
        <v>80608</v>
      </c>
      <c r="H19" s="1809">
        <f t="shared" si="2"/>
        <v>80067</v>
      </c>
      <c r="I19" s="1809">
        <f t="shared" si="2"/>
        <v>0</v>
      </c>
      <c r="J19" s="1809">
        <f t="shared" si="2"/>
        <v>80067</v>
      </c>
    </row>
    <row r="20" spans="1:10" ht="13.5" thickTop="1" x14ac:dyDescent="0.2">
      <c r="A20" s="1032">
        <v>9</v>
      </c>
      <c r="B20" s="2324" t="s">
        <v>1981</v>
      </c>
      <c r="C20" s="2324"/>
      <c r="D20" s="2325"/>
      <c r="E20" s="1043"/>
      <c r="F20" s="1043"/>
      <c r="G20" s="1043"/>
      <c r="H20" s="1043"/>
      <c r="I20" s="1043"/>
      <c r="J20" s="1810">
        <f>IF(AND(G19&gt;0,J19&gt;0),(((J19-G19)/G19)),"Enter Budget Data")</f>
        <v>-6.7114926558157996E-3</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0"/>
      <c r="D26" s="2330"/>
      <c r="E26" s="1047"/>
      <c r="F26" s="2329"/>
      <c r="G26" s="2329"/>
    </row>
    <row r="27" spans="1:10" x14ac:dyDescent="0.2">
      <c r="B27" s="1044"/>
      <c r="C27" s="1048" t="s">
        <v>1033</v>
      </c>
      <c r="D27" s="1049"/>
      <c r="E27" s="1050"/>
      <c r="F27" s="2326" t="s">
        <v>1509</v>
      </c>
      <c r="G27" s="2326"/>
    </row>
    <row r="28" spans="1:10" ht="28.5" customHeight="1" x14ac:dyDescent="0.2">
      <c r="B28" s="1044"/>
      <c r="C28" s="2328"/>
      <c r="D28" s="2328"/>
      <c r="E28" s="1051"/>
      <c r="F28" s="2328"/>
      <c r="G28" s="2328"/>
    </row>
    <row r="29" spans="1:10" x14ac:dyDescent="0.2">
      <c r="B29" s="1044"/>
      <c r="C29" s="1052" t="s">
        <v>1561</v>
      </c>
      <c r="E29" s="1053"/>
      <c r="F29" s="2327" t="s">
        <v>1510</v>
      </c>
      <c r="G29" s="2327"/>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9" t="s">
        <v>132</v>
      </c>
      <c r="D33" s="2310"/>
      <c r="E33" s="2310"/>
      <c r="F33" s="2310"/>
      <c r="G33" s="2310"/>
      <c r="H33" s="2310"/>
      <c r="I33" s="2310"/>
    </row>
    <row r="34" spans="1:10" ht="10.35" customHeight="1" x14ac:dyDescent="0.2">
      <c r="C34" s="2310"/>
      <c r="D34" s="2310"/>
      <c r="E34" s="2310"/>
      <c r="F34" s="2310"/>
      <c r="G34" s="2310"/>
      <c r="H34" s="2310"/>
      <c r="I34" s="2310"/>
    </row>
    <row r="35" spans="1:10" ht="7.5" customHeight="1" x14ac:dyDescent="0.2">
      <c r="C35" s="1059"/>
    </row>
    <row r="36" spans="1:10" ht="13.5" customHeight="1" x14ac:dyDescent="0.2">
      <c r="B36" s="1058"/>
      <c r="C36" s="2311" t="s">
        <v>1983</v>
      </c>
      <c r="D36" s="2310"/>
      <c r="E36" s="2310"/>
      <c r="F36" s="2310"/>
      <c r="G36" s="2310"/>
      <c r="H36" s="2310"/>
      <c r="I36" s="2310"/>
      <c r="J36" s="1060"/>
    </row>
    <row r="37" spans="1:10" ht="22.5" customHeight="1" x14ac:dyDescent="0.2">
      <c r="C37" s="2310"/>
      <c r="D37" s="2310"/>
      <c r="E37" s="2310"/>
      <c r="F37" s="2310"/>
      <c r="G37" s="2310"/>
      <c r="H37" s="2310"/>
      <c r="I37" s="2310"/>
      <c r="J37" s="1060"/>
    </row>
    <row r="38" spans="1:10" ht="7.5" customHeight="1" x14ac:dyDescent="0.2">
      <c r="C38" s="1059"/>
      <c r="D38" s="1061"/>
      <c r="E38" s="1062"/>
      <c r="F38" s="1063"/>
      <c r="G38" s="1062"/>
    </row>
    <row r="39" spans="1:10" ht="13.5" customHeight="1" x14ac:dyDescent="0.2">
      <c r="B39" s="1058"/>
      <c r="C39" s="2307" t="s">
        <v>882</v>
      </c>
      <c r="D39" s="2308"/>
      <c r="E39" s="2308"/>
      <c r="F39" s="2308"/>
      <c r="G39" s="2308"/>
      <c r="H39" s="2308"/>
      <c r="I39" s="2308"/>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2096</v>
      </c>
    </row>
    <row r="6" spans="1:2" x14ac:dyDescent="0.2">
      <c r="A6" s="1065">
        <v>2</v>
      </c>
      <c r="B6" s="329" t="s">
        <v>2097</v>
      </c>
    </row>
    <row r="7" spans="1:2" x14ac:dyDescent="0.2">
      <c r="A7" s="1065"/>
      <c r="B7" s="329" t="s">
        <v>2098</v>
      </c>
    </row>
    <row r="8" spans="1:2" x14ac:dyDescent="0.2">
      <c r="A8" s="1065"/>
      <c r="B8" s="329" t="s">
        <v>2099</v>
      </c>
    </row>
    <row r="9" spans="1:2" x14ac:dyDescent="0.2">
      <c r="A9" s="1065"/>
      <c r="B9" s="329" t="s">
        <v>2100</v>
      </c>
    </row>
    <row r="10" spans="1:2" x14ac:dyDescent="0.2">
      <c r="A10" s="1065"/>
      <c r="B10" s="329" t="s">
        <v>2101</v>
      </c>
    </row>
    <row r="11" spans="1:2" x14ac:dyDescent="0.2">
      <c r="A11" s="1065"/>
      <c r="B11" s="329" t="s">
        <v>2102</v>
      </c>
    </row>
    <row r="12" spans="1:2" x14ac:dyDescent="0.2">
      <c r="A12" s="1065"/>
      <c r="B12" s="329" t="s">
        <v>2107</v>
      </c>
    </row>
    <row r="13" spans="1:2" x14ac:dyDescent="0.2">
      <c r="A13" s="1065">
        <v>3</v>
      </c>
      <c r="B13" s="329" t="s">
        <v>2108</v>
      </c>
    </row>
    <row r="14" spans="1:2" x14ac:dyDescent="0.2">
      <c r="A14" s="1065">
        <v>4</v>
      </c>
      <c r="B14" s="329" t="s">
        <v>2109</v>
      </c>
    </row>
    <row r="15" spans="1:2" x14ac:dyDescent="0.2">
      <c r="A15" s="1065">
        <v>5</v>
      </c>
      <c r="B15" s="329" t="s">
        <v>2103</v>
      </c>
    </row>
    <row r="16" spans="1:2" x14ac:dyDescent="0.2">
      <c r="A16" s="1065">
        <v>6</v>
      </c>
      <c r="B16" s="329" t="s">
        <v>2104</v>
      </c>
    </row>
    <row r="17" spans="1:2" x14ac:dyDescent="0.2">
      <c r="A17" s="1065"/>
      <c r="B17" s="329" t="s">
        <v>2105</v>
      </c>
    </row>
    <row r="18" spans="1:2" x14ac:dyDescent="0.2">
      <c r="A18" s="1065"/>
      <c r="B18" s="329" t="s">
        <v>2106</v>
      </c>
    </row>
    <row r="19" spans="1:2" x14ac:dyDescent="0.2">
      <c r="A19" s="1065"/>
    </row>
    <row r="20" spans="1:2" x14ac:dyDescent="0.2">
      <c r="A20" s="1065"/>
    </row>
    <row r="21" spans="1:2" x14ac:dyDescent="0.2">
      <c r="A21" s="1065"/>
    </row>
    <row r="22" spans="1:2" x14ac:dyDescent="0.2">
      <c r="A22" s="1065"/>
    </row>
    <row r="23" spans="1:2" x14ac:dyDescent="0.2">
      <c r="A23" s="1065"/>
    </row>
    <row r="24" spans="1:2" x14ac:dyDescent="0.2">
      <c r="A24" s="1065"/>
    </row>
    <row r="25" spans="1:2" x14ac:dyDescent="0.2">
      <c r="A25" s="1065"/>
    </row>
    <row r="26" spans="1:2" x14ac:dyDescent="0.2">
      <c r="A26" s="1065"/>
    </row>
    <row r="27" spans="1:2" x14ac:dyDescent="0.2">
      <c r="A27" s="1065"/>
    </row>
    <row r="28" spans="1:2" x14ac:dyDescent="0.2">
      <c r="A28" s="1065"/>
    </row>
    <row r="29" spans="1:2" x14ac:dyDescent="0.2">
      <c r="A29" s="1065"/>
    </row>
    <row r="30" spans="1:2" x14ac:dyDescent="0.2">
      <c r="A30" s="1065"/>
    </row>
    <row r="31" spans="1:2" x14ac:dyDescent="0.2">
      <c r="A31" s="1065"/>
    </row>
    <row r="32" spans="1:2"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row>
    <row r="56" spans="1:2" x14ac:dyDescent="0.2">
      <c r="A56" s="1065"/>
    </row>
    <row r="57" spans="1:2" x14ac:dyDescent="0.2">
      <c r="A57" s="1065"/>
    </row>
    <row r="58" spans="1:2" x14ac:dyDescent="0.2">
      <c r="A58" s="1065"/>
    </row>
    <row r="59" spans="1:2" x14ac:dyDescent="0.2">
      <c r="A59" s="1065"/>
    </row>
    <row r="60" spans="1:2" x14ac:dyDescent="0.2">
      <c r="A60" s="1065"/>
    </row>
    <row r="61" spans="1:2" x14ac:dyDescent="0.2">
      <c r="A61" s="1065"/>
    </row>
    <row r="62" spans="1:2" x14ac:dyDescent="0.2">
      <c r="A62" s="1065"/>
    </row>
    <row r="63" spans="1:2" x14ac:dyDescent="0.2">
      <c r="A63" s="1065"/>
    </row>
    <row r="64" spans="1:2" x14ac:dyDescent="0.2">
      <c r="A64" s="1065"/>
      <c r="B64" s="258" t="str">
        <f>COVER!A17</f>
        <v>Cambridge CUSD 227</v>
      </c>
    </row>
    <row r="65" spans="2:2" x14ac:dyDescent="0.2">
      <c r="B65" s="1066">
        <f>COVER!A13</f>
        <v>28037227026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8" t="s">
        <v>1065</v>
      </c>
      <c r="B35" s="2048"/>
      <c r="C35" s="2048"/>
      <c r="D35" s="2048"/>
      <c r="E35" s="204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5" t="s">
        <v>691</v>
      </c>
      <c r="B40" s="2045"/>
      <c r="C40" s="2045"/>
      <c r="D40" s="2045"/>
      <c r="E40" s="2045"/>
    </row>
    <row r="41" spans="1:5" x14ac:dyDescent="0.2">
      <c r="A41" s="2046" t="s">
        <v>1608</v>
      </c>
      <c r="B41" s="2046"/>
      <c r="C41" s="2046"/>
      <c r="D41" s="2046"/>
      <c r="E41" s="2046"/>
    </row>
    <row r="42" spans="1:5" ht="12.75" customHeight="1" x14ac:dyDescent="0.2">
      <c r="A42" s="2047" t="s">
        <v>1022</v>
      </c>
      <c r="B42" s="2047"/>
      <c r="C42" s="2047"/>
      <c r="D42" s="2047"/>
      <c r="E42" s="204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31" t="s">
        <v>1685</v>
      </c>
      <c r="B18" s="233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1047750</xdr:colOff>
                <xdr:row>1</xdr:row>
                <xdr:rowOff>0</xdr:rowOff>
              </from>
              <to>
                <xdr:col>1</xdr:col>
                <xdr:colOff>1962150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2" t="s">
        <v>1690</v>
      </c>
      <c r="B1" s="2333"/>
      <c r="C1" s="2333"/>
      <c r="D1" s="2333"/>
      <c r="E1" s="2333"/>
      <c r="F1" s="2334"/>
    </row>
    <row r="2" spans="1:8" ht="45" customHeight="1" x14ac:dyDescent="0.2">
      <c r="A2" s="2342" t="s">
        <v>1987</v>
      </c>
      <c r="B2" s="2343"/>
      <c r="C2" s="2343"/>
      <c r="D2" s="2343"/>
      <c r="E2" s="2343"/>
      <c r="F2" s="2344"/>
      <c r="G2" s="1070"/>
      <c r="H2" s="1070"/>
    </row>
    <row r="3" spans="1:8" ht="57" customHeight="1" x14ac:dyDescent="0.2">
      <c r="A3" s="2345" t="s">
        <v>1686</v>
      </c>
      <c r="B3" s="2346"/>
      <c r="C3" s="2346"/>
      <c r="D3" s="2346"/>
      <c r="E3" s="2346"/>
      <c r="F3" s="2347"/>
      <c r="G3" s="1070"/>
      <c r="H3" s="1070"/>
    </row>
    <row r="4" spans="1:8" ht="14.25" customHeight="1" x14ac:dyDescent="0.2">
      <c r="A4" s="2351" t="s">
        <v>1988</v>
      </c>
      <c r="B4" s="2352"/>
      <c r="C4" s="2352"/>
      <c r="D4" s="2352"/>
      <c r="E4" s="2352"/>
      <c r="F4" s="2353"/>
      <c r="G4" s="1070"/>
      <c r="H4" s="1070"/>
    </row>
    <row r="5" spans="1:8" ht="14.25" customHeight="1" x14ac:dyDescent="0.2">
      <c r="A5" s="2354" t="s">
        <v>1984</v>
      </c>
      <c r="B5" s="2355"/>
      <c r="C5" s="2355"/>
      <c r="D5" s="2355"/>
      <c r="E5" s="2355"/>
      <c r="F5" s="2356"/>
      <c r="G5" s="1070"/>
      <c r="H5" s="1070"/>
    </row>
    <row r="6" spans="1:8" s="1071" customFormat="1" ht="41.25" customHeight="1" x14ac:dyDescent="0.2">
      <c r="A6" s="2348" t="s">
        <v>1691</v>
      </c>
      <c r="B6" s="2349"/>
      <c r="C6" s="2349"/>
      <c r="D6" s="2349"/>
      <c r="E6" s="2349"/>
      <c r="F6" s="2350"/>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3775707</v>
      </c>
      <c r="C8" s="1811">
        <f>'Acct Summary 7-8'!D8</f>
        <v>419603</v>
      </c>
      <c r="D8" s="1811">
        <f>'Acct Summary 7-8'!F8</f>
        <v>334378</v>
      </c>
      <c r="E8" s="1811">
        <f>'Acct Summary 7-8'!I8</f>
        <v>29999</v>
      </c>
      <c r="F8" s="1811">
        <f>SUM(B8:E8)</f>
        <v>4559687</v>
      </c>
    </row>
    <row r="9" spans="1:8" s="1075" customFormat="1" ht="14.25" customHeight="1" thickBot="1" x14ac:dyDescent="0.25">
      <c r="A9" s="1074" t="s">
        <v>1369</v>
      </c>
      <c r="B9" s="1812">
        <f>'Acct Summary 7-8'!C17</f>
        <v>3909154</v>
      </c>
      <c r="C9" s="1812">
        <f>'Acct Summary 7-8'!D17</f>
        <v>399719</v>
      </c>
      <c r="D9" s="1812">
        <f>'Acct Summary 7-8'!F17</f>
        <v>315506</v>
      </c>
      <c r="E9" s="1811"/>
      <c r="F9" s="1811">
        <f>SUM(B9:E9)</f>
        <v>4624379</v>
      </c>
    </row>
    <row r="10" spans="1:8" s="1075" customFormat="1" ht="14.25" thickTop="1" thickBot="1" x14ac:dyDescent="0.25">
      <c r="A10" s="1076" t="s">
        <v>1370</v>
      </c>
      <c r="B10" s="1813">
        <f>(B8-B9)</f>
        <v>-133447</v>
      </c>
      <c r="C10" s="1813">
        <f>(C8-C9)</f>
        <v>19884</v>
      </c>
      <c r="D10" s="1813">
        <f>(D8-D9)</f>
        <v>18872</v>
      </c>
      <c r="E10" s="1812">
        <f>(E8-E9)</f>
        <v>29999</v>
      </c>
      <c r="F10" s="1814">
        <f>SUM(F8-F9)</f>
        <v>-64692</v>
      </c>
    </row>
    <row r="11" spans="1:8" s="1075" customFormat="1" ht="14.25" thickTop="1" thickBot="1" x14ac:dyDescent="0.25">
      <c r="A11" s="1077" t="s">
        <v>1985</v>
      </c>
      <c r="B11" s="1815">
        <f>'Acct Summary 7-8'!C81</f>
        <v>519987</v>
      </c>
      <c r="C11" s="1815">
        <f>'Acct Summary 7-8'!D81</f>
        <v>407908</v>
      </c>
      <c r="D11" s="1815">
        <f>'Acct Summary 7-8'!F81</f>
        <v>338396</v>
      </c>
      <c r="E11" s="1815">
        <f>'Acct Summary 7-8'!I81</f>
        <v>121977</v>
      </c>
      <c r="F11" s="1816">
        <f>SUM(B11:E11)</f>
        <v>1388268</v>
      </c>
    </row>
    <row r="12" spans="1:8" ht="16.5" customHeight="1" thickTop="1" x14ac:dyDescent="0.2">
      <c r="A12" s="1078"/>
      <c r="B12" s="1079"/>
      <c r="C12" s="2336" t="str">
        <f>IF(AND(F10&lt;0,F11&gt;=0,ABS(F10*3)&gt;ABS(F11)),A16,IF(AND(F10&lt;0,F11&gt;0,ABS(F10*3)&lt;=ABS(F11)),A17,IF(AND(F10&lt;0,F11&lt;0),A16,IF(F11=0,A19,A18))))</f>
        <v>Unbalanced -  however, a deficit reduction plan is not required at this time.</v>
      </c>
      <c r="D12" s="2337"/>
      <c r="E12" s="2337"/>
      <c r="F12" s="2338"/>
    </row>
    <row r="13" spans="1:8" ht="19.5" customHeight="1" x14ac:dyDescent="0.2">
      <c r="A13" s="1080"/>
      <c r="B13" s="1081"/>
      <c r="C13" s="2336"/>
      <c r="D13" s="2337"/>
      <c r="E13" s="2337"/>
      <c r="F13" s="2338"/>
      <c r="H13" s="1070"/>
    </row>
    <row r="14" spans="1:8" ht="19.5" customHeight="1" x14ac:dyDescent="0.2">
      <c r="A14" s="1080"/>
      <c r="B14" s="1081"/>
      <c r="C14" s="2336"/>
      <c r="D14" s="2337"/>
      <c r="E14" s="2337"/>
      <c r="F14" s="2338"/>
      <c r="H14" s="1070"/>
    </row>
    <row r="15" spans="1:8" ht="17.25" customHeight="1" x14ac:dyDescent="0.2">
      <c r="A15" s="1080"/>
      <c r="B15" s="1081"/>
      <c r="C15" s="2339"/>
      <c r="D15" s="2340"/>
      <c r="E15" s="2340"/>
      <c r="F15" s="2341"/>
      <c r="H15" s="1070"/>
    </row>
    <row r="16" spans="1:8" s="310" customFormat="1" ht="51.75" hidden="1" customHeight="1" x14ac:dyDescent="0.2">
      <c r="A16" s="2335" t="s">
        <v>1687</v>
      </c>
      <c r="B16" s="2335"/>
      <c r="C16" s="2335"/>
      <c r="D16" s="2335"/>
      <c r="E16" s="2335"/>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57" t="s">
        <v>665</v>
      </c>
      <c r="B3" s="2358"/>
      <c r="C3" s="2358"/>
      <c r="D3" s="2359"/>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68" t="s">
        <v>1504</v>
      </c>
      <c r="D7" s="2369"/>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60" t="s">
        <v>1008</v>
      </c>
      <c r="B15" s="2361"/>
      <c r="C15" s="2361"/>
      <c r="D15" s="2362"/>
    </row>
    <row r="16" spans="1:4" s="665" customFormat="1" ht="24" customHeight="1" x14ac:dyDescent="0.2">
      <c r="A16" s="2363" t="s">
        <v>663</v>
      </c>
      <c r="B16" s="2364"/>
      <c r="C16" s="2364"/>
      <c r="D16" s="2365"/>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72" t="s">
        <v>314</v>
      </c>
      <c r="D21" s="2373"/>
    </row>
    <row r="22" spans="1:10" ht="12.75" x14ac:dyDescent="0.2">
      <c r="A22" s="1135"/>
      <c r="B22" s="1136">
        <v>2</v>
      </c>
      <c r="C22" s="2370" t="s">
        <v>1524</v>
      </c>
      <c r="D22" s="2371"/>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OK</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74" t="s">
        <v>536</v>
      </c>
      <c r="D43" s="2375"/>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66" t="s">
        <v>784</v>
      </c>
      <c r="D56" s="2367"/>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66" t="s">
        <v>1696</v>
      </c>
      <c r="D70" s="2367"/>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PLEASE ENTER CONTRACTS PAID IN CURRENT YEAR.</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28037227026</v>
      </c>
    </row>
    <row r="3" spans="1:2" x14ac:dyDescent="0.2">
      <c r="A3" t="s">
        <v>956</v>
      </c>
      <c r="B3" s="138" t="str">
        <f>COVER!A15</f>
        <v>Henry</v>
      </c>
    </row>
    <row r="4" spans="1:2" x14ac:dyDescent="0.2">
      <c r="A4" t="s">
        <v>1007</v>
      </c>
      <c r="B4" s="138" t="str">
        <f>COVER!A17</f>
        <v>Cambridge CUSD 227</v>
      </c>
    </row>
    <row r="5" spans="1:2" x14ac:dyDescent="0.2">
      <c r="A5" t="s">
        <v>704</v>
      </c>
      <c r="B5" s="138" t="str">
        <f>COVER!A38</f>
        <v>Thomas Akers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523882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3895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3895</v>
      </c>
      <c r="C91" s="2" t="s">
        <v>573</v>
      </c>
      <c r="D91" s="2" t="str">
        <f t="shared" si="0"/>
        <v>Error?</v>
      </c>
    </row>
    <row r="92" spans="1:4" x14ac:dyDescent="0.2">
      <c r="A92" s="5">
        <v>31</v>
      </c>
      <c r="B92" s="138">
        <f>'Assets-Liab 5-6'!C39</f>
        <v>519987</v>
      </c>
      <c r="D92" s="2" t="str">
        <f t="shared" si="0"/>
        <v>Error?</v>
      </c>
    </row>
    <row r="93" spans="1:4" x14ac:dyDescent="0.2">
      <c r="A93" s="5">
        <v>32</v>
      </c>
      <c r="B93" s="138">
        <f>'Assets-Liab 5-6'!C41</f>
        <v>523882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134200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407908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407908</v>
      </c>
      <c r="D123" s="2" t="str">
        <f t="shared" si="0"/>
        <v>Error?</v>
      </c>
    </row>
    <row r="124" spans="1:4" x14ac:dyDescent="0.2">
      <c r="A124" s="5">
        <v>63</v>
      </c>
      <c r="B124" s="138">
        <f>'Assets-Liab 5-6'!D41</f>
        <v>407908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96299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96299</v>
      </c>
      <c r="D140" s="2" t="str">
        <f t="shared" si="1"/>
        <v>Error?</v>
      </c>
    </row>
    <row r="141" spans="1:4" x14ac:dyDescent="0.2">
      <c r="A141" s="5">
        <v>80</v>
      </c>
      <c r="B141" s="138">
        <f>'Assets-Liab 5-6'!E41</f>
        <v>96299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137000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338396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338396</v>
      </c>
      <c r="D170" s="2" t="str">
        <f t="shared" si="1"/>
        <v>Error?</v>
      </c>
    </row>
    <row r="171" spans="1:4" x14ac:dyDescent="0.2">
      <c r="A171" s="5">
        <v>110</v>
      </c>
      <c r="B171" s="138">
        <f>'Assets-Liab 5-6'!F41</f>
        <v>338396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325472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77221</v>
      </c>
      <c r="D189" s="2" t="str">
        <f t="shared" si="1"/>
        <v>Error?</v>
      </c>
    </row>
    <row r="190" spans="1:4" x14ac:dyDescent="0.2">
      <c r="A190" s="5">
        <v>129</v>
      </c>
      <c r="B190" s="138">
        <f>'Assets-Liab 5-6'!G41</f>
        <v>325472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186948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186948</v>
      </c>
      <c r="D212" s="2" t="str">
        <f t="shared" si="2"/>
        <v>Error?</v>
      </c>
    </row>
    <row r="213" spans="1:4" x14ac:dyDescent="0.2">
      <c r="A213" s="12">
        <v>152</v>
      </c>
      <c r="B213" s="138">
        <f>'Assets-Liab 5-6'!H41</f>
        <v>186948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38250</v>
      </c>
      <c r="D273" s="2" t="str">
        <f t="shared" si="3"/>
        <v>Error?</v>
      </c>
    </row>
    <row r="274" spans="1:4" x14ac:dyDescent="0.2">
      <c r="A274" s="5">
        <v>213</v>
      </c>
      <c r="B274" s="138">
        <f>'Assets-Liab 5-6'!M17</f>
        <v>6263627</v>
      </c>
      <c r="D274" s="2" t="str">
        <f t="shared" si="3"/>
        <v>Error?</v>
      </c>
    </row>
    <row r="275" spans="1:4" x14ac:dyDescent="0.2">
      <c r="A275" s="5">
        <v>214</v>
      </c>
      <c r="B275" s="138">
        <f>'Assets-Liab 5-6'!M18</f>
        <v>580676</v>
      </c>
      <c r="D275" s="2" t="str">
        <f t="shared" si="3"/>
        <v>Error?</v>
      </c>
    </row>
    <row r="276" spans="1:4" x14ac:dyDescent="0.2">
      <c r="A276" s="5">
        <v>215</v>
      </c>
      <c r="B276" s="138">
        <f>'Assets-Liab 5-6'!M19</f>
        <v>759197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7641750</v>
      </c>
      <c r="C279" s="2" t="s">
        <v>573</v>
      </c>
      <c r="D279" s="2" t="str">
        <f t="shared" si="3"/>
        <v>Error?</v>
      </c>
    </row>
    <row r="280" spans="1:4" x14ac:dyDescent="0.2">
      <c r="A280" s="5">
        <v>219</v>
      </c>
      <c r="B280" s="138">
        <f>'Assets-Liab 5-6'!M40</f>
        <v>7641750</v>
      </c>
      <c r="D280" s="2" t="str">
        <f t="shared" si="3"/>
        <v>Error?</v>
      </c>
    </row>
    <row r="281" spans="1:4" x14ac:dyDescent="0.2">
      <c r="A281" s="5">
        <v>220</v>
      </c>
      <c r="B281" s="138">
        <f>'Assets-Liab 5-6'!M41</f>
        <v>7641750</v>
      </c>
      <c r="C281" s="2" t="s">
        <v>573</v>
      </c>
      <c r="D281" s="2" t="str">
        <f t="shared" si="3"/>
        <v>Error?</v>
      </c>
    </row>
    <row r="282" spans="1:4" x14ac:dyDescent="0.2">
      <c r="A282" s="5">
        <v>221</v>
      </c>
      <c r="B282" s="138">
        <f>'Assets-Liab 5-6'!N21</f>
        <v>96299</v>
      </c>
      <c r="D282" s="2" t="str">
        <f t="shared" si="3"/>
        <v>Error?</v>
      </c>
    </row>
    <row r="283" spans="1:4" x14ac:dyDescent="0.2">
      <c r="A283" s="5">
        <v>222</v>
      </c>
      <c r="B283" s="138">
        <f>'Assets-Liab 5-6'!N22</f>
        <v>1936901</v>
      </c>
      <c r="D283" s="2" t="str">
        <f t="shared" si="3"/>
        <v>Error?</v>
      </c>
    </row>
    <row r="284" spans="1:4" x14ac:dyDescent="0.2">
      <c r="A284" s="5">
        <v>223</v>
      </c>
      <c r="B284" s="138">
        <f>'Assets-Liab 5-6'!N23</f>
        <v>2033200</v>
      </c>
      <c r="C284" s="2" t="s">
        <v>573</v>
      </c>
      <c r="D284" s="2" t="str">
        <f t="shared" si="3"/>
        <v>Error?</v>
      </c>
    </row>
    <row r="285" spans="1:4" x14ac:dyDescent="0.2">
      <c r="A285" s="5">
        <v>224</v>
      </c>
      <c r="B285" s="138">
        <f>'Assets-Liab 5-6'!N36</f>
        <v>2033200</v>
      </c>
      <c r="D285" s="2" t="str">
        <f t="shared" si="3"/>
        <v>Error?</v>
      </c>
    </row>
    <row r="286" spans="1:4" x14ac:dyDescent="0.2">
      <c r="A286" s="10">
        <v>225</v>
      </c>
      <c r="D286" s="2" t="str">
        <f t="shared" si="3"/>
        <v>OK</v>
      </c>
    </row>
    <row r="287" spans="1:4" x14ac:dyDescent="0.2">
      <c r="A287" s="5">
        <v>226</v>
      </c>
      <c r="B287" s="138">
        <f>'Assets-Liab 5-6'!N37</f>
        <v>2033200</v>
      </c>
      <c r="C287" s="2" t="s">
        <v>573</v>
      </c>
      <c r="D287" s="2" t="str">
        <f t="shared" si="3"/>
        <v>Error?</v>
      </c>
    </row>
    <row r="288" spans="1:4" x14ac:dyDescent="0.2">
      <c r="A288" s="5">
        <v>227</v>
      </c>
      <c r="B288" s="138">
        <f>'Assets-Liab 5-6'!N41</f>
        <v>2033200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363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1840489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179473</v>
      </c>
      <c r="D717" s="2" t="str">
        <f t="shared" si="10"/>
        <v>Error?</v>
      </c>
    </row>
    <row r="718" spans="1:4" x14ac:dyDescent="0.2">
      <c r="A718" s="5">
        <v>657</v>
      </c>
      <c r="B718" s="138">
        <f>'Expenditures 15-22'!C14</f>
        <v>113621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2462531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6039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6039</v>
      </c>
      <c r="C727" s="2" t="s">
        <v>573</v>
      </c>
      <c r="D727" s="2" t="str">
        <f t="shared" si="10"/>
        <v>Error?</v>
      </c>
    </row>
    <row r="728" spans="1:4" x14ac:dyDescent="0.2">
      <c r="A728" s="5">
        <v>667</v>
      </c>
      <c r="B728" s="138">
        <f>'Expenditures 15-22'!C44</f>
        <v>3955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3955</v>
      </c>
      <c r="C731" s="2" t="s">
        <v>573</v>
      </c>
      <c r="D731" s="2" t="str">
        <f t="shared" si="10"/>
        <v>Error?</v>
      </c>
    </row>
    <row r="732" spans="1:4" x14ac:dyDescent="0.2">
      <c r="A732" s="5">
        <v>671</v>
      </c>
      <c r="B732" s="138">
        <f>'Expenditures 15-22'!C49</f>
        <v>1529</v>
      </c>
      <c r="D732" s="2" t="str">
        <f t="shared" si="10"/>
        <v>Error?</v>
      </c>
    </row>
    <row r="733" spans="1:4" x14ac:dyDescent="0.2">
      <c r="A733" s="5">
        <v>672</v>
      </c>
      <c r="B733" s="138">
        <f>'Expenditures 15-22'!C50</f>
        <v>61608</v>
      </c>
      <c r="D733" s="2" t="str">
        <f t="shared" si="10"/>
        <v>Error?</v>
      </c>
    </row>
    <row r="734" spans="1:4" x14ac:dyDescent="0.2">
      <c r="A734" s="5">
        <v>673</v>
      </c>
      <c r="B734" s="138">
        <f>'Expenditures 15-22'!C53</f>
        <v>63137</v>
      </c>
      <c r="C734" s="2" t="s">
        <v>573</v>
      </c>
      <c r="D734" s="2" t="str">
        <f t="shared" si="10"/>
        <v>Error?</v>
      </c>
    </row>
    <row r="735" spans="1:4" x14ac:dyDescent="0.2">
      <c r="A735" s="5">
        <v>674</v>
      </c>
      <c r="B735" s="138">
        <f>'Expenditures 15-22'!C55</f>
        <v>212777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212777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67492</v>
      </c>
      <c r="D739" s="2" t="str">
        <f t="shared" si="10"/>
        <v>Error?</v>
      </c>
    </row>
    <row r="740" spans="1:4" x14ac:dyDescent="0.2">
      <c r="A740" s="5">
        <v>679</v>
      </c>
      <c r="B740" s="138">
        <f>'Expenditures 15-22'!C61</f>
        <v>889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64537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132918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418826</v>
      </c>
      <c r="C755" s="2" t="s">
        <v>573</v>
      </c>
      <c r="D755" s="2" t="str">
        <f t="shared" si="10"/>
        <v>Error?</v>
      </c>
    </row>
    <row r="756" spans="1:4" x14ac:dyDescent="0.2">
      <c r="A756" s="5">
        <v>695</v>
      </c>
      <c r="B756" s="138">
        <f>'Expenditures 15-22'!C75</f>
        <v>12003</v>
      </c>
      <c r="D756" s="2" t="str">
        <f t="shared" si="10"/>
        <v>Error?</v>
      </c>
    </row>
    <row r="757" spans="1:4" x14ac:dyDescent="0.2">
      <c r="A757" s="5">
        <v>696</v>
      </c>
      <c r="B757" s="138">
        <f>'Expenditures 15-22'!C114</f>
        <v>2893360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190725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19061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251983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5337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5337</v>
      </c>
      <c r="C785" s="2" t="s">
        <v>573</v>
      </c>
      <c r="D785" s="2" t="str">
        <f t="shared" si="11"/>
        <v>Error?</v>
      </c>
    </row>
    <row r="786" spans="1:4" x14ac:dyDescent="0.2">
      <c r="A786" s="5">
        <v>725</v>
      </c>
      <c r="B786" s="138">
        <f>'Expenditures 15-22'!D44</f>
        <v>2337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2337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19000</v>
      </c>
      <c r="D791" s="2" t="str">
        <f t="shared" si="11"/>
        <v>Error?</v>
      </c>
    </row>
    <row r="792" spans="1:4" x14ac:dyDescent="0.2">
      <c r="A792" s="5">
        <v>731</v>
      </c>
      <c r="B792" s="138">
        <f>'Expenditures 15-22'!D53</f>
        <v>19000</v>
      </c>
      <c r="C792" s="2" t="s">
        <v>573</v>
      </c>
      <c r="D792" s="2" t="str">
        <f t="shared" si="11"/>
        <v>Error?</v>
      </c>
    </row>
    <row r="793" spans="1:4" x14ac:dyDescent="0.2">
      <c r="A793" s="5">
        <v>732</v>
      </c>
      <c r="B793" s="138">
        <f>'Expenditures 15-22'!D55</f>
        <v>86709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86709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5132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9817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14949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128332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380315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8238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9772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21902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v>
      </c>
      <c r="C843" s="2" t="s">
        <v>573</v>
      </c>
      <c r="D843" s="2" t="str">
        <f t="shared" si="12"/>
        <v>Error?</v>
      </c>
    </row>
    <row r="844" spans="1:4" x14ac:dyDescent="0.2">
      <c r="A844" s="5">
        <v>783</v>
      </c>
      <c r="B844" s="138">
        <f>'Expenditures 15-22'!E44</f>
        <v>18217</v>
      </c>
      <c r="D844" s="2" t="str">
        <f t="shared" si="12"/>
        <v>Error?</v>
      </c>
    </row>
    <row r="845" spans="1:4" x14ac:dyDescent="0.2">
      <c r="A845" s="5">
        <v>784</v>
      </c>
      <c r="B845" s="138">
        <f>'Expenditures 15-22'!E45</f>
        <v>3404</v>
      </c>
      <c r="D845" s="2" t="str">
        <f t="shared" si="12"/>
        <v>Error?</v>
      </c>
    </row>
    <row r="846" spans="1:4" x14ac:dyDescent="0.2">
      <c r="A846" s="5">
        <v>785</v>
      </c>
      <c r="B846" s="138">
        <f>'Expenditures 15-22'!E46</f>
        <v>21508</v>
      </c>
      <c r="D846" s="2" t="str">
        <f t="shared" si="12"/>
        <v>Error?</v>
      </c>
    </row>
    <row r="847" spans="1:4" x14ac:dyDescent="0.2">
      <c r="A847" s="5">
        <v>786</v>
      </c>
      <c r="B847" s="138">
        <f>'Expenditures 15-22'!E47</f>
        <v>43129</v>
      </c>
      <c r="C847" s="2" t="s">
        <v>573</v>
      </c>
      <c r="D847" s="2" t="str">
        <f t="shared" si="12"/>
        <v>Error?</v>
      </c>
    </row>
    <row r="848" spans="1:4" x14ac:dyDescent="0.2">
      <c r="A848" s="5">
        <v>787</v>
      </c>
      <c r="B848" s="138">
        <f>'Expenditures 15-22'!E49</f>
        <v>22814</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22814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47825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48329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114342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158416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90115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14326</v>
      </c>
      <c r="D891" s="2" t="str">
        <f t="shared" si="12"/>
        <v>Error?</v>
      </c>
    </row>
    <row r="892" spans="1:4" x14ac:dyDescent="0.2">
      <c r="A892" s="5">
        <v>831</v>
      </c>
      <c r="B892" s="138">
        <f>'Expenditures 15-22'!F14</f>
        <v>19701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131253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743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743</v>
      </c>
      <c r="C901" s="2" t="s">
        <v>573</v>
      </c>
      <c r="D901" s="2" t="str">
        <f t="shared" si="13"/>
        <v>Error?</v>
      </c>
    </row>
    <row r="902" spans="1:4" x14ac:dyDescent="0.2">
      <c r="A902" s="5">
        <v>841</v>
      </c>
      <c r="B902" s="138">
        <f>'Expenditures 15-22'!F44</f>
        <v>1191</v>
      </c>
      <c r="D902" s="2" t="str">
        <f t="shared" si="13"/>
        <v>Error?</v>
      </c>
    </row>
    <row r="903" spans="1:4" x14ac:dyDescent="0.2">
      <c r="A903" s="5">
        <v>842</v>
      </c>
      <c r="B903" s="138">
        <f>'Expenditures 15-22'!F45</f>
        <v>2438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3629</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1370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119527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120897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125269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256522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6829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11439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8592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8592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8592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200510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220541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2136396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212860</v>
      </c>
      <c r="C1105" s="2" t="s">
        <v>573</v>
      </c>
      <c r="D1105" s="2" t="str">
        <f t="shared" si="16"/>
        <v>Error?</v>
      </c>
    </row>
    <row r="1106" spans="1:4" x14ac:dyDescent="0.2">
      <c r="A1106" s="5">
        <v>1045</v>
      </c>
      <c r="B1106" s="138">
        <f>'Expenditures 15-22'!K14</f>
        <v>143874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2879108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12189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12189</v>
      </c>
      <c r="C1115" s="2" t="s">
        <v>573</v>
      </c>
      <c r="D1115" s="2" t="str">
        <f t="shared" si="16"/>
        <v>Error?</v>
      </c>
    </row>
    <row r="1116" spans="1:4" x14ac:dyDescent="0.2">
      <c r="A1116" s="5">
        <v>1055</v>
      </c>
      <c r="B1116" s="138">
        <f>'Expenditures 15-22'!K44</f>
        <v>25700</v>
      </c>
      <c r="C1116" s="2" t="s">
        <v>573</v>
      </c>
      <c r="D1116" s="2" t="str">
        <f t="shared" si="16"/>
        <v>Error?</v>
      </c>
    </row>
    <row r="1117" spans="1:4" x14ac:dyDescent="0.2">
      <c r="A1117" s="5">
        <v>1056</v>
      </c>
      <c r="B1117" s="138">
        <f>'Expenditures 15-22'!K45</f>
        <v>5842</v>
      </c>
      <c r="C1117" s="2" t="s">
        <v>573</v>
      </c>
      <c r="D1117" s="2" t="str">
        <f t="shared" si="16"/>
        <v>Error?</v>
      </c>
    </row>
    <row r="1118" spans="1:4" x14ac:dyDescent="0.2">
      <c r="A1118" s="5">
        <v>1057</v>
      </c>
      <c r="B1118" s="138">
        <f>'Expenditures 15-22'!K46</f>
        <v>21508</v>
      </c>
      <c r="C1118" s="2" t="s">
        <v>573</v>
      </c>
      <c r="D1118" s="2" t="str">
        <f t="shared" si="16"/>
        <v>Error?</v>
      </c>
    </row>
    <row r="1119" spans="1:4" x14ac:dyDescent="0.2">
      <c r="A1119" s="5">
        <v>1058</v>
      </c>
      <c r="B1119" s="138">
        <f>'Expenditures 15-22'!K47</f>
        <v>53050</v>
      </c>
      <c r="C1119" s="2" t="s">
        <v>573</v>
      </c>
      <c r="D1119" s="2" t="str">
        <f t="shared" si="16"/>
        <v>Error?</v>
      </c>
    </row>
    <row r="1120" spans="1:4" x14ac:dyDescent="0.2">
      <c r="A1120" s="5">
        <v>1059</v>
      </c>
      <c r="B1120" s="138">
        <f>'Expenditures 15-22'!K49</f>
        <v>32935</v>
      </c>
      <c r="C1120" s="2" t="s">
        <v>573</v>
      </c>
      <c r="D1120" s="2" t="str">
        <f t="shared" si="16"/>
        <v>Error?</v>
      </c>
    </row>
    <row r="1121" spans="1:4" x14ac:dyDescent="0.2">
      <c r="A1121" s="5">
        <v>1060</v>
      </c>
      <c r="B1121" s="138">
        <f>'Expenditures 15-22'!K50</f>
        <v>80608</v>
      </c>
      <c r="C1121" s="2" t="s">
        <v>573</v>
      </c>
      <c r="D1121" s="2" t="str">
        <f t="shared" si="16"/>
        <v>Error?</v>
      </c>
    </row>
    <row r="1122" spans="1:4" x14ac:dyDescent="0.2">
      <c r="A1122" s="5">
        <v>1061</v>
      </c>
      <c r="B1122" s="138">
        <f>'Expenditures 15-22'!K53</f>
        <v>113543</v>
      </c>
      <c r="C1122" s="2" t="s">
        <v>573</v>
      </c>
      <c r="D1122" s="2" t="str">
        <f t="shared" si="16"/>
        <v>Error?</v>
      </c>
    </row>
    <row r="1123" spans="1:4" x14ac:dyDescent="0.2">
      <c r="A1123" s="5">
        <v>1062</v>
      </c>
      <c r="B1123" s="138">
        <f>'Expenditures 15-22'!K55</f>
        <v>299486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299486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121819</v>
      </c>
      <c r="C1127" s="2" t="s">
        <v>573</v>
      </c>
      <c r="D1127" s="2" t="str">
        <f t="shared" si="16"/>
        <v>Error?</v>
      </c>
    </row>
    <row r="1128" spans="1:4" x14ac:dyDescent="0.2">
      <c r="A1128" s="5">
        <v>1067</v>
      </c>
      <c r="B1128" s="138">
        <f>'Expenditures 15-22'!K61</f>
        <v>889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194385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317093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795361</v>
      </c>
      <c r="C1143" s="2" t="s">
        <v>573</v>
      </c>
      <c r="D1143" s="2" t="str">
        <f t="shared" si="16"/>
        <v>Error?</v>
      </c>
    </row>
    <row r="1144" spans="1:4" x14ac:dyDescent="0.2">
      <c r="A1144" s="5">
        <v>1083</v>
      </c>
      <c r="B1144" s="138">
        <f>'Expenditures 15-22'!K75</f>
        <v>12003</v>
      </c>
      <c r="C1144" s="2" t="s">
        <v>573</v>
      </c>
      <c r="D1144" s="2" t="str">
        <f t="shared" si="16"/>
        <v>Error?</v>
      </c>
    </row>
    <row r="1145" spans="1:4" x14ac:dyDescent="0.2">
      <c r="A1145" s="5">
        <v>1084</v>
      </c>
      <c r="B1145" s="138">
        <f>'Expenditures 15-22'!K102</f>
        <v>222682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3909154</v>
      </c>
      <c r="C1152" s="2" t="s">
        <v>573</v>
      </c>
      <c r="D1152" s="2" t="str">
        <f t="shared" si="17"/>
        <v>Error?</v>
      </c>
    </row>
    <row r="1153" spans="1:4" x14ac:dyDescent="0.2">
      <c r="A1153" s="5">
        <v>1092</v>
      </c>
      <c r="B1153" s="138">
        <f>'Expenditures 15-22'!K115</f>
        <v>-133447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110878</v>
      </c>
      <c r="D1221" s="2" t="str">
        <f t="shared" si="18"/>
        <v>Error?</v>
      </c>
    </row>
    <row r="1222" spans="1:4" x14ac:dyDescent="0.2">
      <c r="A1222" s="10">
        <v>1161</v>
      </c>
      <c r="D1222" s="2" t="str">
        <f t="shared" si="18"/>
        <v>OK</v>
      </c>
    </row>
    <row r="1223" spans="1:4" x14ac:dyDescent="0.2">
      <c r="A1223" s="5">
        <v>1162</v>
      </c>
      <c r="B1223" s="138">
        <f>'Expenditures 15-22'!C127</f>
        <v>110878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110878</v>
      </c>
      <c r="C1225" s="2" t="s">
        <v>573</v>
      </c>
      <c r="D1225" s="2" t="str">
        <f t="shared" si="18"/>
        <v>Error?</v>
      </c>
    </row>
    <row r="1226" spans="1:4" x14ac:dyDescent="0.2">
      <c r="A1226" s="5">
        <v>1165</v>
      </c>
      <c r="B1226" s="138">
        <f>'Expenditures 15-22'!C151</f>
        <v>110878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5388</v>
      </c>
      <c r="D1229" s="2" t="str">
        <f t="shared" si="18"/>
        <v>Error?</v>
      </c>
    </row>
    <row r="1230" spans="1:4" x14ac:dyDescent="0.2">
      <c r="A1230" s="10">
        <v>1169</v>
      </c>
      <c r="D1230" s="2" t="str">
        <f t="shared" si="18"/>
        <v>OK</v>
      </c>
    </row>
    <row r="1231" spans="1:4" x14ac:dyDescent="0.2">
      <c r="A1231" s="5">
        <v>1170</v>
      </c>
      <c r="B1231" s="138">
        <f>'Expenditures 15-22'!D127</f>
        <v>5388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5388</v>
      </c>
      <c r="C1233" s="2" t="s">
        <v>573</v>
      </c>
      <c r="D1233" s="2" t="str">
        <f t="shared" si="18"/>
        <v>Error?</v>
      </c>
    </row>
    <row r="1234" spans="1:4" x14ac:dyDescent="0.2">
      <c r="A1234" s="5">
        <v>1173</v>
      </c>
      <c r="B1234" s="138">
        <f>'Expenditures 15-22'!D151</f>
        <v>5388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219478</v>
      </c>
      <c r="D1237" s="2" t="str">
        <f t="shared" si="18"/>
        <v>Error?</v>
      </c>
    </row>
    <row r="1238" spans="1:4" x14ac:dyDescent="0.2">
      <c r="A1238" s="10">
        <v>1177</v>
      </c>
      <c r="D1238" s="2" t="str">
        <f t="shared" si="18"/>
        <v>OK</v>
      </c>
    </row>
    <row r="1239" spans="1:4" x14ac:dyDescent="0.2">
      <c r="A1239" s="5">
        <v>1178</v>
      </c>
      <c r="B1239" s="138">
        <f>'Expenditures 15-22'!E127</f>
        <v>219478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219478</v>
      </c>
      <c r="C1241" s="2" t="s">
        <v>573</v>
      </c>
      <c r="D1241" s="2" t="str">
        <f t="shared" si="18"/>
        <v>Error?</v>
      </c>
    </row>
    <row r="1242" spans="1:4" x14ac:dyDescent="0.2">
      <c r="A1242" s="5">
        <v>1181</v>
      </c>
      <c r="B1242" s="138">
        <f>'Expenditures 15-22'!E151</f>
        <v>219478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60375</v>
      </c>
      <c r="D1245" s="2" t="str">
        <f t="shared" si="18"/>
        <v>Error?</v>
      </c>
    </row>
    <row r="1246" spans="1:4" x14ac:dyDescent="0.2">
      <c r="A1246" s="10">
        <v>1185</v>
      </c>
      <c r="D1246" s="2" t="str">
        <f t="shared" si="18"/>
        <v>OK</v>
      </c>
    </row>
    <row r="1247" spans="1:4" x14ac:dyDescent="0.2">
      <c r="A1247" s="5">
        <v>1186</v>
      </c>
      <c r="B1247" s="138">
        <f>'Expenditures 15-22'!F127</f>
        <v>60375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60375</v>
      </c>
      <c r="C1249" s="2" t="s">
        <v>573</v>
      </c>
      <c r="D1249" s="2" t="str">
        <f t="shared" si="18"/>
        <v>Error?</v>
      </c>
    </row>
    <row r="1250" spans="1:4" x14ac:dyDescent="0.2">
      <c r="A1250" s="5">
        <v>1189</v>
      </c>
      <c r="B1250" s="138">
        <f>'Expenditures 15-22'!F151</f>
        <v>60375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3600</v>
      </c>
      <c r="C1258" s="2" t="s">
        <v>573</v>
      </c>
      <c r="D1258" s="2" t="str">
        <f t="shared" si="18"/>
        <v>Error?</v>
      </c>
    </row>
    <row r="1259" spans="1:4" x14ac:dyDescent="0.2">
      <c r="A1259" s="5">
        <v>1198</v>
      </c>
      <c r="B1259" s="138">
        <f>'Expenditures 15-22'!G151</f>
        <v>3600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399719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399719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399719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399719</v>
      </c>
      <c r="C1288" s="2" t="s">
        <v>573</v>
      </c>
      <c r="D1288" s="2" t="str">
        <f t="shared" si="19"/>
        <v>Error?</v>
      </c>
    </row>
    <row r="1289" spans="1:4" x14ac:dyDescent="0.2">
      <c r="A1289" s="5">
        <v>1228</v>
      </c>
      <c r="B1289" s="138">
        <f>'Expenditures 15-22'!K152</f>
        <v>19884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5838</v>
      </c>
      <c r="D1307" s="2" t="str">
        <f t="shared" si="19"/>
        <v>Error?</v>
      </c>
    </row>
    <row r="1308" spans="1:4" x14ac:dyDescent="0.2">
      <c r="A1308" s="5">
        <v>1247</v>
      </c>
      <c r="B1308" s="138">
        <f>'Expenditures 15-22'!E172</f>
        <v>5838</v>
      </c>
      <c r="C1308" s="2" t="s">
        <v>573</v>
      </c>
      <c r="D1308" s="2" t="str">
        <f t="shared" si="19"/>
        <v>Error?</v>
      </c>
    </row>
    <row r="1309" spans="1:4" x14ac:dyDescent="0.2">
      <c r="A1309" s="5">
        <v>1248</v>
      </c>
      <c r="B1309" s="138">
        <f>'Expenditures 15-22'!E174</f>
        <v>5838</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50878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383000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433878</v>
      </c>
      <c r="C1317" s="2" t="s">
        <v>573</v>
      </c>
      <c r="D1317" s="2" t="str">
        <f t="shared" si="19"/>
        <v>Error?</v>
      </c>
    </row>
    <row r="1318" spans="1:4" x14ac:dyDescent="0.2">
      <c r="A1318" s="5">
        <v>1257</v>
      </c>
      <c r="B1318" s="138">
        <f>'Expenditures 15-22'!H174</f>
        <v>433878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50878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383000</v>
      </c>
      <c r="C1329" s="2" t="s">
        <v>573</v>
      </c>
      <c r="D1329" s="2" t="str">
        <f t="shared" si="19"/>
        <v>Error?</v>
      </c>
    </row>
    <row r="1330" spans="1:4" x14ac:dyDescent="0.2">
      <c r="A1330" s="5">
        <v>1269</v>
      </c>
      <c r="B1330" s="138">
        <f>'Expenditures 15-22'!K171</f>
        <v>5838</v>
      </c>
      <c r="C1330" s="2" t="s">
        <v>573</v>
      </c>
      <c r="D1330" s="2" t="str">
        <f t="shared" si="19"/>
        <v>Error?</v>
      </c>
    </row>
    <row r="1331" spans="1:4" x14ac:dyDescent="0.2">
      <c r="A1331" s="5">
        <v>1270</v>
      </c>
      <c r="B1331" s="138">
        <f>'Expenditures 15-22'!K172</f>
        <v>439716</v>
      </c>
      <c r="C1331" s="2" t="s">
        <v>573</v>
      </c>
      <c r="D1331" s="2" t="str">
        <f t="shared" si="19"/>
        <v>Error?</v>
      </c>
    </row>
    <row r="1332" spans="1:4" x14ac:dyDescent="0.2">
      <c r="A1332" s="5">
        <v>1271</v>
      </c>
      <c r="B1332" s="138">
        <f>'Expenditures 15-22'!K174</f>
        <v>439716</v>
      </c>
      <c r="C1332" s="2" t="s">
        <v>573</v>
      </c>
      <c r="D1332" s="2" t="str">
        <f t="shared" si="19"/>
        <v>Error?</v>
      </c>
    </row>
    <row r="1333" spans="1:4" x14ac:dyDescent="0.2">
      <c r="A1333" s="5">
        <v>1272</v>
      </c>
      <c r="B1333" s="138">
        <f>'Expenditures 15-22'!K175</f>
        <v>-260582</v>
      </c>
      <c r="C1333" s="2" t="s">
        <v>573</v>
      </c>
      <c r="D1333" s="2" t="str">
        <f t="shared" si="19"/>
        <v>Error?</v>
      </c>
    </row>
    <row r="1334" spans="1:4" x14ac:dyDescent="0.2">
      <c r="A1334" s="10">
        <v>1273</v>
      </c>
      <c r="D1334" s="2" t="str">
        <f t="shared" si="19"/>
        <v>OK</v>
      </c>
    </row>
    <row r="1335" spans="1:4" x14ac:dyDescent="0.2">
      <c r="A1335" s="5">
        <v>1274</v>
      </c>
      <c r="B1335" s="138">
        <f>'Expenditures 15-22'!C182</f>
        <v>117274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117274</v>
      </c>
      <c r="C1339" s="2" t="s">
        <v>573</v>
      </c>
      <c r="D1339" s="2" t="str">
        <f t="shared" si="19"/>
        <v>Error?</v>
      </c>
    </row>
    <row r="1340" spans="1:4" x14ac:dyDescent="0.2">
      <c r="A1340" s="5">
        <v>1279</v>
      </c>
      <c r="B1340" s="138">
        <f>'Expenditures 15-22'!C210</f>
        <v>117274</v>
      </c>
      <c r="C1340" s="2" t="s">
        <v>573</v>
      </c>
      <c r="D1340" s="2" t="str">
        <f t="shared" si="19"/>
        <v>Error?</v>
      </c>
    </row>
    <row r="1341" spans="1:4" x14ac:dyDescent="0.2">
      <c r="A1341" s="5">
        <v>1280</v>
      </c>
      <c r="B1341" s="138">
        <f>'Expenditures 15-22'!D182</f>
        <v>9049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9049</v>
      </c>
      <c r="C1345" s="2" t="s">
        <v>573</v>
      </c>
      <c r="D1345" s="2" t="str">
        <f t="shared" si="20"/>
        <v>Error?</v>
      </c>
    </row>
    <row r="1346" spans="1:4" x14ac:dyDescent="0.2">
      <c r="A1346" s="5">
        <v>1285</v>
      </c>
      <c r="B1346" s="138">
        <f>'Expenditures 15-22'!D210</f>
        <v>9049</v>
      </c>
      <c r="C1346" s="2" t="s">
        <v>573</v>
      </c>
      <c r="D1346" s="2" t="str">
        <f t="shared" si="20"/>
        <v>Error?</v>
      </c>
    </row>
    <row r="1347" spans="1:4" x14ac:dyDescent="0.2">
      <c r="A1347" s="5">
        <v>1286</v>
      </c>
      <c r="B1347" s="138">
        <f>'Expenditures 15-22'!E182</f>
        <v>112641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112641</v>
      </c>
      <c r="C1351" s="2" t="s">
        <v>573</v>
      </c>
      <c r="D1351" s="2" t="str">
        <f t="shared" si="20"/>
        <v>Error?</v>
      </c>
    </row>
    <row r="1352" spans="1:4" x14ac:dyDescent="0.2">
      <c r="A1352" s="5">
        <v>1291</v>
      </c>
      <c r="B1352" s="138">
        <f>'Expenditures 15-22'!E196</f>
        <v>7658</v>
      </c>
      <c r="C1352" s="2" t="s">
        <v>573</v>
      </c>
      <c r="D1352" s="2" t="str">
        <f t="shared" si="20"/>
        <v>Error?</v>
      </c>
    </row>
    <row r="1353" spans="1:4" x14ac:dyDescent="0.2">
      <c r="A1353" s="5">
        <v>1292</v>
      </c>
      <c r="B1353" s="138">
        <f>'Expenditures 15-22'!E210</f>
        <v>120299</v>
      </c>
      <c r="C1353" s="2" t="s">
        <v>573</v>
      </c>
      <c r="D1353" s="2" t="str">
        <f t="shared" si="20"/>
        <v>Error?</v>
      </c>
    </row>
    <row r="1354" spans="1:4" x14ac:dyDescent="0.2">
      <c r="A1354" s="5">
        <v>1293</v>
      </c>
      <c r="B1354" s="138">
        <f>'Expenditures 15-22'!F182</f>
        <v>37729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37729</v>
      </c>
      <c r="C1358" s="2" t="s">
        <v>573</v>
      </c>
      <c r="D1358" s="2" t="str">
        <f t="shared" si="20"/>
        <v>Error?</v>
      </c>
    </row>
    <row r="1359" spans="1:4" x14ac:dyDescent="0.2">
      <c r="A1359" s="5">
        <v>1298</v>
      </c>
      <c r="B1359" s="138">
        <f>'Expenditures 15-22'!F210</f>
        <v>37729</v>
      </c>
      <c r="C1359" s="2" t="s">
        <v>573</v>
      </c>
      <c r="D1359" s="2" t="str">
        <f t="shared" si="20"/>
        <v>Error?</v>
      </c>
    </row>
    <row r="1360" spans="1:4" x14ac:dyDescent="0.2">
      <c r="A1360" s="5">
        <v>1299</v>
      </c>
      <c r="B1360" s="138">
        <f>'Expenditures 15-22'!G182</f>
        <v>31155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31155</v>
      </c>
      <c r="C1364" s="2" t="s">
        <v>573</v>
      </c>
      <c r="D1364" s="2" t="str">
        <f t="shared" si="20"/>
        <v>Error?</v>
      </c>
    </row>
    <row r="1365" spans="1:4" x14ac:dyDescent="0.2">
      <c r="A1365" s="5">
        <v>1304</v>
      </c>
      <c r="B1365" s="138">
        <f>'Expenditures 15-22'!G210</f>
        <v>31155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307848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307848</v>
      </c>
      <c r="C1381" s="2" t="s">
        <v>573</v>
      </c>
      <c r="D1381" s="2" t="str">
        <f t="shared" si="20"/>
        <v>Error?</v>
      </c>
    </row>
    <row r="1382" spans="1:4" x14ac:dyDescent="0.2">
      <c r="A1382" s="5">
        <v>1321</v>
      </c>
      <c r="B1382" s="138">
        <f>'Expenditures 15-22'!K196</f>
        <v>7658</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315506</v>
      </c>
      <c r="C1388" s="2" t="s">
        <v>573</v>
      </c>
      <c r="D1388" s="2" t="str">
        <f t="shared" si="20"/>
        <v>Error?</v>
      </c>
    </row>
    <row r="1389" spans="1:4" x14ac:dyDescent="0.2">
      <c r="A1389" s="5">
        <v>1328</v>
      </c>
      <c r="B1389" s="138">
        <f>'Expenditures 15-22'!K211</f>
        <v>18872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2502</v>
      </c>
      <c r="D1407" s="2" t="str">
        <f t="shared" ref="D1407:D1470" si="21">IF(ISBLANK(B1407),"OK",IF(A1407-B1407=0,"OK","Error?"))</f>
        <v>Error?</v>
      </c>
    </row>
    <row r="1408" spans="1:4" x14ac:dyDescent="0.2">
      <c r="A1408" s="5">
        <v>1347</v>
      </c>
      <c r="B1408" s="138">
        <f>'Expenditures 15-22'!D223</f>
        <v>5485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71155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4855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4855</v>
      </c>
      <c r="C1417" s="2" t="s">
        <v>573</v>
      </c>
      <c r="D1417" s="2" t="str">
        <f t="shared" si="21"/>
        <v>Error?</v>
      </c>
    </row>
    <row r="1418" spans="1:4" x14ac:dyDescent="0.2">
      <c r="A1418" s="5">
        <v>1357</v>
      </c>
      <c r="B1418" s="138">
        <f>'Expenditures 15-22'!D240</f>
        <v>35</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v>
      </c>
      <c r="C1421" s="2" t="s">
        <v>573</v>
      </c>
      <c r="D1421" s="2" t="str">
        <f t="shared" si="21"/>
        <v>Error?</v>
      </c>
    </row>
    <row r="1422" spans="1:4" x14ac:dyDescent="0.2">
      <c r="A1422" s="5">
        <v>1361</v>
      </c>
      <c r="B1422" s="138">
        <f>'Expenditures 15-22'!D245</f>
        <v>117</v>
      </c>
      <c r="D1422" s="2" t="str">
        <f t="shared" si="21"/>
        <v>Error?</v>
      </c>
    </row>
    <row r="1423" spans="1:4" x14ac:dyDescent="0.2">
      <c r="A1423" s="5">
        <v>1362</v>
      </c>
      <c r="B1423" s="138">
        <f>'Expenditures 15-22'!D246</f>
        <v>1749</v>
      </c>
      <c r="D1423" s="2" t="str">
        <f t="shared" si="21"/>
        <v>Error?</v>
      </c>
    </row>
    <row r="1424" spans="1:4" x14ac:dyDescent="0.2">
      <c r="A1424" s="5">
        <v>1363</v>
      </c>
      <c r="B1424" s="138">
        <f>'Expenditures 15-22'!D257</f>
        <v>1866</v>
      </c>
      <c r="C1424" s="2" t="s">
        <v>573</v>
      </c>
      <c r="D1424" s="2" t="str">
        <f t="shared" si="21"/>
        <v>Error?</v>
      </c>
    </row>
    <row r="1425" spans="1:4" x14ac:dyDescent="0.2">
      <c r="A1425" s="5">
        <v>1364</v>
      </c>
      <c r="B1425" s="138">
        <f>'Expenditures 15-22'!D259</f>
        <v>17199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17199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12119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18835</v>
      </c>
      <c r="D1431" s="2" t="str">
        <f t="shared" si="21"/>
        <v>Error?</v>
      </c>
    </row>
    <row r="1432" spans="1:4" x14ac:dyDescent="0.2">
      <c r="A1432" s="5">
        <v>1371</v>
      </c>
      <c r="B1432" s="138">
        <f>'Expenditures 15-22'!D267</f>
        <v>23044</v>
      </c>
      <c r="D1432" s="2" t="str">
        <f t="shared" si="21"/>
        <v>Error?</v>
      </c>
    </row>
    <row r="1433" spans="1:4" x14ac:dyDescent="0.2">
      <c r="A1433" s="5">
        <v>1372</v>
      </c>
      <c r="B1433" s="138">
        <f>'Expenditures 15-22'!D268</f>
        <v>14066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68064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92019</v>
      </c>
      <c r="C1446" s="2" t="s">
        <v>573</v>
      </c>
      <c r="D1446" s="2" t="str">
        <f t="shared" si="21"/>
        <v>Error?</v>
      </c>
    </row>
    <row r="1447" spans="1:4" x14ac:dyDescent="0.2">
      <c r="A1447" s="5">
        <v>1386</v>
      </c>
      <c r="B1447" s="138">
        <f>'Expenditures 15-22'!D280</f>
        <v>2007</v>
      </c>
      <c r="D1447" s="2" t="str">
        <f t="shared" si="21"/>
        <v>Error?</v>
      </c>
    </row>
    <row r="1448" spans="1:4" x14ac:dyDescent="0.2">
      <c r="A1448" s="5">
        <v>1387</v>
      </c>
      <c r="B1448" s="138">
        <f>'Expenditures 15-22'!D295</f>
        <v>165181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2502</v>
      </c>
      <c r="C1471" s="2" t="s">
        <v>573</v>
      </c>
      <c r="D1471" s="2" t="str">
        <f t="shared" ref="D1471:D1534" si="22">IF(ISBLANK(B1471),"OK",IF(A1471-B1471=0,"OK","Error?"))</f>
        <v>Error?</v>
      </c>
    </row>
    <row r="1472" spans="1:4" x14ac:dyDescent="0.2">
      <c r="A1472" s="5">
        <v>1411</v>
      </c>
      <c r="B1472" s="138">
        <f>'Expenditures 15-22'!K223</f>
        <v>5485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71155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4855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4855</v>
      </c>
      <c r="C1481" s="2" t="s">
        <v>573</v>
      </c>
      <c r="D1481" s="2" t="str">
        <f t="shared" si="22"/>
        <v>Error?</v>
      </c>
    </row>
    <row r="1482" spans="1:4" x14ac:dyDescent="0.2">
      <c r="A1482" s="5">
        <v>1421</v>
      </c>
      <c r="B1482" s="138">
        <f>'Expenditures 15-22'!K240</f>
        <v>35</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35</v>
      </c>
      <c r="C1485" s="2" t="s">
        <v>573</v>
      </c>
      <c r="D1485" s="2" t="str">
        <f t="shared" si="22"/>
        <v>Error?</v>
      </c>
    </row>
    <row r="1486" spans="1:4" x14ac:dyDescent="0.2">
      <c r="A1486" s="5">
        <v>1425</v>
      </c>
      <c r="B1486" s="138">
        <f>'Expenditures 15-22'!K245</f>
        <v>117</v>
      </c>
      <c r="C1486" s="2" t="s">
        <v>573</v>
      </c>
      <c r="D1486" s="2" t="str">
        <f t="shared" si="22"/>
        <v>Error?</v>
      </c>
    </row>
    <row r="1487" spans="1:4" x14ac:dyDescent="0.2">
      <c r="A1487" s="5">
        <v>1426</v>
      </c>
      <c r="B1487" s="138">
        <f>'Expenditures 15-22'!K246</f>
        <v>1749</v>
      </c>
      <c r="C1487" s="2" t="s">
        <v>573</v>
      </c>
      <c r="D1487" s="2" t="str">
        <f t="shared" si="22"/>
        <v>Error?</v>
      </c>
    </row>
    <row r="1488" spans="1:4" x14ac:dyDescent="0.2">
      <c r="A1488" s="5">
        <v>1427</v>
      </c>
      <c r="B1488" s="138">
        <f>'Expenditures 15-22'!K257</f>
        <v>1866</v>
      </c>
      <c r="C1488" s="2" t="s">
        <v>573</v>
      </c>
      <c r="D1488" s="2" t="str">
        <f t="shared" si="22"/>
        <v>Error?</v>
      </c>
    </row>
    <row r="1489" spans="1:4" x14ac:dyDescent="0.2">
      <c r="A1489" s="5">
        <v>1428</v>
      </c>
      <c r="B1489" s="138">
        <f>'Expenditures 15-22'!K259</f>
        <v>17199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17199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12119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18835</v>
      </c>
      <c r="C1495" s="2" t="s">
        <v>573</v>
      </c>
      <c r="D1495" s="2" t="str">
        <f t="shared" si="22"/>
        <v>Error?</v>
      </c>
    </row>
    <row r="1496" spans="1:4" x14ac:dyDescent="0.2">
      <c r="A1496" s="5">
        <v>1435</v>
      </c>
      <c r="B1496" s="138">
        <f>'Expenditures 15-22'!K267</f>
        <v>23044</v>
      </c>
      <c r="C1496" s="2" t="s">
        <v>573</v>
      </c>
      <c r="D1496" s="2" t="str">
        <f t="shared" si="22"/>
        <v>Error?</v>
      </c>
    </row>
    <row r="1497" spans="1:4" x14ac:dyDescent="0.2">
      <c r="A1497" s="5">
        <v>1436</v>
      </c>
      <c r="B1497" s="138">
        <f>'Expenditures 15-22'!K268</f>
        <v>14066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68064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92019</v>
      </c>
      <c r="C1510" s="2" t="s">
        <v>573</v>
      </c>
      <c r="D1510" s="2" t="str">
        <f t="shared" si="22"/>
        <v>Error?</v>
      </c>
    </row>
    <row r="1511" spans="1:4" x14ac:dyDescent="0.2">
      <c r="A1511" s="5">
        <v>1450</v>
      </c>
      <c r="B1511" s="138">
        <f>'Expenditures 15-22'!K280</f>
        <v>2007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165181</v>
      </c>
      <c r="C1517" s="2" t="s">
        <v>573</v>
      </c>
      <c r="D1517" s="2" t="str">
        <f t="shared" si="22"/>
        <v>Error?</v>
      </c>
    </row>
    <row r="1518" spans="1:4" x14ac:dyDescent="0.2">
      <c r="A1518" s="5">
        <v>1457</v>
      </c>
      <c r="B1518" s="138">
        <f>'Expenditures 15-22'!K296</f>
        <v>14882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129770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129770</v>
      </c>
      <c r="C1535" s="2" t="s">
        <v>573</v>
      </c>
      <c r="D1535" s="2" t="str">
        <f t="shared" ref="D1535:D1598" si="23">IF(ISBLANK(B1535),"OK",IF(A1535-B1535=0,"OK","Error?"))</f>
        <v>Error?</v>
      </c>
    </row>
    <row r="1536" spans="1:4" x14ac:dyDescent="0.2">
      <c r="A1536" s="5">
        <v>1475</v>
      </c>
      <c r="B1536" s="138">
        <f>'Expenditures 15-22'!E312</f>
        <v>129770</v>
      </c>
      <c r="C1536" s="2" t="s">
        <v>573</v>
      </c>
      <c r="D1536" s="2" t="str">
        <f t="shared" si="23"/>
        <v>Error?</v>
      </c>
    </row>
    <row r="1537" spans="1:4" x14ac:dyDescent="0.2">
      <c r="A1537" s="5">
        <v>1476</v>
      </c>
      <c r="B1537" s="138">
        <f>'Expenditures 15-22'!F301</f>
        <v>11366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11366</v>
      </c>
      <c r="C1541" s="2" t="s">
        <v>573</v>
      </c>
      <c r="D1541" s="2" t="str">
        <f t="shared" si="23"/>
        <v>Error?</v>
      </c>
    </row>
    <row r="1542" spans="1:4" x14ac:dyDescent="0.2">
      <c r="A1542" s="5">
        <v>1481</v>
      </c>
      <c r="B1542" s="138">
        <f>'Expenditures 15-22'!F312</f>
        <v>11366</v>
      </c>
      <c r="C1542" s="2" t="s">
        <v>573</v>
      </c>
      <c r="D1542" s="2" t="str">
        <f t="shared" si="23"/>
        <v>Error?</v>
      </c>
    </row>
    <row r="1543" spans="1:4" x14ac:dyDescent="0.2">
      <c r="A1543" s="5">
        <v>1482</v>
      </c>
      <c r="B1543" s="138">
        <f>'Expenditures 15-22'!G301</f>
        <v>620409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620409</v>
      </c>
      <c r="C1547" s="2" t="s">
        <v>573</v>
      </c>
      <c r="D1547" s="2" t="str">
        <f t="shared" si="23"/>
        <v>Error?</v>
      </c>
    </row>
    <row r="1548" spans="1:4" x14ac:dyDescent="0.2">
      <c r="A1548" s="5">
        <v>1487</v>
      </c>
      <c r="B1548" s="138">
        <f>'Expenditures 15-22'!G312</f>
        <v>620409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761545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761545</v>
      </c>
      <c r="C1559" s="2" t="s">
        <v>573</v>
      </c>
      <c r="D1559" s="2" t="str">
        <f t="shared" si="23"/>
        <v>Error?</v>
      </c>
    </row>
    <row r="1560" spans="1:4" x14ac:dyDescent="0.2">
      <c r="A1560" s="5">
        <v>1499</v>
      </c>
      <c r="B1560" s="138">
        <f>'Expenditures 15-22'!K312</f>
        <v>761545</v>
      </c>
      <c r="C1560" s="2" t="s">
        <v>573</v>
      </c>
      <c r="D1560" s="2" t="str">
        <f t="shared" si="23"/>
        <v>Error?</v>
      </c>
    </row>
    <row r="1561" spans="1:4" x14ac:dyDescent="0.2">
      <c r="A1561" s="5">
        <v>1500</v>
      </c>
      <c r="B1561" s="138">
        <f>'Expenditures 15-22'!K313</f>
        <v>-596327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623671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519987</v>
      </c>
      <c r="C1630" s="2" t="s">
        <v>573</v>
      </c>
      <c r="D1630" s="2" t="str">
        <f t="shared" si="24"/>
        <v>Error?</v>
      </c>
    </row>
    <row r="1631" spans="1:4" x14ac:dyDescent="0.2">
      <c r="A1631" s="5">
        <v>1570</v>
      </c>
      <c r="B1631" s="138">
        <f>'Acct Summary 7-8'!D79</f>
        <v>388024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407908</v>
      </c>
      <c r="C1644" s="2" t="s">
        <v>573</v>
      </c>
      <c r="D1644" s="2" t="str">
        <f t="shared" si="24"/>
        <v>Error?</v>
      </c>
    </row>
    <row r="1645" spans="1:4" x14ac:dyDescent="0.2">
      <c r="A1645" s="5">
        <v>1584</v>
      </c>
      <c r="B1645" s="138">
        <f>'Acct Summary 7-8'!E79</f>
        <v>85681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96299</v>
      </c>
      <c r="C1658" s="2" t="s">
        <v>573</v>
      </c>
      <c r="D1658" s="2" t="str">
        <f t="shared" si="24"/>
        <v>Error?</v>
      </c>
    </row>
    <row r="1659" spans="1:4" x14ac:dyDescent="0.2">
      <c r="A1659" s="5">
        <v>1598</v>
      </c>
      <c r="B1659" s="138">
        <f>'Acct Summary 7-8'!F79</f>
        <v>319524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338396</v>
      </c>
      <c r="C1672" s="2" t="s">
        <v>573</v>
      </c>
      <c r="D1672" s="2" t="str">
        <f t="shared" si="25"/>
        <v>Error?</v>
      </c>
    </row>
    <row r="1673" spans="1:4" x14ac:dyDescent="0.2">
      <c r="A1673" s="5">
        <v>1612</v>
      </c>
      <c r="B1673" s="138">
        <f>'Acct Summary 7-8'!G79</f>
        <v>310590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325472</v>
      </c>
      <c r="C1686" s="2" t="s">
        <v>573</v>
      </c>
      <c r="D1686" s="2" t="str">
        <f t="shared" si="25"/>
        <v>Error?</v>
      </c>
    </row>
    <row r="1687" spans="1:4" x14ac:dyDescent="0.2">
      <c r="A1687" s="5">
        <v>1626</v>
      </c>
      <c r="B1687" s="138">
        <f>'Acct Summary 7-8'!H79</f>
        <v>783275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186948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1776742</v>
      </c>
      <c r="C1744" s="2" t="s">
        <v>573</v>
      </c>
      <c r="D1744" s="2" t="str">
        <f t="shared" si="26"/>
        <v>Error?</v>
      </c>
    </row>
    <row r="1745" spans="1:5" x14ac:dyDescent="0.2">
      <c r="A1745" s="5">
        <v>1684</v>
      </c>
      <c r="B1745" s="138">
        <f>'Tax Sched 23'!B5</f>
        <v>325758</v>
      </c>
      <c r="C1745" s="2" t="s">
        <v>573</v>
      </c>
      <c r="D1745" s="2" t="str">
        <f t="shared" si="26"/>
        <v>Error?</v>
      </c>
    </row>
    <row r="1746" spans="1:5" x14ac:dyDescent="0.2">
      <c r="A1746" s="5">
        <v>1685</v>
      </c>
      <c r="B1746" s="138">
        <f>'Tax Sched 23'!B6</f>
        <v>142048</v>
      </c>
      <c r="C1746" s="2" t="s">
        <v>573</v>
      </c>
      <c r="D1746" s="2" t="str">
        <f t="shared" si="26"/>
        <v>Error?</v>
      </c>
    </row>
    <row r="1747" spans="1:5" x14ac:dyDescent="0.2">
      <c r="A1747" s="5">
        <v>1686</v>
      </c>
      <c r="B1747" s="138">
        <f>'Tax Sched 23'!B7</f>
        <v>118487</v>
      </c>
      <c r="C1747" s="2" t="s">
        <v>573</v>
      </c>
      <c r="D1747" s="2" t="str">
        <f t="shared" si="26"/>
        <v>Error?</v>
      </c>
    </row>
    <row r="1748" spans="1:5" x14ac:dyDescent="0.2">
      <c r="A1748" s="5">
        <v>1687</v>
      </c>
      <c r="B1748" s="138">
        <f>'Tax Sched 23'!B8</f>
        <v>37870</v>
      </c>
      <c r="C1748" s="2" t="s">
        <v>573</v>
      </c>
      <c r="D1748" s="2" t="str">
        <f t="shared" si="26"/>
        <v>Error?</v>
      </c>
    </row>
    <row r="1749" spans="1:5" x14ac:dyDescent="0.2">
      <c r="A1749" s="5">
        <v>1688</v>
      </c>
      <c r="B1749" s="138">
        <f>'Tax Sched 23'!B10</f>
        <v>29637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407373</v>
      </c>
      <c r="C1752" s="2" t="s">
        <v>573</v>
      </c>
      <c r="D1752" s="2" t="str">
        <f t="shared" si="26"/>
        <v>Error?</v>
      </c>
    </row>
    <row r="1753" spans="1:5" x14ac:dyDescent="0.2">
      <c r="A1753" s="5">
        <v>1692</v>
      </c>
      <c r="B1753" s="138">
        <f>'Tax Sched 23'!B12</f>
        <v>29636</v>
      </c>
      <c r="C1753" s="2" t="s">
        <v>573</v>
      </c>
      <c r="D1753" s="2" t="str">
        <f t="shared" si="26"/>
        <v>Error?</v>
      </c>
    </row>
    <row r="1754" spans="1:5" x14ac:dyDescent="0.2">
      <c r="A1754" s="5">
        <v>1693</v>
      </c>
      <c r="B1754" s="138">
        <f>'Tax Sched 23'!B14</f>
        <v>23704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3049548</v>
      </c>
      <c r="C1759" s="2" t="s">
        <v>573</v>
      </c>
      <c r="D1759" s="2" t="str">
        <f t="shared" si="26"/>
        <v>Error?</v>
      </c>
    </row>
    <row r="1760" spans="1:5" x14ac:dyDescent="0.2">
      <c r="A1760" s="5">
        <v>1699</v>
      </c>
      <c r="B1760" s="138">
        <f>'Tax Sched 23'!D4</f>
        <v>780073</v>
      </c>
      <c r="C1760" s="2" t="s">
        <v>573</v>
      </c>
      <c r="D1760" s="2" t="str">
        <f t="shared" si="26"/>
        <v>Error?</v>
      </c>
    </row>
    <row r="1761" spans="1:5" x14ac:dyDescent="0.2">
      <c r="A1761" s="5">
        <v>1700</v>
      </c>
      <c r="B1761" s="138">
        <f>'Tax Sched 23'!D5</f>
        <v>143031</v>
      </c>
      <c r="C1761" s="2" t="s">
        <v>573</v>
      </c>
      <c r="D1761" s="2" t="str">
        <f t="shared" si="26"/>
        <v>Error?</v>
      </c>
    </row>
    <row r="1762" spans="1:5" s="8" customFormat="1" x14ac:dyDescent="0.2">
      <c r="A1762" s="5">
        <v>1701</v>
      </c>
      <c r="B1762" s="138">
        <f>'Tax Sched 23'!D6</f>
        <v>62938</v>
      </c>
      <c r="C1762" s="2" t="s">
        <v>573</v>
      </c>
      <c r="D1762" s="2" t="str">
        <f t="shared" si="26"/>
        <v>Error?</v>
      </c>
      <c r="E1762" s="9"/>
    </row>
    <row r="1763" spans="1:5" x14ac:dyDescent="0.2">
      <c r="A1763" s="5">
        <v>1702</v>
      </c>
      <c r="B1763" s="138">
        <f>'Tax Sched 23'!D7</f>
        <v>52014</v>
      </c>
      <c r="C1763" s="2" t="s">
        <v>573</v>
      </c>
      <c r="D1763" s="2" t="str">
        <f t="shared" si="26"/>
        <v>Error?</v>
      </c>
    </row>
    <row r="1764" spans="1:5" x14ac:dyDescent="0.2">
      <c r="A1764" s="5">
        <v>1703</v>
      </c>
      <c r="B1764" s="138">
        <f>'Tax Sched 23'!D8</f>
        <v>16920</v>
      </c>
      <c r="C1764" s="2" t="s">
        <v>573</v>
      </c>
      <c r="D1764" s="2" t="str">
        <f t="shared" si="26"/>
        <v>Error?</v>
      </c>
    </row>
    <row r="1765" spans="1:5" x14ac:dyDescent="0.2">
      <c r="A1765" s="5">
        <v>1704</v>
      </c>
      <c r="B1765" s="138">
        <f>'Tax Sched 23'!D10</f>
        <v>13010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178124</v>
      </c>
      <c r="C1768" s="2" t="s">
        <v>573</v>
      </c>
      <c r="D1768" s="2" t="str">
        <f t="shared" si="26"/>
        <v>Error?</v>
      </c>
    </row>
    <row r="1769" spans="1:5" x14ac:dyDescent="0.2">
      <c r="A1769" s="5">
        <v>1708</v>
      </c>
      <c r="B1769" s="138">
        <f>'Tax Sched 23'!D12</f>
        <v>13010</v>
      </c>
      <c r="C1769" s="2" t="s">
        <v>573</v>
      </c>
      <c r="D1769" s="2" t="str">
        <f t="shared" si="26"/>
        <v>Error?</v>
      </c>
    </row>
    <row r="1770" spans="1:5" x14ac:dyDescent="0.2">
      <c r="A1770" s="5">
        <v>1709</v>
      </c>
      <c r="B1770" s="138">
        <f>'Tax Sched 23'!D14</f>
        <v>10403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1339761</v>
      </c>
      <c r="C1775" s="2" t="s">
        <v>573</v>
      </c>
      <c r="D1775" s="2" t="str">
        <f t="shared" si="26"/>
        <v>Error?</v>
      </c>
    </row>
    <row r="1776" spans="1:5" x14ac:dyDescent="0.2">
      <c r="A1776" s="5">
        <v>1715</v>
      </c>
      <c r="B1776" s="138">
        <f>'Tax Sched 23'!C4</f>
        <v>996669</v>
      </c>
      <c r="D1776" s="2" t="str">
        <f t="shared" si="26"/>
        <v>Error?</v>
      </c>
    </row>
    <row r="1777" spans="1:4" x14ac:dyDescent="0.2">
      <c r="A1777" s="5">
        <v>1716</v>
      </c>
      <c r="B1777" s="138">
        <f>'Tax Sched 23'!C5</f>
        <v>182727</v>
      </c>
      <c r="D1777" s="2" t="str">
        <f t="shared" si="26"/>
        <v>Error?</v>
      </c>
    </row>
    <row r="1778" spans="1:4" x14ac:dyDescent="0.2">
      <c r="A1778" s="5">
        <v>1717</v>
      </c>
      <c r="B1778" s="138">
        <f>'Tax Sched 23'!C6</f>
        <v>79110</v>
      </c>
      <c r="D1778" s="2" t="str">
        <f t="shared" si="26"/>
        <v>Error?</v>
      </c>
    </row>
    <row r="1779" spans="1:4" x14ac:dyDescent="0.2">
      <c r="A1779" s="5">
        <v>1718</v>
      </c>
      <c r="B1779" s="138">
        <f>'Tax Sched 23'!C7</f>
        <v>66473</v>
      </c>
      <c r="D1779" s="2" t="str">
        <f t="shared" si="26"/>
        <v>Error?</v>
      </c>
    </row>
    <row r="1780" spans="1:4" x14ac:dyDescent="0.2">
      <c r="A1780" s="5">
        <v>1719</v>
      </c>
      <c r="B1780" s="138">
        <f>'Tax Sched 23'!C8</f>
        <v>20950</v>
      </c>
      <c r="D1780" s="2" t="str">
        <f t="shared" si="26"/>
        <v>Error?</v>
      </c>
    </row>
    <row r="1781" spans="1:4" x14ac:dyDescent="0.2">
      <c r="A1781" s="5">
        <v>1720</v>
      </c>
      <c r="B1781" s="138">
        <f>'Tax Sched 23'!C10</f>
        <v>16627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229249</v>
      </c>
      <c r="D1784" s="2" t="str">
        <f t="shared" si="26"/>
        <v>Error?</v>
      </c>
    </row>
    <row r="1785" spans="1:4" x14ac:dyDescent="0.2">
      <c r="A1785" s="5">
        <v>1724</v>
      </c>
      <c r="B1785" s="138">
        <f>'Tax Sched 23'!C12</f>
        <v>16626</v>
      </c>
      <c r="D1785" s="2" t="str">
        <f t="shared" si="26"/>
        <v>Error?</v>
      </c>
    </row>
    <row r="1786" spans="1:4" x14ac:dyDescent="0.2">
      <c r="A1786" s="5">
        <v>1725</v>
      </c>
      <c r="B1786" s="138">
        <f>'Tax Sched 23'!C14</f>
        <v>13301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1709787</v>
      </c>
      <c r="C1791" s="2" t="s">
        <v>573</v>
      </c>
      <c r="D1791" s="2" t="str">
        <f t="shared" ref="D1791:D1854" si="27">IF(ISBLANK(B1791),"OK",IF(A1791-B1791=0,"OK","Error?"))</f>
        <v>Error?</v>
      </c>
    </row>
    <row r="1792" spans="1:4" x14ac:dyDescent="0.2">
      <c r="A1792" s="5">
        <v>1731</v>
      </c>
      <c r="B1792" s="138">
        <f>'Tax Sched 23'!F4</f>
        <v>808186</v>
      </c>
      <c r="C1792" s="2" t="s">
        <v>573</v>
      </c>
      <c r="D1792" s="2" t="str">
        <f t="shared" si="27"/>
        <v>Error?</v>
      </c>
    </row>
    <row r="1793" spans="1:4" x14ac:dyDescent="0.2">
      <c r="A1793" s="5">
        <v>1732</v>
      </c>
      <c r="B1793" s="138">
        <f>'Tax Sched 23'!F5</f>
        <v>148171</v>
      </c>
      <c r="C1793" s="2" t="s">
        <v>573</v>
      </c>
      <c r="D1793" s="2" t="str">
        <f t="shared" si="27"/>
        <v>Error?</v>
      </c>
    </row>
    <row r="1794" spans="1:4" x14ac:dyDescent="0.2">
      <c r="A1794" s="5">
        <v>1733</v>
      </c>
      <c r="B1794" s="138">
        <f>'Tax Sched 23'!F6</f>
        <v>64149</v>
      </c>
      <c r="C1794" s="2" t="s">
        <v>573</v>
      </c>
      <c r="D1794" s="2" t="str">
        <f t="shared" si="27"/>
        <v>Error?</v>
      </c>
    </row>
    <row r="1795" spans="1:4" x14ac:dyDescent="0.2">
      <c r="A1795" s="5">
        <v>1734</v>
      </c>
      <c r="B1795" s="138">
        <f>'Tax Sched 23'!F7</f>
        <v>53903</v>
      </c>
      <c r="C1795" s="2" t="s">
        <v>573</v>
      </c>
      <c r="D1795" s="2" t="str">
        <f t="shared" si="27"/>
        <v>Error?</v>
      </c>
    </row>
    <row r="1796" spans="1:4" x14ac:dyDescent="0.2">
      <c r="A1796" s="5">
        <v>1735</v>
      </c>
      <c r="B1796" s="138">
        <f>'Tax Sched 23'!F8</f>
        <v>16987</v>
      </c>
      <c r="C1796" s="2" t="s">
        <v>573</v>
      </c>
      <c r="D1796" s="2" t="str">
        <f t="shared" si="27"/>
        <v>Error?</v>
      </c>
    </row>
    <row r="1797" spans="1:4" x14ac:dyDescent="0.2">
      <c r="A1797" s="5">
        <v>1736</v>
      </c>
      <c r="B1797" s="138">
        <f>'Tax Sched 23'!F10</f>
        <v>13482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185894</v>
      </c>
      <c r="C1800" s="2" t="s">
        <v>573</v>
      </c>
      <c r="D1800" s="2" t="str">
        <f t="shared" si="27"/>
        <v>Error?</v>
      </c>
    </row>
    <row r="1801" spans="1:4" x14ac:dyDescent="0.2">
      <c r="A1801" s="5">
        <v>1740</v>
      </c>
      <c r="B1801" s="138">
        <f>'Tax Sched 23'!F12</f>
        <v>13483</v>
      </c>
      <c r="C1801" s="2" t="s">
        <v>573</v>
      </c>
      <c r="D1801" s="2" t="str">
        <f t="shared" si="27"/>
        <v>Error?</v>
      </c>
    </row>
    <row r="1802" spans="1:4" x14ac:dyDescent="0.2">
      <c r="A1802" s="5">
        <v>1741</v>
      </c>
      <c r="B1802" s="138">
        <f>'Tax Sched 23'!F14</f>
        <v>10786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1386443</v>
      </c>
      <c r="C1807" s="2" t="s">
        <v>573</v>
      </c>
      <c r="D1807" s="2" t="str">
        <f t="shared" si="27"/>
        <v>Error?</v>
      </c>
    </row>
    <row r="1808" spans="1:4" x14ac:dyDescent="0.2">
      <c r="A1808" s="5">
        <v>1747</v>
      </c>
      <c r="B1808" s="138">
        <f>'Tax Sched 23'!E4</f>
        <v>1804855</v>
      </c>
      <c r="D1808" s="2" t="str">
        <f t="shared" si="27"/>
        <v>Error?</v>
      </c>
    </row>
    <row r="1809" spans="1:4" x14ac:dyDescent="0.2">
      <c r="A1809" s="5">
        <v>1748</v>
      </c>
      <c r="B1809" s="138">
        <f>'Tax Sched 23'!E5</f>
        <v>330898</v>
      </c>
      <c r="D1809" s="2" t="str">
        <f t="shared" si="27"/>
        <v>Error?</v>
      </c>
    </row>
    <row r="1810" spans="1:4" x14ac:dyDescent="0.2">
      <c r="A1810" s="5">
        <v>1749</v>
      </c>
      <c r="B1810" s="138">
        <f>'Tax Sched 23'!E6</f>
        <v>143259</v>
      </c>
      <c r="D1810" s="2" t="str">
        <f t="shared" si="27"/>
        <v>Error?</v>
      </c>
    </row>
    <row r="1811" spans="1:4" x14ac:dyDescent="0.2">
      <c r="A1811" s="5">
        <v>1750</v>
      </c>
      <c r="B1811" s="138">
        <f>'Tax Sched 23'!E7</f>
        <v>120376</v>
      </c>
      <c r="D1811" s="2" t="str">
        <f t="shared" si="27"/>
        <v>Error?</v>
      </c>
    </row>
    <row r="1812" spans="1:4" x14ac:dyDescent="0.2">
      <c r="A1812" s="5">
        <v>1751</v>
      </c>
      <c r="B1812" s="138">
        <f>'Tax Sched 23'!E8</f>
        <v>37937</v>
      </c>
      <c r="D1812" s="2" t="str">
        <f t="shared" si="27"/>
        <v>Error?</v>
      </c>
    </row>
    <row r="1813" spans="1:4" x14ac:dyDescent="0.2">
      <c r="A1813" s="5">
        <v>1752</v>
      </c>
      <c r="B1813" s="138">
        <f>'Tax Sched 23'!E10</f>
        <v>30109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415143</v>
      </c>
      <c r="D1816" s="2" t="str">
        <f t="shared" si="27"/>
        <v>Error?</v>
      </c>
    </row>
    <row r="1817" spans="1:4" x14ac:dyDescent="0.2">
      <c r="A1817" s="5">
        <v>1756</v>
      </c>
      <c r="B1817" s="138">
        <f>'Tax Sched 23'!E12</f>
        <v>30109</v>
      </c>
      <c r="D1817" s="2" t="str">
        <f t="shared" si="27"/>
        <v>Error?</v>
      </c>
    </row>
    <row r="1818" spans="1:4" x14ac:dyDescent="0.2">
      <c r="A1818" s="5">
        <v>1757</v>
      </c>
      <c r="B1818" s="138">
        <f>'Tax Sched 23'!E14</f>
        <v>24087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3096230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2145000</v>
      </c>
      <c r="C1939" s="2" t="s">
        <v>573</v>
      </c>
      <c r="D1939" s="2" t="str">
        <f t="shared" si="29"/>
        <v>Error?</v>
      </c>
    </row>
    <row r="1940" spans="1:5" x14ac:dyDescent="0.2">
      <c r="A1940" s="5">
        <v>1879</v>
      </c>
      <c r="B1940" s="138">
        <f>'Short-Term Long-Term Debt 24'!F49</f>
        <v>271200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23704</v>
      </c>
      <c r="D1972" s="2" t="str">
        <f t="shared" si="29"/>
        <v>Error?</v>
      </c>
    </row>
    <row r="1973" spans="1:5" x14ac:dyDescent="0.2">
      <c r="A1973" s="5">
        <v>1912</v>
      </c>
      <c r="B1973" s="138">
        <f>'Rest Tax Levies-Tort Im 25'!H6</f>
        <v>15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23719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23719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38250</v>
      </c>
      <c r="D2008" s="2" t="str">
        <f t="shared" si="30"/>
        <v>Error?</v>
      </c>
    </row>
    <row r="2009" spans="1:4" x14ac:dyDescent="0.2">
      <c r="A2009" s="5">
        <v>1948</v>
      </c>
      <c r="B2009" s="138">
        <f>'Cap Outlay Deprec 26'!C8</f>
        <v>5226128</v>
      </c>
      <c r="D2009" s="2" t="str">
        <f t="shared" si="30"/>
        <v>Error?</v>
      </c>
    </row>
    <row r="2010" spans="1:4" x14ac:dyDescent="0.2">
      <c r="A2010" s="5">
        <v>1949</v>
      </c>
      <c r="B2010" s="138">
        <f>'Cap Outlay Deprec 26'!C10</f>
        <v>425959</v>
      </c>
      <c r="D2010" s="2" t="str">
        <f t="shared" si="30"/>
        <v>Error?</v>
      </c>
    </row>
    <row r="2011" spans="1:4" x14ac:dyDescent="0.2">
      <c r="A2011" s="5">
        <v>1950</v>
      </c>
      <c r="B2011" s="138">
        <f>'Cap Outlay Deprec 26'!C12</f>
        <v>345161</v>
      </c>
      <c r="D2011" s="2" t="str">
        <f t="shared" si="30"/>
        <v>Error?</v>
      </c>
    </row>
    <row r="2012" spans="1:4" x14ac:dyDescent="0.2">
      <c r="A2012" s="5">
        <v>1951</v>
      </c>
      <c r="B2012" s="138">
        <f>'Cap Outlay Deprec 26'!C13</f>
        <v>396519</v>
      </c>
      <c r="D2012" s="2" t="str">
        <f t="shared" si="30"/>
        <v>Error?</v>
      </c>
    </row>
    <row r="2013" spans="1:4" x14ac:dyDescent="0.2">
      <c r="A2013" s="5">
        <v>1952</v>
      </c>
      <c r="B2013" s="138">
        <f>'Cap Outlay Deprec 26'!C16</f>
        <v>6945370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1037499</v>
      </c>
      <c r="D2015" s="2" t="str">
        <f t="shared" si="30"/>
        <v>Error?</v>
      </c>
    </row>
    <row r="2016" spans="1:4" x14ac:dyDescent="0.2">
      <c r="A2016" s="5">
        <v>1955</v>
      </c>
      <c r="B2016" s="138">
        <f>'Cap Outlay Deprec 26'!D10</f>
        <v>154717</v>
      </c>
      <c r="D2016" s="2" t="str">
        <f t="shared" si="30"/>
        <v>Error?</v>
      </c>
    </row>
    <row r="2017" spans="1:4" x14ac:dyDescent="0.2">
      <c r="A2017" s="5">
        <v>1956</v>
      </c>
      <c r="B2017" s="138">
        <f>'Cap Outlay Deprec 26'!D12</f>
        <v>35140</v>
      </c>
      <c r="D2017" s="2" t="str">
        <f t="shared" si="30"/>
        <v>Error?</v>
      </c>
    </row>
    <row r="2018" spans="1:4" x14ac:dyDescent="0.2">
      <c r="A2018" s="5">
        <v>1957</v>
      </c>
      <c r="B2018" s="138">
        <f>'Cap Outlay Deprec 26'!D13</f>
        <v>31155</v>
      </c>
      <c r="D2018" s="2" t="str">
        <f t="shared" si="30"/>
        <v>Error?</v>
      </c>
    </row>
    <row r="2019" spans="1:4" x14ac:dyDescent="0.2">
      <c r="A2019" s="5">
        <v>1958</v>
      </c>
      <c r="B2019" s="138">
        <f>'Cap Outlay Deprec 26'!D16</f>
        <v>1258511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23598</v>
      </c>
      <c r="D2023" s="2" t="str">
        <f t="shared" si="30"/>
        <v>Error?</v>
      </c>
    </row>
    <row r="2024" spans="1:4" x14ac:dyDescent="0.2">
      <c r="A2024" s="5">
        <v>1963</v>
      </c>
      <c r="B2024" s="138">
        <f>'Cap Outlay Deprec 26'!E13</f>
        <v>25180</v>
      </c>
      <c r="D2024" s="2" t="str">
        <f t="shared" si="30"/>
        <v>Error?</v>
      </c>
    </row>
    <row r="2025" spans="1:4" x14ac:dyDescent="0.2">
      <c r="A2025" s="5">
        <v>1964</v>
      </c>
      <c r="B2025" s="138">
        <f>'Cap Outlay Deprec 26'!E16</f>
        <v>562131</v>
      </c>
      <c r="C2025" s="2" t="s">
        <v>573</v>
      </c>
      <c r="D2025" s="2" t="str">
        <f t="shared" si="30"/>
        <v>Error?</v>
      </c>
    </row>
    <row r="2026" spans="1:4" x14ac:dyDescent="0.2">
      <c r="A2026" s="5">
        <v>1965</v>
      </c>
      <c r="B2026" s="138">
        <f>'Cap Outlay Deprec 26'!F5</f>
        <v>38250</v>
      </c>
      <c r="C2026" s="2" t="s">
        <v>573</v>
      </c>
      <c r="D2026" s="2" t="str">
        <f t="shared" si="30"/>
        <v>Error?</v>
      </c>
    </row>
    <row r="2027" spans="1:4" x14ac:dyDescent="0.2">
      <c r="A2027" s="5">
        <v>1966</v>
      </c>
      <c r="B2027" s="138">
        <f>'Cap Outlay Deprec 26'!F8</f>
        <v>6263627</v>
      </c>
      <c r="C2027" s="2" t="s">
        <v>573</v>
      </c>
      <c r="D2027" s="2" t="str">
        <f t="shared" si="30"/>
        <v>Error?</v>
      </c>
    </row>
    <row r="2028" spans="1:4" x14ac:dyDescent="0.2">
      <c r="A2028" s="5">
        <v>1967</v>
      </c>
      <c r="B2028" s="138">
        <f>'Cap Outlay Deprec 26'!F10</f>
        <v>580676</v>
      </c>
      <c r="C2028" s="2" t="s">
        <v>573</v>
      </c>
      <c r="D2028" s="2" t="str">
        <f t="shared" si="30"/>
        <v>Error?</v>
      </c>
    </row>
    <row r="2029" spans="1:4" x14ac:dyDescent="0.2">
      <c r="A2029" s="5">
        <v>1968</v>
      </c>
      <c r="B2029" s="138">
        <f>'Cap Outlay Deprec 26'!F12</f>
        <v>356703</v>
      </c>
      <c r="C2029" s="2" t="s">
        <v>573</v>
      </c>
      <c r="D2029" s="2" t="str">
        <f t="shared" si="30"/>
        <v>Error?</v>
      </c>
    </row>
    <row r="2030" spans="1:4" x14ac:dyDescent="0.2">
      <c r="A2030" s="5">
        <v>1969</v>
      </c>
      <c r="B2030" s="138">
        <f>'Cap Outlay Deprec 26'!F13</f>
        <v>402494</v>
      </c>
      <c r="C2030" s="2" t="s">
        <v>573</v>
      </c>
      <c r="D2030" s="2" t="str">
        <f t="shared" si="30"/>
        <v>Error?</v>
      </c>
    </row>
    <row r="2031" spans="1:4" x14ac:dyDescent="0.2">
      <c r="A2031" s="5">
        <v>1970</v>
      </c>
      <c r="B2031" s="138">
        <f>'Cap Outlay Deprec 26'!F16</f>
        <v>7641750</v>
      </c>
      <c r="C2031" s="2" t="s">
        <v>573</v>
      </c>
      <c r="D2031" s="2" t="str">
        <f t="shared" si="30"/>
        <v>Error?</v>
      </c>
    </row>
    <row r="2032" spans="1:4" x14ac:dyDescent="0.2">
      <c r="A2032" s="10">
        <v>1971</v>
      </c>
      <c r="D2032" s="2" t="str">
        <f t="shared" si="30"/>
        <v>OK</v>
      </c>
    </row>
    <row r="2033" spans="1:4" x14ac:dyDescent="0.2">
      <c r="A2033" s="5">
        <v>1972</v>
      </c>
      <c r="B2033" s="138">
        <f>'Cap Outlay Deprec 26'!H8</f>
        <v>3104971</v>
      </c>
      <c r="D2033" s="2" t="str">
        <f t="shared" si="30"/>
        <v>Error?</v>
      </c>
    </row>
    <row r="2034" spans="1:4" x14ac:dyDescent="0.2">
      <c r="A2034" s="5">
        <v>1973</v>
      </c>
      <c r="B2034" s="138">
        <f>'Cap Outlay Deprec 26'!H10</f>
        <v>373290</v>
      </c>
      <c r="D2034" s="2" t="str">
        <f t="shared" si="30"/>
        <v>Error?</v>
      </c>
    </row>
    <row r="2035" spans="1:4" x14ac:dyDescent="0.2">
      <c r="A2035" s="5">
        <v>1974</v>
      </c>
      <c r="B2035" s="138">
        <f>'Cap Outlay Deprec 26'!H12</f>
        <v>178170</v>
      </c>
      <c r="D2035" s="2" t="str">
        <f t="shared" si="30"/>
        <v>Error?</v>
      </c>
    </row>
    <row r="2036" spans="1:4" x14ac:dyDescent="0.2">
      <c r="A2036" s="5">
        <v>1975</v>
      </c>
      <c r="B2036" s="138">
        <f>'Cap Outlay Deprec 26'!H13</f>
        <v>396519</v>
      </c>
      <c r="D2036" s="2" t="str">
        <f t="shared" si="30"/>
        <v>Error?</v>
      </c>
    </row>
    <row r="2037" spans="1:4" x14ac:dyDescent="0.2">
      <c r="A2037" s="5">
        <v>1976</v>
      </c>
      <c r="B2037" s="138">
        <f>'Cap Outlay Deprec 26'!H16</f>
        <v>4052950</v>
      </c>
      <c r="C2037" s="2" t="s">
        <v>573</v>
      </c>
      <c r="D2037" s="2" t="str">
        <f t="shared" si="30"/>
        <v>Error?</v>
      </c>
    </row>
    <row r="2038" spans="1:4" x14ac:dyDescent="0.2">
      <c r="A2038" s="10">
        <v>1977</v>
      </c>
      <c r="D2038" s="2" t="str">
        <f t="shared" si="30"/>
        <v>OK</v>
      </c>
    </row>
    <row r="2039" spans="1:4" x14ac:dyDescent="0.2">
      <c r="A2039" s="5">
        <v>1978</v>
      </c>
      <c r="B2039" s="138">
        <f>'Cap Outlay Deprec 26'!I8</f>
        <v>82692</v>
      </c>
      <c r="D2039" s="2" t="str">
        <f t="shared" si="30"/>
        <v>Error?</v>
      </c>
    </row>
    <row r="2040" spans="1:4" x14ac:dyDescent="0.2">
      <c r="A2040" s="5">
        <v>1979</v>
      </c>
      <c r="B2040" s="138">
        <f>'Cap Outlay Deprec 26'!I10</f>
        <v>11192</v>
      </c>
      <c r="D2040" s="2" t="str">
        <f t="shared" si="30"/>
        <v>Error?</v>
      </c>
    </row>
    <row r="2041" spans="1:4" x14ac:dyDescent="0.2">
      <c r="A2041" s="5">
        <v>1980</v>
      </c>
      <c r="B2041" s="138">
        <f>'Cap Outlay Deprec 26'!I12</f>
        <v>35667</v>
      </c>
      <c r="D2041" s="2" t="str">
        <f t="shared" si="30"/>
        <v>Error?</v>
      </c>
    </row>
    <row r="2042" spans="1:4" x14ac:dyDescent="0.2">
      <c r="A2042" s="5">
        <v>1981</v>
      </c>
      <c r="B2042" s="138">
        <f>'Cap Outlay Deprec 26'!I13</f>
        <v>6231</v>
      </c>
      <c r="D2042" s="2" t="str">
        <f t="shared" si="30"/>
        <v>Error?</v>
      </c>
    </row>
    <row r="2043" spans="1:4" x14ac:dyDescent="0.2">
      <c r="A2043" s="5">
        <v>1982</v>
      </c>
      <c r="B2043" s="138">
        <f>'Cap Outlay Deprec 26'!I16</f>
        <v>135782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23598</v>
      </c>
      <c r="D2047" s="2" t="str">
        <f t="shared" ref="D2047:D2110" si="31">IF(ISBLANK(B2047),"OK",IF(A2047-B2047=0,"OK","Error?"))</f>
        <v>Error?</v>
      </c>
    </row>
    <row r="2048" spans="1:4" x14ac:dyDescent="0.2">
      <c r="A2048" s="5">
        <v>1987</v>
      </c>
      <c r="B2048" s="138">
        <f>'Cap Outlay Deprec 26'!J13</f>
        <v>25180</v>
      </c>
      <c r="D2048" s="2" t="str">
        <f t="shared" si="31"/>
        <v>Error?</v>
      </c>
    </row>
    <row r="2049" spans="1:4" x14ac:dyDescent="0.2">
      <c r="A2049" s="5">
        <v>1988</v>
      </c>
      <c r="B2049" s="138">
        <f>'Cap Outlay Deprec 26'!J16</f>
        <v>48778</v>
      </c>
      <c r="C2049" s="2" t="s">
        <v>573</v>
      </c>
      <c r="D2049" s="2" t="str">
        <f t="shared" si="31"/>
        <v>Error?</v>
      </c>
    </row>
    <row r="2050" spans="1:4" x14ac:dyDescent="0.2">
      <c r="A2050" s="10">
        <v>1989</v>
      </c>
      <c r="D2050" s="2" t="str">
        <f t="shared" si="31"/>
        <v>OK</v>
      </c>
    </row>
    <row r="2051" spans="1:4" x14ac:dyDescent="0.2">
      <c r="A2051" s="5">
        <v>1990</v>
      </c>
      <c r="B2051" s="138">
        <f>'Cap Outlay Deprec 26'!K8</f>
        <v>3187663</v>
      </c>
      <c r="C2051" s="2" t="s">
        <v>573</v>
      </c>
      <c r="D2051" s="2" t="str">
        <f t="shared" si="31"/>
        <v>Error?</v>
      </c>
    </row>
    <row r="2052" spans="1:4" x14ac:dyDescent="0.2">
      <c r="A2052" s="5">
        <v>1991</v>
      </c>
      <c r="B2052" s="138">
        <f>'Cap Outlay Deprec 26'!K10</f>
        <v>384482</v>
      </c>
      <c r="C2052" s="2" t="s">
        <v>573</v>
      </c>
      <c r="D2052" s="2" t="str">
        <f t="shared" si="31"/>
        <v>Error?</v>
      </c>
    </row>
    <row r="2053" spans="1:4" x14ac:dyDescent="0.2">
      <c r="A2053" s="5">
        <v>1992</v>
      </c>
      <c r="B2053" s="138">
        <f>'Cap Outlay Deprec 26'!K12</f>
        <v>190239</v>
      </c>
      <c r="C2053" s="2" t="s">
        <v>573</v>
      </c>
      <c r="D2053" s="2" t="str">
        <f t="shared" si="31"/>
        <v>Error?</v>
      </c>
    </row>
    <row r="2054" spans="1:4" x14ac:dyDescent="0.2">
      <c r="A2054" s="5">
        <v>1993</v>
      </c>
      <c r="B2054" s="138">
        <f>'Cap Outlay Deprec 26'!K13</f>
        <v>377570</v>
      </c>
      <c r="C2054" s="2" t="s">
        <v>573</v>
      </c>
      <c r="D2054" s="2" t="str">
        <f t="shared" si="31"/>
        <v>Error?</v>
      </c>
    </row>
    <row r="2055" spans="1:4" x14ac:dyDescent="0.2">
      <c r="A2055" s="5">
        <v>1994</v>
      </c>
      <c r="B2055" s="138">
        <f>'Cap Outlay Deprec 26'!K16</f>
        <v>4139954</v>
      </c>
      <c r="C2055" s="2" t="s">
        <v>573</v>
      </c>
      <c r="D2055" s="2" t="str">
        <f t="shared" si="31"/>
        <v>Error?</v>
      </c>
    </row>
    <row r="2056" spans="1:4" x14ac:dyDescent="0.2">
      <c r="A2056" s="5">
        <v>1995</v>
      </c>
      <c r="B2056" s="138">
        <f>'Cap Outlay Deprec 26'!L5</f>
        <v>38250</v>
      </c>
      <c r="C2056" s="2" t="s">
        <v>573</v>
      </c>
      <c r="D2056" s="2" t="str">
        <f t="shared" si="31"/>
        <v>Error?</v>
      </c>
    </row>
    <row r="2057" spans="1:4" x14ac:dyDescent="0.2">
      <c r="A2057" s="5">
        <v>1996</v>
      </c>
      <c r="B2057" s="138">
        <f>'Cap Outlay Deprec 26'!L8</f>
        <v>3075964</v>
      </c>
      <c r="C2057" s="2" t="s">
        <v>573</v>
      </c>
      <c r="D2057" s="2" t="str">
        <f t="shared" si="31"/>
        <v>Error?</v>
      </c>
    </row>
    <row r="2058" spans="1:4" x14ac:dyDescent="0.2">
      <c r="A2058" s="5">
        <v>1997</v>
      </c>
      <c r="B2058" s="138">
        <f>'Cap Outlay Deprec 26'!L10</f>
        <v>196194</v>
      </c>
      <c r="C2058" s="2" t="s">
        <v>573</v>
      </c>
      <c r="D2058" s="2" t="str">
        <f t="shared" si="31"/>
        <v>Error?</v>
      </c>
    </row>
    <row r="2059" spans="1:4" x14ac:dyDescent="0.2">
      <c r="A2059" s="5">
        <v>1998</v>
      </c>
      <c r="B2059" s="138">
        <f>'Cap Outlay Deprec 26'!L12</f>
        <v>166464</v>
      </c>
      <c r="C2059" s="2" t="s">
        <v>573</v>
      </c>
      <c r="D2059" s="2" t="str">
        <f t="shared" si="31"/>
        <v>Error?</v>
      </c>
    </row>
    <row r="2060" spans="1:4" x14ac:dyDescent="0.2">
      <c r="A2060" s="5">
        <v>1999</v>
      </c>
      <c r="B2060" s="138">
        <f>'Cap Outlay Deprec 26'!L13</f>
        <v>24924</v>
      </c>
      <c r="C2060" s="2" t="s">
        <v>573</v>
      </c>
      <c r="D2060" s="2" t="str">
        <f t="shared" si="31"/>
        <v>Error?</v>
      </c>
    </row>
    <row r="2061" spans="1:4" x14ac:dyDescent="0.2">
      <c r="A2061" s="5">
        <v>2000</v>
      </c>
      <c r="B2061" s="138">
        <f>'Cap Outlay Deprec 26'!L16</f>
        <v>3501796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22172</v>
      </c>
      <c r="C2088" s="2" t="s">
        <v>573</v>
      </c>
      <c r="D2088" s="2" t="str">
        <f t="shared" si="31"/>
        <v>Error?</v>
      </c>
    </row>
    <row r="2089" spans="1:4" x14ac:dyDescent="0.2">
      <c r="A2089" s="5">
        <v>2028</v>
      </c>
      <c r="B2089" s="138">
        <f>'Expenditures 15-22'!K92</f>
        <v>200510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29400</v>
      </c>
      <c r="C2105" s="2" t="s">
        <v>573</v>
      </c>
      <c r="D2105" s="2" t="str">
        <f t="shared" si="31"/>
        <v>Error?</v>
      </c>
    </row>
    <row r="2106" spans="1:4" x14ac:dyDescent="0.2">
      <c r="A2106" s="5">
        <v>2045</v>
      </c>
      <c r="B2106" s="138">
        <f>'Acct Summary 7-8'!I48</f>
        <v>363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248251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2163192</v>
      </c>
      <c r="C2551" s="2" t="s">
        <v>573</v>
      </c>
      <c r="D2551" s="2" t="str">
        <f t="shared" si="38"/>
        <v>Error?</v>
      </c>
    </row>
    <row r="2552" spans="1:4" x14ac:dyDescent="0.2">
      <c r="A2552" s="10">
        <v>2491</v>
      </c>
      <c r="D2552" s="2" t="str">
        <f t="shared" si="38"/>
        <v>OK</v>
      </c>
    </row>
    <row r="2553" spans="1:4" x14ac:dyDescent="0.2">
      <c r="A2553" s="5">
        <v>2492</v>
      </c>
      <c r="B2553" s="138">
        <f>'Acct Summary 7-8'!C6</f>
        <v>1266950</v>
      </c>
      <c r="C2553" s="2" t="s">
        <v>573</v>
      </c>
      <c r="D2553" s="2" t="str">
        <f t="shared" si="38"/>
        <v>Error?</v>
      </c>
    </row>
    <row r="2554" spans="1:4" x14ac:dyDescent="0.2">
      <c r="A2554" s="5">
        <v>2493</v>
      </c>
      <c r="B2554" s="138">
        <f>'Acct Summary 7-8'!C7</f>
        <v>345565</v>
      </c>
      <c r="C2554" s="2" t="s">
        <v>573</v>
      </c>
      <c r="D2554" s="2" t="str">
        <f t="shared" si="38"/>
        <v>Error?</v>
      </c>
    </row>
    <row r="2555" spans="1:4" x14ac:dyDescent="0.2">
      <c r="A2555" s="5">
        <v>2494</v>
      </c>
      <c r="B2555" s="138">
        <f>'Acct Summary 7-8'!C8</f>
        <v>3775707</v>
      </c>
      <c r="C2555" s="2" t="s">
        <v>573</v>
      </c>
      <c r="D2555" s="2" t="str">
        <f t="shared" si="38"/>
        <v>Error?</v>
      </c>
    </row>
    <row r="2556" spans="1:4" x14ac:dyDescent="0.2">
      <c r="A2556" s="5">
        <v>2495</v>
      </c>
      <c r="B2556" s="138">
        <f>'Acct Summary 7-8'!C12</f>
        <v>2879108</v>
      </c>
      <c r="C2556" s="2" t="s">
        <v>573</v>
      </c>
      <c r="D2556" s="2" t="str">
        <f t="shared" si="38"/>
        <v>Error?</v>
      </c>
    </row>
    <row r="2557" spans="1:4" x14ac:dyDescent="0.2">
      <c r="A2557" s="5">
        <v>2496</v>
      </c>
      <c r="B2557" s="138">
        <f>'Acct Summary 7-8'!C13</f>
        <v>795361</v>
      </c>
      <c r="C2557" s="2" t="s">
        <v>573</v>
      </c>
      <c r="D2557" s="2" t="str">
        <f t="shared" si="38"/>
        <v>Error?</v>
      </c>
    </row>
    <row r="2558" spans="1:4" x14ac:dyDescent="0.2">
      <c r="A2558" s="5">
        <v>2497</v>
      </c>
      <c r="B2558" s="138">
        <f>'Acct Summary 7-8'!C14</f>
        <v>12003</v>
      </c>
      <c r="C2558" s="2" t="s">
        <v>573</v>
      </c>
      <c r="D2558" s="2" t="str">
        <f t="shared" si="38"/>
        <v>Error?</v>
      </c>
    </row>
    <row r="2559" spans="1:4" x14ac:dyDescent="0.2">
      <c r="A2559" s="5">
        <v>2498</v>
      </c>
      <c r="B2559" s="138">
        <f>'Acct Summary 7-8'!C15</f>
        <v>222682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3909154</v>
      </c>
      <c r="C2561" s="2" t="s">
        <v>573</v>
      </c>
      <c r="D2561" s="2" t="str">
        <f t="shared" si="39"/>
        <v>Error?</v>
      </c>
    </row>
    <row r="2562" spans="1:4" x14ac:dyDescent="0.2">
      <c r="A2562" s="5">
        <v>2501</v>
      </c>
      <c r="B2562" s="138">
        <f>'Acct Summary 7-8'!C20</f>
        <v>-133447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419603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419603</v>
      </c>
      <c r="C2568" s="2" t="s">
        <v>573</v>
      </c>
      <c r="D2568" s="2" t="str">
        <f t="shared" si="39"/>
        <v>Error?</v>
      </c>
    </row>
    <row r="2569" spans="1:4" x14ac:dyDescent="0.2">
      <c r="A2569" s="5">
        <v>2508</v>
      </c>
      <c r="B2569" s="138">
        <f>'Acct Summary 7-8'!D13</f>
        <v>399719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399719</v>
      </c>
      <c r="C2573" s="2" t="s">
        <v>573</v>
      </c>
      <c r="D2573" s="2" t="str">
        <f t="shared" si="39"/>
        <v>Error?</v>
      </c>
    </row>
    <row r="2574" spans="1:4" x14ac:dyDescent="0.2">
      <c r="A2574" s="5">
        <v>2513</v>
      </c>
      <c r="B2574" s="138">
        <f>'Acct Summary 7-8'!D20</f>
        <v>19884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138480</v>
      </c>
      <c r="C2591" s="2" t="s">
        <v>573</v>
      </c>
      <c r="D2591" s="2" t="str">
        <f t="shared" si="39"/>
        <v>Error?</v>
      </c>
    </row>
    <row r="2592" spans="1:4" x14ac:dyDescent="0.2">
      <c r="A2592" s="10">
        <v>2531</v>
      </c>
      <c r="D2592" s="2" t="str">
        <f t="shared" si="39"/>
        <v>OK</v>
      </c>
    </row>
    <row r="2593" spans="1:4" x14ac:dyDescent="0.2">
      <c r="A2593" s="5">
        <v>2532</v>
      </c>
      <c r="B2593" s="138">
        <f>'Acct Summary 7-8'!F6</f>
        <v>193635</v>
      </c>
      <c r="C2593" s="2" t="s">
        <v>573</v>
      </c>
      <c r="D2593" s="2" t="str">
        <f t="shared" si="39"/>
        <v>Error?</v>
      </c>
    </row>
    <row r="2594" spans="1:4" x14ac:dyDescent="0.2">
      <c r="A2594" s="5">
        <v>2533</v>
      </c>
      <c r="B2594" s="138">
        <f>'Acct Summary 7-8'!F7</f>
        <v>2263</v>
      </c>
      <c r="C2594" s="2" t="s">
        <v>573</v>
      </c>
      <c r="D2594" s="2" t="str">
        <f t="shared" si="39"/>
        <v>Error?</v>
      </c>
    </row>
    <row r="2595" spans="1:4" x14ac:dyDescent="0.2">
      <c r="A2595" s="5">
        <v>2534</v>
      </c>
      <c r="B2595" s="138">
        <f>'Acct Summary 7-8'!F8</f>
        <v>334378</v>
      </c>
      <c r="C2595" s="2" t="s">
        <v>573</v>
      </c>
      <c r="D2595" s="2" t="str">
        <f t="shared" si="39"/>
        <v>Error?</v>
      </c>
    </row>
    <row r="2596" spans="1:4" x14ac:dyDescent="0.2">
      <c r="A2596" s="5">
        <v>2535</v>
      </c>
      <c r="B2596" s="138">
        <f>'Acct Summary 7-8'!F13</f>
        <v>307848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7658</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315506</v>
      </c>
      <c r="C2600" s="2" t="s">
        <v>573</v>
      </c>
      <c r="D2600" s="2" t="str">
        <f t="shared" si="39"/>
        <v>Error?</v>
      </c>
    </row>
    <row r="2601" spans="1:4" x14ac:dyDescent="0.2">
      <c r="A2601" s="5">
        <v>2540</v>
      </c>
      <c r="B2601" s="138">
        <f>'Acct Summary 7-8'!F20</f>
        <v>18872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174871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5192</v>
      </c>
      <c r="C2605" s="2" t="s">
        <v>573</v>
      </c>
      <c r="D2605" s="2" t="str">
        <f t="shared" si="39"/>
        <v>Error?</v>
      </c>
    </row>
    <row r="2606" spans="1:4" x14ac:dyDescent="0.2">
      <c r="A2606" s="5">
        <v>2545</v>
      </c>
      <c r="B2606" s="138">
        <f>'Acct Summary 7-8'!G8</f>
        <v>180063</v>
      </c>
      <c r="C2606" s="2" t="s">
        <v>573</v>
      </c>
      <c r="D2606" s="2" t="str">
        <f t="shared" si="39"/>
        <v>Error?</v>
      </c>
    </row>
    <row r="2607" spans="1:4" x14ac:dyDescent="0.2">
      <c r="A2607" s="5">
        <v>2546</v>
      </c>
      <c r="B2607" s="138">
        <f>'Acct Summary 7-8'!G12</f>
        <v>71155</v>
      </c>
      <c r="C2607" s="2" t="s">
        <v>573</v>
      </c>
      <c r="D2607" s="2" t="str">
        <f t="shared" si="39"/>
        <v>Error?</v>
      </c>
    </row>
    <row r="2608" spans="1:4" x14ac:dyDescent="0.2">
      <c r="A2608" s="5">
        <v>2547</v>
      </c>
      <c r="B2608" s="138">
        <f>'Acct Summary 7-8'!G13</f>
        <v>92019</v>
      </c>
      <c r="C2608" s="2" t="s">
        <v>573</v>
      </c>
      <c r="D2608" s="2" t="str">
        <f t="shared" si="39"/>
        <v>Error?</v>
      </c>
    </row>
    <row r="2609" spans="1:4" x14ac:dyDescent="0.2">
      <c r="A2609" s="5">
        <v>2548</v>
      </c>
      <c r="B2609" s="138">
        <f>'Acct Summary 7-8'!G14</f>
        <v>2007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165181</v>
      </c>
      <c r="C2612" s="2" t="s">
        <v>573</v>
      </c>
      <c r="D2612" s="2" t="str">
        <f t="shared" si="39"/>
        <v>Error?</v>
      </c>
    </row>
    <row r="2613" spans="1:4" x14ac:dyDescent="0.2">
      <c r="A2613" s="5">
        <v>2552</v>
      </c>
      <c r="B2613" s="138">
        <f>'Acct Summary 7-8'!G20</f>
        <v>14882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179134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179134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439716</v>
      </c>
      <c r="C2634" s="2" t="s">
        <v>573</v>
      </c>
      <c r="D2634" s="2" t="str">
        <f t="shared" si="40"/>
        <v>Error?</v>
      </c>
    </row>
    <row r="2635" spans="1:4" x14ac:dyDescent="0.2">
      <c r="A2635" s="5">
        <v>2574</v>
      </c>
      <c r="B2635" s="138">
        <f>'Acct Summary 7-8'!E17</f>
        <v>439716</v>
      </c>
      <c r="C2635" s="2" t="s">
        <v>573</v>
      </c>
      <c r="D2635" s="2" t="str">
        <f t="shared" si="40"/>
        <v>Error?</v>
      </c>
    </row>
    <row r="2636" spans="1:4" x14ac:dyDescent="0.2">
      <c r="A2636" s="5">
        <v>2575</v>
      </c>
      <c r="B2636" s="138">
        <f>'Acct Summary 7-8'!E20</f>
        <v>-260582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165218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165218</v>
      </c>
      <c r="C2658" s="2" t="s">
        <v>573</v>
      </c>
      <c r="D2658" s="2" t="str">
        <f t="shared" si="40"/>
        <v>Error?</v>
      </c>
    </row>
    <row r="2659" spans="1:4" x14ac:dyDescent="0.2">
      <c r="A2659" s="5">
        <v>2598</v>
      </c>
      <c r="B2659" s="138">
        <f>'Acct Summary 7-8'!H13</f>
        <v>761545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761545</v>
      </c>
      <c r="C2661" s="2" t="s">
        <v>573</v>
      </c>
      <c r="D2661" s="2" t="str">
        <f t="shared" si="40"/>
        <v>Error?</v>
      </c>
    </row>
    <row r="2662" spans="1:4" x14ac:dyDescent="0.2">
      <c r="A2662" s="5">
        <v>2601</v>
      </c>
      <c r="B2662" s="138">
        <f>'Acct Summary 7-8'!H20</f>
        <v>-596327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22172</v>
      </c>
      <c r="C2789" s="2" t="s">
        <v>573</v>
      </c>
      <c r="D2789" s="2" t="str">
        <f t="shared" si="42"/>
        <v>Error?</v>
      </c>
    </row>
    <row r="2790" spans="1:4" x14ac:dyDescent="0.2">
      <c r="A2790" s="5">
        <v>2729</v>
      </c>
      <c r="B2790" s="138">
        <f>'Expenditures 15-22'!E102</f>
        <v>22172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7658</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7658</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121977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49137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167908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121977</v>
      </c>
      <c r="D2912" s="2" t="str">
        <f t="shared" si="44"/>
        <v>Error?</v>
      </c>
    </row>
    <row r="2913" spans="1:4" x14ac:dyDescent="0.2">
      <c r="A2913" s="5">
        <v>2852</v>
      </c>
      <c r="B2913" s="138">
        <f>'Assets-Liab 5-6'!I41</f>
        <v>121977</v>
      </c>
      <c r="C2913" s="2" t="s">
        <v>573</v>
      </c>
      <c r="D2913" s="2" t="str">
        <f t="shared" si="44"/>
        <v>Error?</v>
      </c>
    </row>
    <row r="2914" spans="1:4" x14ac:dyDescent="0.2">
      <c r="A2914" s="5">
        <v>2853</v>
      </c>
      <c r="B2914" s="138">
        <f>'Assets-Liab 5-6'!L33</f>
        <v>115097</v>
      </c>
      <c r="D2914" s="2" t="str">
        <f t="shared" si="44"/>
        <v>Error?</v>
      </c>
    </row>
    <row r="2915" spans="1:4" x14ac:dyDescent="0.2">
      <c r="A2915" s="10">
        <v>2854</v>
      </c>
      <c r="D2915" s="2" t="str">
        <f t="shared" si="44"/>
        <v>OK</v>
      </c>
    </row>
    <row r="2916" spans="1:4" x14ac:dyDescent="0.2">
      <c r="A2916" s="5">
        <v>2855</v>
      </c>
      <c r="B2916" s="138">
        <f>'Assets-Liab 5-6'!L34</f>
        <v>115097</v>
      </c>
      <c r="C2916" s="2" t="s">
        <v>573</v>
      </c>
      <c r="D2916" s="2" t="str">
        <f t="shared" si="44"/>
        <v>Error?</v>
      </c>
    </row>
    <row r="2917" spans="1:4" x14ac:dyDescent="0.2">
      <c r="A2917" s="5">
        <v>2856</v>
      </c>
      <c r="B2917" s="138">
        <f>'Assets-Liab 5-6'!L41</f>
        <v>167908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19672</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2500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19672</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2500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7658</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7658</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67101</v>
      </c>
      <c r="D3055" s="2" t="str">
        <f t="shared" si="46"/>
        <v>Error?</v>
      </c>
    </row>
    <row r="3056" spans="1:4" x14ac:dyDescent="0.2">
      <c r="A3056" s="5">
        <v>2995</v>
      </c>
      <c r="B3056" s="138">
        <f>'Expenditures 15-22'!D10</f>
        <v>8704</v>
      </c>
      <c r="D3056" s="2" t="str">
        <f t="shared" si="46"/>
        <v>Error?</v>
      </c>
    </row>
    <row r="3057" spans="1:4" x14ac:dyDescent="0.2">
      <c r="A3057" s="5">
        <v>2996</v>
      </c>
      <c r="B3057" s="138">
        <f>'Expenditures 15-22'!E10</f>
        <v>817</v>
      </c>
      <c r="D3057" s="2" t="str">
        <f t="shared" si="46"/>
        <v>Error?</v>
      </c>
    </row>
    <row r="3058" spans="1:4" x14ac:dyDescent="0.2">
      <c r="A3058" s="5">
        <v>2997</v>
      </c>
      <c r="B3058" s="138">
        <f>'Expenditures 15-22'!F10</f>
        <v>7111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83733</v>
      </c>
      <c r="C3062" s="2" t="s">
        <v>573</v>
      </c>
      <c r="D3062" s="2" t="str">
        <f t="shared" si="46"/>
        <v>Error?</v>
      </c>
    </row>
    <row r="3063" spans="1:4" x14ac:dyDescent="0.2">
      <c r="A3063" s="10">
        <v>3002</v>
      </c>
      <c r="D3063" s="2" t="str">
        <f t="shared" si="46"/>
        <v>OK</v>
      </c>
    </row>
    <row r="3064" spans="1:4" x14ac:dyDescent="0.2">
      <c r="A3064" s="5">
        <v>3003</v>
      </c>
      <c r="B3064" s="138">
        <f>'Expenditures 15-22'!D219</f>
        <v>3348</v>
      </c>
      <c r="D3064" s="2" t="str">
        <f t="shared" si="46"/>
        <v>Error?</v>
      </c>
    </row>
    <row r="3065" spans="1:4" x14ac:dyDescent="0.2">
      <c r="A3065" s="5">
        <v>3004</v>
      </c>
      <c r="B3065" s="138">
        <f>'Expenditures 15-22'!K219</f>
        <v>3348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52811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271200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29999</v>
      </c>
      <c r="C3225" s="2" t="s">
        <v>573</v>
      </c>
      <c r="D3225" s="2" t="str">
        <f t="shared" si="49"/>
        <v>Error?</v>
      </c>
    </row>
    <row r="3226" spans="1:4" x14ac:dyDescent="0.2">
      <c r="A3226" s="5">
        <v>3165</v>
      </c>
      <c r="B3226" s="138">
        <f>'Acct Summary 7-8'!I8</f>
        <v>29999</v>
      </c>
      <c r="C3226" s="2" t="s">
        <v>573</v>
      </c>
      <c r="D3226" s="2" t="str">
        <f t="shared" si="49"/>
        <v>Error?</v>
      </c>
    </row>
    <row r="3227" spans="1:4" x14ac:dyDescent="0.2">
      <c r="A3227" s="5">
        <v>3166</v>
      </c>
      <c r="B3227" s="138">
        <f>'Acct Summary 7-8'!I20</f>
        <v>29999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29763</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29763</v>
      </c>
      <c r="C3232" s="2" t="s">
        <v>573</v>
      </c>
      <c r="D3232" s="2" t="str">
        <f t="shared" si="49"/>
        <v>Error?</v>
      </c>
    </row>
    <row r="3233" spans="1:4" x14ac:dyDescent="0.2">
      <c r="A3233" s="5">
        <v>3172</v>
      </c>
      <c r="B3233" s="138">
        <f>'Acct Summary 7-8'!C78</f>
        <v>-103684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19884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18872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14882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271200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271200</v>
      </c>
      <c r="C3277" s="2" t="s">
        <v>573</v>
      </c>
      <c r="D3277" s="2" t="str">
        <f t="shared" si="50"/>
        <v>Error?</v>
      </c>
    </row>
    <row r="3278" spans="1:4" x14ac:dyDescent="0.2">
      <c r="A3278" s="5">
        <v>3217</v>
      </c>
      <c r="B3278" s="138">
        <f>'Acct Summary 7-8'!E78</f>
        <v>10618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-596327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29763</v>
      </c>
      <c r="C3318" s="2" t="s">
        <v>573</v>
      </c>
      <c r="D3318" s="2" t="str">
        <f t="shared" si="50"/>
        <v>Error?</v>
      </c>
    </row>
    <row r="3319" spans="1:4" x14ac:dyDescent="0.2">
      <c r="A3319" s="5">
        <v>3258</v>
      </c>
      <c r="B3319" s="138">
        <f>'Acct Summary 7-8'!I77</f>
        <v>-29763</v>
      </c>
      <c r="C3319" s="2" t="s">
        <v>573</v>
      </c>
      <c r="D3319" s="2" t="str">
        <f t="shared" si="50"/>
        <v>Error?</v>
      </c>
    </row>
    <row r="3320" spans="1:4" x14ac:dyDescent="0.2">
      <c r="A3320" s="5">
        <v>3259</v>
      </c>
      <c r="B3320" s="138">
        <f>'Acct Summary 7-8'!I78</f>
        <v>236</v>
      </c>
      <c r="C3320" s="2" t="s">
        <v>573</v>
      </c>
      <c r="D3320" s="2" t="str">
        <f t="shared" si="50"/>
        <v>Error?</v>
      </c>
    </row>
    <row r="3321" spans="1:4" x14ac:dyDescent="0.2">
      <c r="A3321" s="5">
        <v>3260</v>
      </c>
      <c r="B3321" s="138">
        <f>'Acct Summary 7-8'!I79</f>
        <v>121741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121977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201503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21834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223337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45890</v>
      </c>
      <c r="D3387" s="2" t="str">
        <f t="shared" si="51"/>
        <v>Error?</v>
      </c>
    </row>
    <row r="3388" spans="1:4" x14ac:dyDescent="0.2">
      <c r="A3388" s="5">
        <v>3327</v>
      </c>
      <c r="B3388" s="138">
        <f>'Expenditures 15-22'!D217</f>
        <v>11512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45890</v>
      </c>
      <c r="C3390" s="2" t="s">
        <v>573</v>
      </c>
      <c r="D3390" s="2" t="str">
        <f t="shared" si="51"/>
        <v>Error?</v>
      </c>
    </row>
    <row r="3391" spans="1:4" x14ac:dyDescent="0.2">
      <c r="A3391" s="5">
        <v>3330</v>
      </c>
      <c r="B3391" s="138">
        <f>'Expenditures 15-22'!K217</f>
        <v>11512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520282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273708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96299</v>
      </c>
      <c r="D3417" s="2" t="str">
        <f t="shared" si="52"/>
        <v>Error?</v>
      </c>
    </row>
    <row r="3418" spans="1:4" x14ac:dyDescent="0.2">
      <c r="A3418" s="10">
        <v>3357</v>
      </c>
      <c r="D3418" s="2" t="str">
        <f t="shared" si="52"/>
        <v>OK</v>
      </c>
    </row>
    <row r="3419" spans="1:4" x14ac:dyDescent="0.2">
      <c r="A3419" s="5">
        <v>3358</v>
      </c>
      <c r="B3419" s="138">
        <f>'Assets-Liab 5-6'!F4</f>
        <v>201396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325472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186948</v>
      </c>
      <c r="D3425" s="2" t="str">
        <f t="shared" si="52"/>
        <v>Error?</v>
      </c>
    </row>
    <row r="3426" spans="1:4" x14ac:dyDescent="0.2">
      <c r="A3426" s="10">
        <v>3365</v>
      </c>
      <c r="D3426" s="2" t="str">
        <f t="shared" si="52"/>
        <v>OK</v>
      </c>
    </row>
    <row r="3427" spans="1:4" x14ac:dyDescent="0.2">
      <c r="A3427" s="5">
        <v>3366</v>
      </c>
      <c r="B3427" s="138">
        <f>'Assets-Liab 5-6'!I4</f>
        <v>121977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118771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128656</v>
      </c>
      <c r="C3446" s="2" t="s">
        <v>573</v>
      </c>
      <c r="D3446" s="2" t="str">
        <f t="shared" si="52"/>
        <v>Error?</v>
      </c>
    </row>
    <row r="3447" spans="1:4" x14ac:dyDescent="0.2">
      <c r="A3447" s="5">
        <v>3386</v>
      </c>
      <c r="B3447" s="138">
        <f>'Tax Sched 23'!D16</f>
        <v>57228</v>
      </c>
      <c r="C3447" s="2" t="s">
        <v>573</v>
      </c>
      <c r="D3447" s="2" t="str">
        <f t="shared" si="52"/>
        <v>Error?</v>
      </c>
    </row>
    <row r="3448" spans="1:4" x14ac:dyDescent="0.2">
      <c r="A3448" s="5">
        <v>3387</v>
      </c>
      <c r="B3448" s="138">
        <f>'Tax Sched 23'!C16</f>
        <v>71428</v>
      </c>
      <c r="D3448" s="2" t="str">
        <f t="shared" si="52"/>
        <v>Error?</v>
      </c>
    </row>
    <row r="3449" spans="1:4" x14ac:dyDescent="0.2">
      <c r="A3449" s="5">
        <v>3388</v>
      </c>
      <c r="B3449" s="138">
        <f>'Tax Sched 23'!F16</f>
        <v>57920</v>
      </c>
      <c r="C3449" s="2" t="s">
        <v>573</v>
      </c>
      <c r="D3449" s="2" t="str">
        <f t="shared" si="52"/>
        <v>Error?</v>
      </c>
    </row>
    <row r="3450" spans="1:4" x14ac:dyDescent="0.2">
      <c r="A3450" s="5">
        <v>3389</v>
      </c>
      <c r="B3450" s="138">
        <f>'Tax Sched 23'!E16</f>
        <v>129348</v>
      </c>
      <c r="D3450" s="2" t="str">
        <f t="shared" si="52"/>
        <v>Error?</v>
      </c>
    </row>
    <row r="3451" spans="1:4" x14ac:dyDescent="0.2">
      <c r="A3451" s="5">
        <v>3390</v>
      </c>
      <c r="B3451" s="138">
        <f>'Cap Outlay Deprec 26'!C15</f>
        <v>513353</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513353</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172135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172135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172135</v>
      </c>
      <c r="D3567" s="2" t="str">
        <f t="shared" si="54"/>
        <v>Error?</v>
      </c>
    </row>
    <row r="3568" spans="1:4" x14ac:dyDescent="0.2">
      <c r="A3568" s="5">
        <v>3507</v>
      </c>
      <c r="B3568" s="138">
        <f>'Assets-Liab 5-6'!K41</f>
        <v>172135</v>
      </c>
      <c r="C3568" s="2" t="s">
        <v>573</v>
      </c>
      <c r="D3568" s="2" t="str">
        <f t="shared" si="54"/>
        <v>Error?</v>
      </c>
    </row>
    <row r="3569" spans="1:4" x14ac:dyDescent="0.2">
      <c r="A3569" s="5">
        <v>3508</v>
      </c>
      <c r="B3569" s="138">
        <f>'Acct Summary 7-8'!K4</f>
        <v>32224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32224</v>
      </c>
      <c r="C3571" s="2" t="s">
        <v>573</v>
      </c>
      <c r="D3571" s="2" t="str">
        <f t="shared" si="54"/>
        <v>Error?</v>
      </c>
    </row>
    <row r="3572" spans="1:4" x14ac:dyDescent="0.2">
      <c r="A3572" s="5">
        <v>3511</v>
      </c>
      <c r="B3572" s="138">
        <f>'Acct Summary 7-8'!K13</f>
        <v>107550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107550</v>
      </c>
      <c r="C3575" s="2" t="s">
        <v>573</v>
      </c>
      <c r="D3575" s="2" t="str">
        <f t="shared" si="54"/>
        <v>Error?</v>
      </c>
    </row>
    <row r="3576" spans="1:4" x14ac:dyDescent="0.2">
      <c r="A3576" s="5">
        <v>3515</v>
      </c>
      <c r="B3576" s="138">
        <f>'Acct Summary 7-8'!K20</f>
        <v>-75326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-75326</v>
      </c>
      <c r="C3588" s="2" t="s">
        <v>573</v>
      </c>
      <c r="D3588" s="2" t="str">
        <f t="shared" si="55"/>
        <v>Error?</v>
      </c>
    </row>
    <row r="3589" spans="1:4" x14ac:dyDescent="0.2">
      <c r="A3589" s="5">
        <v>3528</v>
      </c>
      <c r="B3589" s="138">
        <f>'Acct Summary 7-8'!K79</f>
        <v>247461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172135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2459</v>
      </c>
      <c r="D3631" s="2" t="str">
        <f t="shared" si="55"/>
        <v>Error?</v>
      </c>
    </row>
    <row r="3632" spans="1:4" x14ac:dyDescent="0.2">
      <c r="A3632" s="5">
        <v>3571</v>
      </c>
      <c r="B3632" s="138">
        <f>'Expenditures 15-22'!E349</f>
        <v>15097</v>
      </c>
      <c r="D3632" s="2" t="str">
        <f t="shared" si="55"/>
        <v>Error?</v>
      </c>
    </row>
    <row r="3633" spans="1:4" x14ac:dyDescent="0.2">
      <c r="A3633" s="5">
        <v>3572</v>
      </c>
      <c r="B3633" s="138">
        <f>'Expenditures 15-22'!E350</f>
        <v>17556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17556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89994</v>
      </c>
      <c r="D3646" s="2" t="str">
        <f t="shared" si="55"/>
        <v>Error?</v>
      </c>
    </row>
    <row r="3647" spans="1:4" x14ac:dyDescent="0.2">
      <c r="A3647" s="5">
        <v>3586</v>
      </c>
      <c r="B3647" s="138">
        <f>'Expenditures 15-22'!G350</f>
        <v>89994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89994</v>
      </c>
      <c r="C3649" s="2" t="s">
        <v>573</v>
      </c>
      <c r="D3649" s="2" t="str">
        <f t="shared" si="56"/>
        <v>Error?</v>
      </c>
    </row>
    <row r="3650" spans="1:4" x14ac:dyDescent="0.2">
      <c r="A3650" s="5">
        <v>3589</v>
      </c>
      <c r="B3650" s="138">
        <f>'Expenditures 15-22'!G367</f>
        <v>89994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2459</v>
      </c>
      <c r="C3668" s="2" t="s">
        <v>573</v>
      </c>
      <c r="D3668" s="2" t="str">
        <f t="shared" si="56"/>
        <v>Error?</v>
      </c>
    </row>
    <row r="3669" spans="1:4" x14ac:dyDescent="0.2">
      <c r="A3669" s="5">
        <v>3608</v>
      </c>
      <c r="B3669" s="138">
        <f>'Expenditures 15-22'!K349</f>
        <v>105091</v>
      </c>
      <c r="C3669" s="2" t="s">
        <v>573</v>
      </c>
      <c r="D3669" s="2" t="str">
        <f t="shared" si="56"/>
        <v>Error?</v>
      </c>
    </row>
    <row r="3670" spans="1:4" x14ac:dyDescent="0.2">
      <c r="A3670" s="5">
        <v>3609</v>
      </c>
      <c r="B3670" s="138">
        <f>'Expenditures 15-22'!K350</f>
        <v>107550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107550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107550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-75326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29637</v>
      </c>
      <c r="C3725" s="2" t="s">
        <v>573</v>
      </c>
      <c r="D3725" s="2" t="str">
        <f t="shared" si="57"/>
        <v>Error?</v>
      </c>
    </row>
    <row r="3726" spans="1:4" x14ac:dyDescent="0.2">
      <c r="A3726" s="5">
        <v>3665</v>
      </c>
      <c r="B3726" s="138">
        <f>'Tax Sched 23'!D13</f>
        <v>13010</v>
      </c>
      <c r="C3726" s="2" t="s">
        <v>573</v>
      </c>
      <c r="D3726" s="2" t="str">
        <f t="shared" si="57"/>
        <v>Error?</v>
      </c>
    </row>
    <row r="3727" spans="1:4" x14ac:dyDescent="0.2">
      <c r="A3727" s="5">
        <v>3666</v>
      </c>
      <c r="B3727" s="138">
        <f>'Tax Sched 23'!C13</f>
        <v>16627</v>
      </c>
      <c r="D3727" s="2" t="str">
        <f t="shared" si="57"/>
        <v>Error?</v>
      </c>
    </row>
    <row r="3728" spans="1:4" x14ac:dyDescent="0.2">
      <c r="A3728" s="5">
        <v>3667</v>
      </c>
      <c r="B3728" s="138">
        <f>'Tax Sched 23'!F13</f>
        <v>13482</v>
      </c>
      <c r="C3728" s="2" t="s">
        <v>573</v>
      </c>
      <c r="D3728" s="2" t="str">
        <f t="shared" si="57"/>
        <v>Error?</v>
      </c>
    </row>
    <row r="3729" spans="1:4" x14ac:dyDescent="0.2">
      <c r="A3729" s="5">
        <v>3668</v>
      </c>
      <c r="B3729" s="138">
        <f>'Tax Sched 23'!E13</f>
        <v>30109</v>
      </c>
      <c r="D3729" s="2" t="str">
        <f t="shared" si="57"/>
        <v>Error?</v>
      </c>
    </row>
    <row r="3730" spans="1:4" x14ac:dyDescent="0.2">
      <c r="A3730" s="5">
        <v>3669</v>
      </c>
      <c r="B3730" s="138">
        <f>'ICR Computation 30'!E10</f>
        <v>106908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1824146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5599853</v>
      </c>
      <c r="C4122" s="2" t="s">
        <v>573</v>
      </c>
      <c r="D4122" s="2" t="str">
        <f t="shared" si="63"/>
        <v>Error?</v>
      </c>
    </row>
    <row r="4123" spans="1:4" x14ac:dyDescent="0.2">
      <c r="A4123" s="5">
        <v>4062</v>
      </c>
      <c r="B4123" s="138">
        <f>'Acct Summary 7-8'!D10</f>
        <v>419603</v>
      </c>
      <c r="C4123" s="2" t="s">
        <v>573</v>
      </c>
      <c r="D4123" s="2" t="str">
        <f t="shared" si="63"/>
        <v>Error?</v>
      </c>
    </row>
    <row r="4124" spans="1:4" x14ac:dyDescent="0.2">
      <c r="A4124" s="5">
        <v>4063</v>
      </c>
      <c r="B4124" s="138">
        <f>'Acct Summary 7-8'!E10</f>
        <v>179134</v>
      </c>
      <c r="C4124" s="2" t="s">
        <v>573</v>
      </c>
      <c r="D4124" s="2" t="str">
        <f t="shared" si="63"/>
        <v>Error?</v>
      </c>
    </row>
    <row r="4125" spans="1:4" x14ac:dyDescent="0.2">
      <c r="A4125" s="5">
        <v>4064</v>
      </c>
      <c r="B4125" s="138">
        <f>'Acct Summary 7-8'!F10</f>
        <v>334378</v>
      </c>
      <c r="C4125" s="2" t="s">
        <v>573</v>
      </c>
      <c r="D4125" s="2" t="str">
        <f t="shared" si="63"/>
        <v>Error?</v>
      </c>
    </row>
    <row r="4126" spans="1:4" x14ac:dyDescent="0.2">
      <c r="A4126" s="5">
        <v>4065</v>
      </c>
      <c r="B4126" s="138">
        <f>'Acct Summary 7-8'!G10</f>
        <v>180063</v>
      </c>
      <c r="C4126" s="2" t="s">
        <v>573</v>
      </c>
      <c r="D4126" s="2" t="str">
        <f t="shared" si="63"/>
        <v>Error?</v>
      </c>
    </row>
    <row r="4127" spans="1:4" x14ac:dyDescent="0.2">
      <c r="A4127" s="5">
        <v>4066</v>
      </c>
      <c r="B4127" s="138">
        <f>'Acct Summary 7-8'!H10</f>
        <v>165218</v>
      </c>
      <c r="C4127" s="2" t="s">
        <v>573</v>
      </c>
      <c r="D4127" s="2" t="str">
        <f t="shared" si="63"/>
        <v>Error?</v>
      </c>
    </row>
    <row r="4128" spans="1:4" x14ac:dyDescent="0.2">
      <c r="A4128" s="5">
        <v>4067</v>
      </c>
      <c r="B4128" s="138">
        <f>'Acct Summary 7-8'!I10</f>
        <v>29999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32224</v>
      </c>
      <c r="C4130" s="2" t="s">
        <v>573</v>
      </c>
      <c r="D4130" s="2" t="str">
        <f t="shared" si="63"/>
        <v>Error?</v>
      </c>
    </row>
    <row r="4131" spans="1:4" x14ac:dyDescent="0.2">
      <c r="A4131" s="5">
        <v>4070</v>
      </c>
      <c r="B4131" s="138">
        <f>'Acct Summary 7-8'!C18</f>
        <v>1824146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5733300</v>
      </c>
      <c r="C4136" s="2" t="s">
        <v>573</v>
      </c>
      <c r="D4136" s="2" t="str">
        <f t="shared" si="63"/>
        <v>Error?</v>
      </c>
    </row>
    <row r="4137" spans="1:4" x14ac:dyDescent="0.2">
      <c r="A4137" s="5">
        <v>4076</v>
      </c>
      <c r="B4137" s="138">
        <f>'Acct Summary 7-8'!D19</f>
        <v>399719</v>
      </c>
      <c r="C4137" s="2" t="s">
        <v>573</v>
      </c>
      <c r="D4137" s="2" t="str">
        <f t="shared" si="63"/>
        <v>Error?</v>
      </c>
    </row>
    <row r="4138" spans="1:4" x14ac:dyDescent="0.2">
      <c r="A4138" s="5">
        <v>4077</v>
      </c>
      <c r="B4138" s="138">
        <f>'Acct Summary 7-8'!E19</f>
        <v>439716</v>
      </c>
      <c r="C4138" s="2" t="s">
        <v>573</v>
      </c>
      <c r="D4138" s="2" t="str">
        <f t="shared" si="63"/>
        <v>Error?</v>
      </c>
    </row>
    <row r="4139" spans="1:4" x14ac:dyDescent="0.2">
      <c r="A4139" s="5">
        <v>4078</v>
      </c>
      <c r="B4139" s="138">
        <f>'Acct Summary 7-8'!F19</f>
        <v>315506</v>
      </c>
      <c r="C4139" s="2" t="s">
        <v>573</v>
      </c>
      <c r="D4139" s="2" t="str">
        <f t="shared" si="63"/>
        <v>Error?</v>
      </c>
    </row>
    <row r="4140" spans="1:4" x14ac:dyDescent="0.2">
      <c r="A4140" s="5">
        <v>4079</v>
      </c>
      <c r="B4140" s="138">
        <f>'Acct Summary 7-8'!G19</f>
        <v>165181</v>
      </c>
      <c r="C4140" s="2" t="s">
        <v>573</v>
      </c>
      <c r="D4140" s="2" t="str">
        <f t="shared" si="63"/>
        <v>Error?</v>
      </c>
    </row>
    <row r="4141" spans="1:4" x14ac:dyDescent="0.2">
      <c r="A4141" s="5">
        <v>4080</v>
      </c>
      <c r="B4141" s="138">
        <f>'Acct Summary 7-8'!H19</f>
        <v>761545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107550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2033200</v>
      </c>
      <c r="C4171" s="2" t="s">
        <v>573</v>
      </c>
      <c r="D4171" s="2" t="str">
        <f t="shared" si="64"/>
        <v>Error?</v>
      </c>
    </row>
    <row r="4172" spans="1:4" x14ac:dyDescent="0.2">
      <c r="A4172" s="5">
        <v>4111</v>
      </c>
      <c r="B4172" s="138">
        <f>'Short-Term Long-Term Debt 24'!J49</f>
        <v>1936901</v>
      </c>
      <c r="C4172" s="2" t="s">
        <v>573</v>
      </c>
      <c r="D4172" s="2" t="str">
        <f t="shared" si="64"/>
        <v>Error?</v>
      </c>
    </row>
    <row r="4173" spans="1:4" x14ac:dyDescent="0.2">
      <c r="A4173" s="5">
        <v>4112</v>
      </c>
      <c r="B4173" s="138">
        <f>'Short-Term Long-Term Debt 24'!H49</f>
        <v>383000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2997.2</v>
      </c>
      <c r="C4265" s="2" t="s">
        <v>573</v>
      </c>
      <c r="D4265" s="2" t="str">
        <f t="shared" si="65"/>
        <v>Error?</v>
      </c>
      <c r="E4265" s="128"/>
    </row>
    <row r="4266" spans="1:5" x14ac:dyDescent="0.2">
      <c r="A4266" s="12">
        <v>4205</v>
      </c>
      <c r="B4266" s="138">
        <f>('FP Info 3'!F10)*100000</f>
        <v>549.5</v>
      </c>
      <c r="C4266" s="2" t="s">
        <v>573</v>
      </c>
      <c r="D4266" s="2" t="str">
        <f t="shared" si="65"/>
        <v>Error?</v>
      </c>
      <c r="E4266" s="128"/>
    </row>
    <row r="4267" spans="1:5" x14ac:dyDescent="0.2">
      <c r="A4267" s="12">
        <v>4206</v>
      </c>
      <c r="B4267" s="138">
        <f>('FP Info 3'!H10)*100000</f>
        <v>199.89999999999998</v>
      </c>
      <c r="C4267" s="2" t="s">
        <v>573</v>
      </c>
      <c r="D4267" s="2" t="str">
        <f t="shared" si="65"/>
        <v>Error?</v>
      </c>
      <c r="E4267" s="128"/>
    </row>
    <row r="4268" spans="1:5" x14ac:dyDescent="0.2">
      <c r="A4268" s="12">
        <v>4207</v>
      </c>
      <c r="B4268" s="138">
        <f>('FP Info 3'!J10)*100000</f>
        <v>3747.0000000000005</v>
      </c>
      <c r="C4268" s="2" t="s">
        <v>573</v>
      </c>
      <c r="D4268" s="2" t="str">
        <f t="shared" si="65"/>
        <v>Error?</v>
      </c>
    </row>
    <row r="4269" spans="1:5" x14ac:dyDescent="0.2">
      <c r="A4269" s="12">
        <v>4208</v>
      </c>
      <c r="B4269" s="138">
        <f>'FP Info 3'!J16</f>
        <v>1388268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5290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6058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119933</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2263</v>
      </c>
      <c r="D4409" s="2" t="str">
        <f t="shared" si="67"/>
        <v>Error?</v>
      </c>
    </row>
    <row r="4410" spans="1:5" x14ac:dyDescent="0.2">
      <c r="A4410" s="5">
        <v>4349</v>
      </c>
      <c r="B4410" s="138">
        <f>'Revenues 9-14'!G207</f>
        <v>4209</v>
      </c>
      <c r="D4410" s="2" t="str">
        <f t="shared" si="67"/>
        <v>Error?</v>
      </c>
    </row>
    <row r="4411" spans="1:5" x14ac:dyDescent="0.2">
      <c r="A4411" s="5">
        <v>4350</v>
      </c>
      <c r="B4411" s="138">
        <f>'Revenues 9-14'!C209</f>
        <v>119933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2263</v>
      </c>
      <c r="C4413" s="2" t="s">
        <v>573</v>
      </c>
      <c r="D4413" s="2" t="str">
        <f t="shared" si="67"/>
        <v>Error?</v>
      </c>
    </row>
    <row r="4414" spans="1:5" x14ac:dyDescent="0.2">
      <c r="A4414" s="5">
        <v>4353</v>
      </c>
      <c r="B4414" s="138">
        <f>'Revenues 9-14'!G209</f>
        <v>4209</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14543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43048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60218047</v>
      </c>
      <c r="D4995" s="2" t="str">
        <f t="shared" si="77"/>
        <v>Error?</v>
      </c>
    </row>
    <row r="4996" spans="1:4" x14ac:dyDescent="0.2">
      <c r="A4996" s="12">
        <v>4935</v>
      </c>
      <c r="B4996" s="138">
        <f>'FP Info 3'!H31</f>
        <v>8310090.4860000005</v>
      </c>
      <c r="D4996" s="2" t="str">
        <f t="shared" si="77"/>
        <v>Error?</v>
      </c>
    </row>
    <row r="4997" spans="1:4" x14ac:dyDescent="0.2">
      <c r="A4997" s="12">
        <v>4936</v>
      </c>
      <c r="B4997" s="138">
        <f>'FP Info 3'!H37</f>
        <v>2033200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29637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1776742</v>
      </c>
      <c r="D5061" s="2" t="str">
        <f t="shared" si="78"/>
        <v>Error?</v>
      </c>
    </row>
    <row r="5062" spans="1:4" x14ac:dyDescent="0.2">
      <c r="A5062" s="10">
        <v>5001</v>
      </c>
      <c r="D5062" s="2" t="str">
        <f t="shared" si="78"/>
        <v>OK</v>
      </c>
    </row>
    <row r="5063" spans="1:4" x14ac:dyDescent="0.2">
      <c r="A5063" s="5">
        <v>5002</v>
      </c>
      <c r="B5063" s="138">
        <f>'Revenues 9-14'!C7</f>
        <v>23704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1830083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71451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71451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1915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1915</v>
      </c>
      <c r="C5090" s="2" t="s">
        <v>573</v>
      </c>
      <c r="D5090" s="2" t="str">
        <f t="shared" si="78"/>
        <v>Error?</v>
      </c>
    </row>
    <row r="5091" spans="1:4" x14ac:dyDescent="0.2">
      <c r="A5091" s="5">
        <v>5030</v>
      </c>
      <c r="B5091" s="138">
        <f>'Revenues 9-14'!C70</f>
        <v>26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115912</v>
      </c>
      <c r="C5096" s="2" t="s">
        <v>573</v>
      </c>
      <c r="D5096" s="2" t="str">
        <f t="shared" si="78"/>
        <v>Error?</v>
      </c>
    </row>
    <row r="5097" spans="1:4" x14ac:dyDescent="0.2">
      <c r="A5097" s="5">
        <v>5036</v>
      </c>
      <c r="B5097" s="138">
        <f>'Revenues 9-14'!C77</f>
        <v>19802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7720</v>
      </c>
      <c r="D5101" s="2" t="str">
        <f t="shared" si="78"/>
        <v>Error?</v>
      </c>
    </row>
    <row r="5102" spans="1:4" x14ac:dyDescent="0.2">
      <c r="A5102" s="5">
        <v>5041</v>
      </c>
      <c r="B5102" s="138">
        <f>'Revenues 9-14'!C82</f>
        <v>27522</v>
      </c>
      <c r="C5102" s="2" t="s">
        <v>573</v>
      </c>
      <c r="D5102" s="2" t="str">
        <f t="shared" si="78"/>
        <v>Error?</v>
      </c>
    </row>
    <row r="5103" spans="1:4" x14ac:dyDescent="0.2">
      <c r="A5103" s="5">
        <v>5042</v>
      </c>
      <c r="B5103" s="138">
        <f>'Revenues 9-14'!C84</f>
        <v>19490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6889</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26379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54583</v>
      </c>
      <c r="D5115" s="2" t="str">
        <f t="shared" si="78"/>
        <v>Error?</v>
      </c>
    </row>
    <row r="5116" spans="1:4" x14ac:dyDescent="0.2">
      <c r="A5116" s="5">
        <v>5055</v>
      </c>
      <c r="B5116" s="138">
        <f>'Revenues 9-14'!C99</f>
        <v>7702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25945</v>
      </c>
      <c r="D5119" s="2" t="str">
        <f t="shared" ref="D5119:D5182" si="79">IF(ISBLANK(B5119),"OK",IF(A5119-B5119=0,"OK","Error?"))</f>
        <v>Error?</v>
      </c>
    </row>
    <row r="5120" spans="1:4" x14ac:dyDescent="0.2">
      <c r="A5120" s="5">
        <v>5059</v>
      </c>
      <c r="B5120" s="138">
        <f>'Revenues 9-14'!C108</f>
        <v>89930</v>
      </c>
      <c r="C5120" s="2" t="s">
        <v>573</v>
      </c>
      <c r="D5120" s="2" t="str">
        <f t="shared" si="79"/>
        <v>Error?</v>
      </c>
    </row>
    <row r="5121" spans="1:4" x14ac:dyDescent="0.2">
      <c r="A5121" s="5">
        <v>5060</v>
      </c>
      <c r="B5121" s="138">
        <f>'Revenues 9-14'!C109</f>
        <v>2163192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1209576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1209576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18429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18429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29103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1798</v>
      </c>
      <c r="D5167" s="2" t="str">
        <f t="shared" si="79"/>
        <v>Error?</v>
      </c>
    </row>
    <row r="5168" spans="1:4" x14ac:dyDescent="0.2">
      <c r="A5168" s="5">
        <v>5107</v>
      </c>
      <c r="B5168" s="138">
        <f>'Revenues 9-14'!C148</f>
        <v>7294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57374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1266950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43048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85252</v>
      </c>
      <c r="D5239" s="2" t="str">
        <f t="shared" si="80"/>
        <v>Error?</v>
      </c>
    </row>
    <row r="5240" spans="1:4" x14ac:dyDescent="0.2">
      <c r="A5240" s="5">
        <v>5179</v>
      </c>
      <c r="B5240" s="138">
        <f>'Revenues 9-14'!C192</f>
        <v>1019</v>
      </c>
      <c r="D5240" s="2" t="str">
        <f t="shared" si="80"/>
        <v>Error?</v>
      </c>
    </row>
    <row r="5241" spans="1:4" x14ac:dyDescent="0.2">
      <c r="A5241" s="5">
        <v>5180</v>
      </c>
      <c r="B5241" s="138">
        <f>'Revenues 9-14'!C193</f>
        <v>20350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106621</v>
      </c>
      <c r="C5246" s="2" t="s">
        <v>573</v>
      </c>
      <c r="D5246" s="2" t="str">
        <f t="shared" si="80"/>
        <v>Error?</v>
      </c>
    </row>
    <row r="5247" spans="1:4" x14ac:dyDescent="0.2">
      <c r="A5247" s="5">
        <v>5186</v>
      </c>
      <c r="B5247" s="138">
        <f>'Revenues 9-14'!C200</f>
        <v>50072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50072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302517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345565</v>
      </c>
      <c r="C5326" s="2" t="s">
        <v>573</v>
      </c>
      <c r="D5326" s="2" t="str">
        <f t="shared" si="82"/>
        <v>Error?</v>
      </c>
    </row>
    <row r="5327" spans="1:5" x14ac:dyDescent="0.2">
      <c r="A5327" s="5">
        <v>5266</v>
      </c>
      <c r="B5327" s="138">
        <f>'Revenues 9-14'!C268</f>
        <v>3775707</v>
      </c>
      <c r="C5327" s="2" t="s">
        <v>573</v>
      </c>
      <c r="D5327" s="2" t="str">
        <f t="shared" si="82"/>
        <v>Error?</v>
      </c>
    </row>
    <row r="5328" spans="1:5" x14ac:dyDescent="0.2">
      <c r="A5328" s="5">
        <v>5267</v>
      </c>
      <c r="B5328" s="138">
        <f>'Revenues 9-14'!D5</f>
        <v>325758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325758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744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220</v>
      </c>
      <c r="D5354" s="2" t="str">
        <f t="shared" si="82"/>
        <v>Error?</v>
      </c>
    </row>
    <row r="5355" spans="1:4" x14ac:dyDescent="0.2">
      <c r="A5355" s="5">
        <v>5294</v>
      </c>
      <c r="B5355" s="138">
        <f>'Revenues 9-14'!D108</f>
        <v>93101</v>
      </c>
      <c r="C5355" s="2" t="s">
        <v>573</v>
      </c>
      <c r="D5355" s="2" t="str">
        <f t="shared" si="82"/>
        <v>Error?</v>
      </c>
    </row>
    <row r="5356" spans="1:4" x14ac:dyDescent="0.2">
      <c r="A5356" s="5">
        <v>5295</v>
      </c>
      <c r="B5356" s="138">
        <f>'Revenues 9-14'!D109</f>
        <v>419603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419603</v>
      </c>
      <c r="C5508" s="2" t="s">
        <v>573</v>
      </c>
      <c r="D5508" s="2" t="str">
        <f t="shared" si="85"/>
        <v>Error?</v>
      </c>
    </row>
    <row r="5509" spans="1:4" x14ac:dyDescent="0.2">
      <c r="A5509" s="5">
        <v>5448</v>
      </c>
      <c r="B5509" s="138">
        <f>'Revenues 9-14'!E5</f>
        <v>142048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142048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43</v>
      </c>
      <c r="D5525" s="2" t="str">
        <f t="shared" si="85"/>
        <v>Error?</v>
      </c>
    </row>
    <row r="5526" spans="1:4" x14ac:dyDescent="0.2">
      <c r="A5526" s="5">
        <v>5465</v>
      </c>
      <c r="B5526" s="138">
        <f>'Revenues 9-14'!E108</f>
        <v>36867</v>
      </c>
      <c r="C5526" s="2" t="s">
        <v>573</v>
      </c>
      <c r="D5526" s="2" t="str">
        <f t="shared" si="85"/>
        <v>Error?</v>
      </c>
    </row>
    <row r="5527" spans="1:4" x14ac:dyDescent="0.2">
      <c r="A5527" s="5">
        <v>5466</v>
      </c>
      <c r="B5527" s="138">
        <f>'Revenues 9-14'!E109</f>
        <v>179134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179134</v>
      </c>
      <c r="C5552" s="2" t="s">
        <v>573</v>
      </c>
      <c r="D5552" s="2" t="str">
        <f t="shared" si="85"/>
        <v>Error?</v>
      </c>
    </row>
    <row r="5553" spans="1:4" x14ac:dyDescent="0.2">
      <c r="A5553" s="5">
        <v>5492</v>
      </c>
      <c r="B5553" s="138">
        <f>'Revenues 9-14'!F5</f>
        <v>118487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118487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174</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1496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1670</v>
      </c>
      <c r="C5579" s="2" t="s">
        <v>573</v>
      </c>
      <c r="D5579" s="2" t="str">
        <f t="shared" si="86"/>
        <v>Error?</v>
      </c>
    </row>
    <row r="5580" spans="1:4" x14ac:dyDescent="0.2">
      <c r="A5580" s="5">
        <v>5519</v>
      </c>
      <c r="B5580" s="138">
        <f>'Revenues 9-14'!F65</f>
        <v>596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596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17410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317</v>
      </c>
      <c r="D5586" s="2" t="str">
        <f t="shared" si="86"/>
        <v>Error?</v>
      </c>
    </row>
    <row r="5587" spans="1:4" x14ac:dyDescent="0.2">
      <c r="A5587" s="5">
        <v>5526</v>
      </c>
      <c r="B5587" s="138">
        <f>'Revenues 9-14'!F108</f>
        <v>17727</v>
      </c>
      <c r="C5587" s="2" t="s">
        <v>573</v>
      </c>
      <c r="D5587" s="2" t="str">
        <f t="shared" si="86"/>
        <v>Error?</v>
      </c>
    </row>
    <row r="5588" spans="1:4" x14ac:dyDescent="0.2">
      <c r="A5588" s="5">
        <v>5527</v>
      </c>
      <c r="B5588" s="138">
        <f>'Revenues 9-14'!F109</f>
        <v>138480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124805</v>
      </c>
      <c r="D5615" s="2" t="str">
        <f t="shared" si="86"/>
        <v>Error?</v>
      </c>
    </row>
    <row r="5616" spans="1:4" x14ac:dyDescent="0.2">
      <c r="A5616" s="10">
        <v>5555</v>
      </c>
      <c r="D5616" s="2" t="str">
        <f t="shared" si="86"/>
        <v>OK</v>
      </c>
    </row>
    <row r="5617" spans="1:5" x14ac:dyDescent="0.2">
      <c r="A5617" s="5">
        <v>5556</v>
      </c>
      <c r="B5617" s="138">
        <f>'Revenues 9-14'!F153</f>
        <v>65330</v>
      </c>
      <c r="D5617" s="2" t="str">
        <f t="shared" si="86"/>
        <v>Error?</v>
      </c>
    </row>
    <row r="5618" spans="1:5" x14ac:dyDescent="0.2">
      <c r="A5618" s="5">
        <v>5557</v>
      </c>
      <c r="B5618" s="138">
        <f>'Revenues 9-14'!F155</f>
        <v>190135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3500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193635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193635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2263</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2263</v>
      </c>
      <c r="C5719" s="2" t="s">
        <v>573</v>
      </c>
      <c r="D5719" s="2" t="str">
        <f t="shared" si="88"/>
        <v>Error?</v>
      </c>
    </row>
    <row r="5720" spans="1:4" x14ac:dyDescent="0.2">
      <c r="A5720" s="5">
        <v>5659</v>
      </c>
      <c r="B5720" s="138">
        <f>'Revenues 9-14'!F268</f>
        <v>334378</v>
      </c>
      <c r="C5720" s="2" t="s">
        <v>573</v>
      </c>
      <c r="D5720" s="2" t="str">
        <f t="shared" si="88"/>
        <v>Error?</v>
      </c>
    </row>
    <row r="5721" spans="1:4" x14ac:dyDescent="0.2">
      <c r="A5721" s="5">
        <v>5660</v>
      </c>
      <c r="B5721" s="138">
        <f>'Revenues 9-14'!G5</f>
        <v>37870</v>
      </c>
      <c r="D5721" s="2" t="str">
        <f t="shared" si="88"/>
        <v>Error?</v>
      </c>
    </row>
    <row r="5722" spans="1:4" x14ac:dyDescent="0.2">
      <c r="A5722" s="5">
        <v>5661</v>
      </c>
      <c r="B5722" s="138">
        <f>'Revenues 9-14'!G7</f>
        <v>0</v>
      </c>
      <c r="D5722" s="2" t="str">
        <f t="shared" si="88"/>
        <v>Error?</v>
      </c>
    </row>
    <row r="5723" spans="1:4" x14ac:dyDescent="0.2">
      <c r="A5723" s="5">
        <v>5662</v>
      </c>
      <c r="B5723" s="138">
        <f>'Revenues 9-14'!G8</f>
        <v>128656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166526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7570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7570</v>
      </c>
      <c r="C5730" s="2" t="s">
        <v>573</v>
      </c>
      <c r="D5730" s="2" t="str">
        <f t="shared" si="88"/>
        <v>Error?</v>
      </c>
    </row>
    <row r="5731" spans="1:4" x14ac:dyDescent="0.2">
      <c r="A5731" s="5">
        <v>5670</v>
      </c>
      <c r="B5731" s="138">
        <f>'Revenues 9-14'!G65</f>
        <v>775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775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983</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983</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5192</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5192</v>
      </c>
      <c r="C5869" s="2" t="s">
        <v>573</v>
      </c>
      <c r="D5869" s="2" t="str">
        <f t="shared" si="90"/>
        <v>Error?</v>
      </c>
    </row>
    <row r="5870" spans="1:4" x14ac:dyDescent="0.2">
      <c r="A5870" s="5">
        <v>5809</v>
      </c>
      <c r="B5870" s="138">
        <f>'Revenues 9-14'!G268</f>
        <v>180063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1001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1001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11268</v>
      </c>
      <c r="D5885" s="2" t="str">
        <f t="shared" si="90"/>
        <v>Error?</v>
      </c>
    </row>
    <row r="5886" spans="1:4" x14ac:dyDescent="0.2">
      <c r="A5886" s="5">
        <v>5825</v>
      </c>
      <c r="B5886" s="138">
        <f>'Revenues 9-14'!H108</f>
        <v>164217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165218</v>
      </c>
      <c r="C5915" s="2" t="s">
        <v>573</v>
      </c>
      <c r="D5915" s="2" t="str">
        <f t="shared" si="91"/>
        <v>Error?</v>
      </c>
    </row>
    <row r="5916" spans="1:4" x14ac:dyDescent="0.2">
      <c r="A5916" s="5">
        <v>5855</v>
      </c>
      <c r="B5916" s="138">
        <f>'Revenues 9-14'!I5</f>
        <v>29637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29637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29999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29636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29636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588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2000</v>
      </c>
      <c r="D5998" s="2" t="str">
        <f t="shared" si="92"/>
        <v>Error?</v>
      </c>
    </row>
    <row r="5999" spans="1:4" x14ac:dyDescent="0.2">
      <c r="A5999" s="5">
        <v>5938</v>
      </c>
      <c r="B5999" s="138">
        <f>'Revenues 9-14'!K108</f>
        <v>2000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32224</v>
      </c>
      <c r="C6023" s="2" t="s">
        <v>573</v>
      </c>
      <c r="D6023" s="2" t="str">
        <f t="shared" si="93"/>
        <v>Error?</v>
      </c>
    </row>
    <row r="6024" spans="1:5" x14ac:dyDescent="0.2">
      <c r="A6024" s="5">
        <v>5963</v>
      </c>
      <c r="B6024" s="138">
        <f>'Revenues 9-14'!G109</f>
        <v>174871</v>
      </c>
      <c r="C6024" s="2" t="s">
        <v>573</v>
      </c>
      <c r="D6024" s="2" t="str">
        <f t="shared" si="93"/>
        <v>Error?</v>
      </c>
    </row>
    <row r="6025" spans="1:5" x14ac:dyDescent="0.2">
      <c r="A6025" s="5">
        <v>5964</v>
      </c>
      <c r="B6025" s="138">
        <f>'Revenues 9-14'!H109</f>
        <v>165218</v>
      </c>
      <c r="C6025" s="2" t="s">
        <v>573</v>
      </c>
      <c r="D6025" s="2" t="str">
        <f t="shared" si="93"/>
        <v>Error?</v>
      </c>
    </row>
    <row r="6026" spans="1:5" x14ac:dyDescent="0.2">
      <c r="A6026" s="5">
        <v>5965</v>
      </c>
      <c r="B6026" s="138">
        <f>'Revenues 9-14'!I109</f>
        <v>29999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32224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115886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17712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405.4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3600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257750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257750</v>
      </c>
      <c r="D6215" s="2" t="str">
        <f t="shared" si="96"/>
        <v>Error?</v>
      </c>
      <c r="E6215" s="2" t="s">
        <v>190</v>
      </c>
    </row>
    <row r="6216" spans="1:5" x14ac:dyDescent="0.2">
      <c r="A6216">
        <v>6155</v>
      </c>
      <c r="B6216" s="138">
        <f>'Assets-Liab 5-6'!J41</f>
        <v>257750</v>
      </c>
      <c r="D6216" s="2" t="str">
        <f t="shared" si="96"/>
        <v>Error?</v>
      </c>
      <c r="E6216" s="2" t="s">
        <v>190</v>
      </c>
    </row>
    <row r="6217" spans="1:5" x14ac:dyDescent="0.2">
      <c r="A6217">
        <v>6156</v>
      </c>
      <c r="B6217" s="138">
        <f>'Assets-Liab 5-6'!J4</f>
        <v>257750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409432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409432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409432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419091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419091</v>
      </c>
      <c r="D6229" s="2" t="str">
        <f t="shared" si="96"/>
        <v>Error?</v>
      </c>
      <c r="E6229" s="2" t="s">
        <v>190</v>
      </c>
    </row>
    <row r="6230" spans="1:5" x14ac:dyDescent="0.2">
      <c r="A6230">
        <v>6169</v>
      </c>
      <c r="B6230" s="138">
        <f>'Acct Summary 7-8'!J20</f>
        <v>-9659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55121</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55121</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55121</v>
      </c>
      <c r="D6262" s="2" t="str">
        <f t="shared" si="96"/>
        <v>Error?</v>
      </c>
      <c r="E6262" s="2" t="s">
        <v>190</v>
      </c>
    </row>
    <row r="6263" spans="1:5" x14ac:dyDescent="0.2">
      <c r="A6263">
        <v>6202</v>
      </c>
      <c r="B6263" s="138">
        <f>'Acct Summary 7-8'!J78</f>
        <v>45462</v>
      </c>
      <c r="D6263" s="2" t="str">
        <f t="shared" si="96"/>
        <v>Error?</v>
      </c>
      <c r="E6263" s="2" t="s">
        <v>190</v>
      </c>
    </row>
    <row r="6264" spans="1:5" x14ac:dyDescent="0.2">
      <c r="A6264">
        <v>6203</v>
      </c>
      <c r="B6264" s="138">
        <f>'Acct Summary 7-8'!J79</f>
        <v>212288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257750</v>
      </c>
      <c r="D6266" s="2" t="str">
        <f t="shared" si="96"/>
        <v>Error?</v>
      </c>
      <c r="E6266" s="2" t="s">
        <v>190</v>
      </c>
    </row>
    <row r="6267" spans="1:5" x14ac:dyDescent="0.2">
      <c r="A6267">
        <v>6206</v>
      </c>
      <c r="B6267" s="138">
        <f>'Acct Summary 7-8'!C82</f>
        <v>-103684</v>
      </c>
      <c r="D6267" s="2" t="str">
        <f t="shared" si="96"/>
        <v>Error?</v>
      </c>
      <c r="E6267" s="2" t="s">
        <v>190</v>
      </c>
    </row>
    <row r="6268" spans="1:5" x14ac:dyDescent="0.2">
      <c r="A6268">
        <v>6207</v>
      </c>
      <c r="B6268" s="138">
        <f>'Acct Summary 7-8'!D82</f>
        <v>19884</v>
      </c>
      <c r="D6268" s="2" t="str">
        <f t="shared" si="96"/>
        <v>Error?</v>
      </c>
      <c r="E6268" s="2" t="s">
        <v>190</v>
      </c>
    </row>
    <row r="6269" spans="1:5" x14ac:dyDescent="0.2">
      <c r="A6269">
        <v>6208</v>
      </c>
      <c r="B6269" s="138">
        <f>'Acct Summary 7-8'!E82</f>
        <v>10618</v>
      </c>
      <c r="D6269" s="2" t="str">
        <f t="shared" si="96"/>
        <v>Error?</v>
      </c>
      <c r="E6269" s="2" t="s">
        <v>190</v>
      </c>
    </row>
    <row r="6270" spans="1:5" x14ac:dyDescent="0.2">
      <c r="A6270">
        <v>6209</v>
      </c>
      <c r="B6270" s="138">
        <f>'Acct Summary 7-8'!F82</f>
        <v>18872</v>
      </c>
      <c r="D6270" s="2" t="str">
        <f t="shared" si="96"/>
        <v>Error?</v>
      </c>
      <c r="E6270" s="2" t="s">
        <v>190</v>
      </c>
    </row>
    <row r="6271" spans="1:5" x14ac:dyDescent="0.2">
      <c r="A6271">
        <v>6210</v>
      </c>
      <c r="B6271" s="138">
        <f>'Acct Summary 7-8'!G82</f>
        <v>14882</v>
      </c>
      <c r="D6271" s="2" t="str">
        <f t="shared" ref="D6271:D6334" si="97">IF(ISBLANK(B6271),"OK",IF(A6271-B6271=0,"OK","Error?"))</f>
        <v>Error?</v>
      </c>
      <c r="E6271" s="2" t="s">
        <v>190</v>
      </c>
    </row>
    <row r="6272" spans="1:5" x14ac:dyDescent="0.2">
      <c r="A6272">
        <v>6211</v>
      </c>
      <c r="B6272" s="138">
        <f>'Acct Summary 7-8'!H82</f>
        <v>-596327</v>
      </c>
      <c r="D6272" s="2" t="str">
        <f t="shared" si="97"/>
        <v>Error?</v>
      </c>
      <c r="E6272" s="2" t="s">
        <v>190</v>
      </c>
    </row>
    <row r="6273" spans="1:5" x14ac:dyDescent="0.2">
      <c r="A6273">
        <v>6212</v>
      </c>
      <c r="B6273" s="138">
        <f>'Acct Summary 7-8'!I82</f>
        <v>236</v>
      </c>
      <c r="D6273" s="2" t="str">
        <f t="shared" si="97"/>
        <v>Error?</v>
      </c>
      <c r="E6273" s="2" t="s">
        <v>190</v>
      </c>
    </row>
    <row r="6274" spans="1:5" x14ac:dyDescent="0.2">
      <c r="A6274">
        <v>6213</v>
      </c>
      <c r="B6274" s="138">
        <f>'Acct Summary 7-8'!J82</f>
        <v>45462</v>
      </c>
      <c r="D6274" s="2" t="str">
        <f t="shared" si="97"/>
        <v>Error?</v>
      </c>
      <c r="E6274" s="2" t="s">
        <v>190</v>
      </c>
    </row>
    <row r="6275" spans="1:5" x14ac:dyDescent="0.2">
      <c r="A6275">
        <v>6214</v>
      </c>
      <c r="B6275" s="138">
        <f>'Acct Summary 7-8'!K82</f>
        <v>-75326</v>
      </c>
      <c r="D6275" s="2" t="str">
        <f t="shared" si="97"/>
        <v>Error?</v>
      </c>
      <c r="E6275" s="2" t="s">
        <v>190</v>
      </c>
    </row>
    <row r="6276" spans="1:5" x14ac:dyDescent="0.2">
      <c r="A6276">
        <v>6215</v>
      </c>
      <c r="B6276" s="138">
        <f>'Acct Summary 7-8'!C83</f>
        <v>-0.1993972926246233</v>
      </c>
      <c r="D6276" s="2" t="str">
        <f t="shared" si="97"/>
        <v>Error?</v>
      </c>
      <c r="E6276" s="2" t="s">
        <v>190</v>
      </c>
    </row>
    <row r="6277" spans="1:5" x14ac:dyDescent="0.2">
      <c r="A6277">
        <v>6216</v>
      </c>
      <c r="B6277" s="138">
        <f>'Acct Summary 7-8'!D83</f>
        <v>4.8746285927218885E-2</v>
      </c>
      <c r="D6277" s="2" t="str">
        <f t="shared" si="97"/>
        <v>Error?</v>
      </c>
      <c r="E6277" s="2" t="s">
        <v>190</v>
      </c>
    </row>
    <row r="6278" spans="1:5" x14ac:dyDescent="0.2">
      <c r="A6278">
        <v>6217</v>
      </c>
      <c r="B6278" s="138">
        <f>'Acct Summary 7-8'!E83</f>
        <v>0.11026075037123957</v>
      </c>
      <c r="D6278" s="2" t="str">
        <f t="shared" si="97"/>
        <v>Error?</v>
      </c>
      <c r="E6278" s="2" t="s">
        <v>190</v>
      </c>
    </row>
    <row r="6279" spans="1:5" x14ac:dyDescent="0.2">
      <c r="A6279">
        <v>6218</v>
      </c>
      <c r="B6279" s="138">
        <f>'Acct Summary 7-8'!F83</f>
        <v>5.5768980720812301E-2</v>
      </c>
      <c r="D6279" s="2" t="str">
        <f t="shared" si="97"/>
        <v>Error?</v>
      </c>
      <c r="E6279" s="2" t="s">
        <v>190</v>
      </c>
    </row>
    <row r="6280" spans="1:5" x14ac:dyDescent="0.2">
      <c r="A6280">
        <v>6219</v>
      </c>
      <c r="B6280" s="138">
        <f>'Acct Summary 7-8'!G83</f>
        <v>4.5724363386097727E-2</v>
      </c>
      <c r="D6280" s="2" t="str">
        <f t="shared" si="97"/>
        <v>Error?</v>
      </c>
      <c r="E6280" s="2" t="s">
        <v>190</v>
      </c>
    </row>
    <row r="6281" spans="1:5" x14ac:dyDescent="0.2">
      <c r="A6281">
        <v>6220</v>
      </c>
      <c r="B6281" s="138">
        <f>'Acct Summary 7-8'!H83</f>
        <v>-3.1898014421122451</v>
      </c>
      <c r="D6281" s="2" t="str">
        <f t="shared" si="97"/>
        <v>Error?</v>
      </c>
      <c r="E6281" s="2" t="s">
        <v>190</v>
      </c>
    </row>
    <row r="6282" spans="1:5" x14ac:dyDescent="0.2">
      <c r="A6282">
        <v>6221</v>
      </c>
      <c r="B6282" s="138">
        <f>'Acct Summary 7-8'!I83</f>
        <v>1.9347909851857316E-3</v>
      </c>
      <c r="D6282" s="2" t="str">
        <f t="shared" si="97"/>
        <v>Error?</v>
      </c>
      <c r="E6282" s="2" t="s">
        <v>190</v>
      </c>
    </row>
    <row r="6283" spans="1:5" x14ac:dyDescent="0.2">
      <c r="A6283">
        <v>6222</v>
      </c>
      <c r="B6283" s="138">
        <f>'Acct Summary 7-8'!J83</f>
        <v>0.17638021338506304</v>
      </c>
      <c r="D6283" s="2" t="str">
        <f t="shared" si="97"/>
        <v>Error?</v>
      </c>
      <c r="E6283" s="2" t="s">
        <v>190</v>
      </c>
    </row>
    <row r="6284" spans="1:5" x14ac:dyDescent="0.2">
      <c r="A6284">
        <v>6223</v>
      </c>
      <c r="B6284" s="138">
        <f>'Acct Summary 7-8'!K83</f>
        <v>-0.43759839660731403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407373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407373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776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776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1044</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92881</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1700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239</v>
      </c>
      <c r="D6350" s="2" t="str">
        <f t="shared" si="98"/>
        <v>Error?</v>
      </c>
      <c r="E6350" s="2" t="s">
        <v>190</v>
      </c>
    </row>
    <row r="6351" spans="1:5" x14ac:dyDescent="0.2">
      <c r="A6351">
        <v>6290</v>
      </c>
      <c r="B6351" s="138">
        <f>'Revenues 9-14'!J108</f>
        <v>1283</v>
      </c>
      <c r="D6351" s="2" t="str">
        <f t="shared" si="98"/>
        <v>Error?</v>
      </c>
      <c r="E6351" s="2" t="s">
        <v>190</v>
      </c>
    </row>
    <row r="6352" spans="1:5" x14ac:dyDescent="0.2">
      <c r="A6352">
        <v>6291</v>
      </c>
      <c r="B6352" s="138">
        <f>'Revenues 9-14'!J109</f>
        <v>409432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29103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48185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59844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15234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3830</v>
      </c>
      <c r="D6878" s="2" t="str">
        <f t="shared" si="106"/>
        <v>Error?</v>
      </c>
    </row>
    <row r="6879" spans="1:4" x14ac:dyDescent="0.2">
      <c r="A6879">
        <v>6818</v>
      </c>
      <c r="B6879" s="138">
        <f>'Expenditures 15-22'!K21</f>
        <v>3830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200510</v>
      </c>
      <c r="D6983" s="2" t="str">
        <f t="shared" si="108"/>
        <v>Error?</v>
      </c>
    </row>
    <row r="6984" spans="1:4" x14ac:dyDescent="0.2">
      <c r="A6984">
        <v>6923</v>
      </c>
      <c r="B6984" s="138">
        <f>'Expenditures 15-22'!K86</f>
        <v>200510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200510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419091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409432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2418</v>
      </c>
      <c r="D7073" s="2" t="str">
        <f t="shared" si="109"/>
        <v>Error?</v>
      </c>
    </row>
    <row r="7074" spans="1:4" x14ac:dyDescent="0.2">
      <c r="A7074">
        <v>7013</v>
      </c>
      <c r="B7074" s="138">
        <f>'Expenditures 15-22'!K216</f>
        <v>2418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48811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48811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31854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31854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264527</v>
      </c>
      <c r="D7172" s="2" t="str">
        <f t="shared" si="111"/>
        <v>Error?</v>
      </c>
    </row>
    <row r="7173" spans="1:4" x14ac:dyDescent="0.2">
      <c r="A7173">
        <v>7112</v>
      </c>
      <c r="B7173" s="138">
        <f>'Expenditures 15-22'!D325</f>
        <v>19000</v>
      </c>
      <c r="D7173" s="2" t="str">
        <f t="shared" si="111"/>
        <v>Error?</v>
      </c>
    </row>
    <row r="7174" spans="1:4" x14ac:dyDescent="0.2">
      <c r="A7174">
        <v>7113</v>
      </c>
      <c r="B7174" s="138">
        <f>'Expenditures 15-22'!E325</f>
        <v>44250</v>
      </c>
      <c r="D7174" s="2" t="str">
        <f t="shared" si="111"/>
        <v>Error?</v>
      </c>
    </row>
    <row r="7175" spans="1:4" x14ac:dyDescent="0.2">
      <c r="A7175">
        <v>7114</v>
      </c>
      <c r="B7175" s="138">
        <f>'Expenditures 15-22'!F325</f>
        <v>5610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333387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5039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5039</v>
      </c>
      <c r="D7198" s="2" t="str">
        <f t="shared" si="111"/>
        <v>Error?</v>
      </c>
    </row>
    <row r="7199" spans="1:4" x14ac:dyDescent="0.2">
      <c r="A7199">
        <v>7138</v>
      </c>
      <c r="B7199" s="138">
        <f>'Expenditures 15-22'!C330</f>
        <v>264527</v>
      </c>
      <c r="D7199" s="2" t="str">
        <f t="shared" si="111"/>
        <v>Error?</v>
      </c>
    </row>
    <row r="7200" spans="1:4" x14ac:dyDescent="0.2">
      <c r="A7200">
        <v>7139</v>
      </c>
      <c r="B7200" s="138">
        <f>'Expenditures 15-22'!D330</f>
        <v>19000</v>
      </c>
      <c r="D7200" s="2" t="str">
        <f t="shared" si="111"/>
        <v>Error?</v>
      </c>
    </row>
    <row r="7201" spans="1:4" x14ac:dyDescent="0.2">
      <c r="A7201">
        <v>7140</v>
      </c>
      <c r="B7201" s="138">
        <f>'Expenditures 15-22'!E330</f>
        <v>129954</v>
      </c>
      <c r="D7201" s="2" t="str">
        <f t="shared" si="111"/>
        <v>Error?</v>
      </c>
    </row>
    <row r="7202" spans="1:4" x14ac:dyDescent="0.2">
      <c r="A7202">
        <v>7141</v>
      </c>
      <c r="B7202" s="138">
        <f>'Expenditures 15-22'!F330</f>
        <v>5610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419091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264527</v>
      </c>
      <c r="D7216" s="2" t="str">
        <f t="shared" si="111"/>
        <v>Error?</v>
      </c>
    </row>
    <row r="7217" spans="1:4" x14ac:dyDescent="0.2">
      <c r="A7217">
        <v>7156</v>
      </c>
      <c r="B7217" s="138">
        <f>'Expenditures 15-22'!D342</f>
        <v>19000</v>
      </c>
      <c r="D7217" s="2" t="str">
        <f t="shared" si="111"/>
        <v>Error?</v>
      </c>
    </row>
    <row r="7218" spans="1:4" x14ac:dyDescent="0.2">
      <c r="A7218">
        <v>7157</v>
      </c>
      <c r="B7218" s="138">
        <f>'Expenditures 15-22'!E342</f>
        <v>129954</v>
      </c>
      <c r="D7218" s="2" t="str">
        <f t="shared" si="111"/>
        <v>Error?</v>
      </c>
    </row>
    <row r="7219" spans="1:4" x14ac:dyDescent="0.2">
      <c r="A7219">
        <v>7158</v>
      </c>
      <c r="B7219" s="138">
        <f>'Expenditures 15-22'!F342</f>
        <v>5610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419091</v>
      </c>
      <c r="D7224" s="2" t="str">
        <f t="shared" si="111"/>
        <v>Error?</v>
      </c>
    </row>
    <row r="7225" spans="1:4" x14ac:dyDescent="0.2">
      <c r="A7225">
        <v>7164</v>
      </c>
      <c r="B7225" s="138">
        <f>'Expenditures 15-22'!K343</f>
        <v>-9659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11659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12159</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3075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135782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369447</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793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1700</v>
      </c>
      <c r="D7712" s="2" t="str">
        <f t="shared" si="126"/>
        <v>Error?</v>
      </c>
      <c r="E7712" s="2" t="s">
        <v>827</v>
      </c>
    </row>
    <row r="7713" spans="1:6" x14ac:dyDescent="0.2">
      <c r="A7713">
        <v>7652</v>
      </c>
      <c r="B7713" s="138">
        <f>'Rest Tax Levies-Tort Im 25'!J8</f>
        <v>152949</v>
      </c>
      <c r="D7713" s="2" t="str">
        <f t="shared" si="126"/>
        <v>Error?</v>
      </c>
      <c r="E7713" s="2" t="s">
        <v>827</v>
      </c>
    </row>
    <row r="7714" spans="1:6" x14ac:dyDescent="0.2">
      <c r="A7714">
        <v>7653</v>
      </c>
      <c r="B7714" s="138">
        <f>'Rest Tax Levies-Tort Im 25'!K9</f>
        <v>7294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153742</v>
      </c>
      <c r="D7718" s="2" t="str">
        <f t="shared" si="126"/>
        <v>Error?</v>
      </c>
      <c r="E7718" s="2" t="s">
        <v>827</v>
      </c>
    </row>
    <row r="7719" spans="1:6" x14ac:dyDescent="0.2">
      <c r="A7719">
        <v>7658</v>
      </c>
      <c r="B7719" s="138">
        <f>'Rest Tax Levies-Tort Im 25'!K12</f>
        <v>8994</v>
      </c>
      <c r="D7719" s="2" t="str">
        <f t="shared" si="126"/>
        <v>Error?</v>
      </c>
      <c r="E7719" s="2" t="s">
        <v>827</v>
      </c>
    </row>
    <row r="7720" spans="1:6" x14ac:dyDescent="0.2">
      <c r="A7720">
        <v>7659</v>
      </c>
      <c r="B7720" s="138">
        <f>'Rest Tax Levies-Tort Im 25'!H14</f>
        <v>23719</v>
      </c>
      <c r="D7720" s="2" t="str">
        <f t="shared" si="126"/>
        <v>Error?</v>
      </c>
      <c r="E7720" s="2" t="s">
        <v>827</v>
      </c>
    </row>
    <row r="7721" spans="1:6" x14ac:dyDescent="0.2">
      <c r="A7721">
        <v>7660</v>
      </c>
      <c r="B7721" s="138">
        <f>'Rest Tax Levies-Tort Im 25'!K14</f>
        <v>8994</v>
      </c>
      <c r="D7721" s="2" t="str">
        <f t="shared" si="126"/>
        <v>Error?</v>
      </c>
      <c r="E7721" s="2" t="s">
        <v>827</v>
      </c>
    </row>
    <row r="7722" spans="1:6" x14ac:dyDescent="0.2">
      <c r="A7722">
        <v>7661</v>
      </c>
      <c r="B7722" s="138">
        <f>'Rest Tax Levies-Tort Im 25'!J15</f>
        <v>523189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36824</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523189</v>
      </c>
      <c r="D7730" s="2" t="str">
        <f t="shared" si="126"/>
        <v>Error?</v>
      </c>
      <c r="E7730" s="2" t="s">
        <v>827</v>
      </c>
    </row>
    <row r="7731" spans="1:6" x14ac:dyDescent="0.2">
      <c r="A7731">
        <v>7670</v>
      </c>
      <c r="B7731" s="138">
        <f>'Revenues 9-14'!H103</f>
        <v>152949</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29400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376" t="s">
        <v>1191</v>
      </c>
      <c r="B2" s="2376"/>
      <c r="C2" s="2376"/>
      <c r="D2" s="2376"/>
      <c r="E2" s="2376"/>
      <c r="F2" s="2376"/>
      <c r="G2" s="2376"/>
      <c r="H2" s="2376"/>
      <c r="I2" s="2376"/>
      <c r="J2" s="2376"/>
      <c r="K2" s="2376"/>
      <c r="L2" s="2376"/>
    </row>
    <row r="3" spans="1:29" ht="13.5" customHeight="1" x14ac:dyDescent="0.2">
      <c r="A3" s="2407" t="s">
        <v>1190</v>
      </c>
      <c r="B3" s="2407"/>
      <c r="C3" s="2407"/>
      <c r="D3" s="2407"/>
      <c r="E3" s="2407"/>
      <c r="F3" s="2407"/>
      <c r="G3" s="2407"/>
      <c r="H3" s="2407"/>
      <c r="I3" s="2407"/>
      <c r="J3" s="2407"/>
      <c r="K3" s="2407"/>
      <c r="L3" s="2407"/>
    </row>
    <row r="4" spans="1:29" ht="13.5" customHeight="1" x14ac:dyDescent="0.2">
      <c r="A4" s="2376" t="s">
        <v>1989</v>
      </c>
      <c r="B4" s="2397"/>
      <c r="C4" s="2397"/>
      <c r="D4" s="2397"/>
      <c r="E4" s="2397"/>
      <c r="F4" s="2397"/>
      <c r="G4" s="2397"/>
      <c r="H4" s="2397"/>
      <c r="I4" s="2397"/>
      <c r="J4" s="2397"/>
      <c r="K4" s="2397"/>
      <c r="L4" s="2397"/>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398" t="str">
        <f>COVER!A17</f>
        <v>Cambridge CUSD 227</v>
      </c>
      <c r="B7" s="2399"/>
      <c r="C7" s="2399"/>
      <c r="D7" s="2400"/>
      <c r="E7" s="2401">
        <f>COVER!A13</f>
        <v>28037227026</v>
      </c>
      <c r="F7" s="2402"/>
      <c r="G7" s="2408" t="str">
        <f>COVER!T23</f>
        <v>066-005027</v>
      </c>
      <c r="H7" s="2409"/>
      <c r="I7" s="2409"/>
      <c r="J7" s="2409"/>
      <c r="K7" s="2409"/>
      <c r="L7" s="2410"/>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411"/>
      <c r="B9" s="2412"/>
      <c r="C9" s="2412"/>
      <c r="D9" s="2412"/>
      <c r="E9" s="2412"/>
      <c r="F9" s="2413"/>
      <c r="G9" s="2382" t="str">
        <f>COVER!T13</f>
        <v>Gorenz and Associates, Ltd.</v>
      </c>
      <c r="H9" s="2414"/>
      <c r="I9" s="2414"/>
      <c r="J9" s="2414"/>
      <c r="K9" s="2414"/>
      <c r="L9" s="2415"/>
    </row>
    <row r="10" spans="1:29" ht="13.5" customHeight="1" x14ac:dyDescent="0.2">
      <c r="A10" s="2388" t="str">
        <f>COVER!A38</f>
        <v>Thomas Akers</v>
      </c>
      <c r="B10" s="2389"/>
      <c r="C10" s="2389"/>
      <c r="D10" s="2389"/>
      <c r="E10" s="2389"/>
      <c r="F10" s="2390"/>
      <c r="G10" s="2382" t="str">
        <f>COVER!T17</f>
        <v>4200 N Knoxville Ave</v>
      </c>
      <c r="H10" s="2383"/>
      <c r="I10" s="2383"/>
      <c r="J10" s="2383"/>
      <c r="K10" s="2383"/>
      <c r="L10" s="2384"/>
    </row>
    <row r="11" spans="1:29" ht="13.5" customHeight="1" x14ac:dyDescent="0.2">
      <c r="A11" s="1180" t="s">
        <v>1519</v>
      </c>
      <c r="B11" s="1181"/>
      <c r="C11" s="1182"/>
      <c r="D11" s="1187"/>
      <c r="E11" s="1182"/>
      <c r="F11" s="1186"/>
      <c r="G11" s="2382" t="str">
        <f>COVER!T19</f>
        <v>Peoria</v>
      </c>
      <c r="H11" s="2383"/>
      <c r="I11" s="2383"/>
      <c r="J11" s="2383"/>
      <c r="K11" s="2383"/>
      <c r="L11" s="2384"/>
    </row>
    <row r="12" spans="1:29" ht="13.5" customHeight="1" x14ac:dyDescent="0.2">
      <c r="A12" s="2391" t="s">
        <v>1518</v>
      </c>
      <c r="B12" s="2392"/>
      <c r="C12" s="2392"/>
      <c r="D12" s="2392"/>
      <c r="E12" s="2392"/>
      <c r="F12" s="2393"/>
      <c r="G12" s="2385"/>
      <c r="H12" s="2386"/>
      <c r="I12" s="2386"/>
      <c r="J12" s="2386"/>
      <c r="K12" s="2386"/>
      <c r="L12" s="2387"/>
    </row>
    <row r="13" spans="1:29" ht="13.5" customHeight="1" x14ac:dyDescent="0.2">
      <c r="A13" s="2382"/>
      <c r="B13" s="2383"/>
      <c r="C13" s="2383"/>
      <c r="D13" s="2383"/>
      <c r="E13" s="2383"/>
      <c r="F13" s="2384"/>
      <c r="G13" s="2377" t="s">
        <v>1520</v>
      </c>
      <c r="H13" s="2378"/>
      <c r="I13" s="2394" t="str">
        <f>COVER!T25</f>
        <v>tpeffer@gorenzcpa.com</v>
      </c>
      <c r="J13" s="2395"/>
      <c r="K13" s="2395"/>
      <c r="L13" s="2396"/>
    </row>
    <row r="14" spans="1:29" ht="13.5" customHeight="1" x14ac:dyDescent="0.2">
      <c r="A14" s="2382" t="str">
        <f>COVER!A19</f>
        <v>300 South West Street</v>
      </c>
      <c r="B14" s="2383"/>
      <c r="C14" s="2383"/>
      <c r="D14" s="2383"/>
      <c r="E14" s="2383"/>
      <c r="F14" s="2384"/>
      <c r="G14" s="1191" t="s">
        <v>1185</v>
      </c>
      <c r="H14" s="1189"/>
      <c r="I14" s="1189"/>
      <c r="J14" s="1189"/>
      <c r="K14" s="1189"/>
      <c r="L14" s="1190"/>
    </row>
    <row r="15" spans="1:29" ht="13.5" customHeight="1" x14ac:dyDescent="0.2">
      <c r="A15" s="2382" t="str">
        <f>COVER!A21</f>
        <v>Cambridge</v>
      </c>
      <c r="B15" s="2383"/>
      <c r="C15" s="2383"/>
      <c r="D15" s="2383"/>
      <c r="E15" s="2383"/>
      <c r="F15" s="2384"/>
      <c r="G15" s="2379" t="str">
        <f>COVER!T15</f>
        <v>Thomas Peffer, CPA</v>
      </c>
      <c r="H15" s="2380"/>
      <c r="I15" s="2380"/>
      <c r="J15" s="2380"/>
      <c r="K15" s="2380"/>
      <c r="L15" s="2381"/>
    </row>
    <row r="16" spans="1:29" ht="12.2" customHeight="1" x14ac:dyDescent="0.2">
      <c r="A16" s="2404">
        <f>COVER!A25</f>
        <v>61238</v>
      </c>
      <c r="B16" s="2405"/>
      <c r="C16" s="2405"/>
      <c r="D16" s="2405"/>
      <c r="E16" s="2405"/>
      <c r="F16" s="2406"/>
      <c r="G16" s="2416"/>
      <c r="H16" s="2417"/>
      <c r="I16" s="2417"/>
      <c r="J16" s="2417"/>
      <c r="K16" s="2417"/>
      <c r="L16" s="2418"/>
    </row>
    <row r="17" spans="1:13" ht="12.2" customHeight="1" x14ac:dyDescent="0.2">
      <c r="A17" s="2419"/>
      <c r="B17" s="2405"/>
      <c r="C17" s="2405"/>
      <c r="D17" s="2405"/>
      <c r="E17" s="2405"/>
      <c r="F17" s="2406"/>
      <c r="G17" s="1191" t="s">
        <v>1184</v>
      </c>
      <c r="H17" s="1189"/>
      <c r="I17" s="1189"/>
      <c r="J17" s="1189"/>
      <c r="K17" s="1193" t="s">
        <v>1183</v>
      </c>
      <c r="L17" s="1186"/>
      <c r="M17" s="1179"/>
    </row>
    <row r="18" spans="1:13" ht="12.2" customHeight="1" x14ac:dyDescent="0.2">
      <c r="A18" s="2388"/>
      <c r="B18" s="2389"/>
      <c r="C18" s="2389"/>
      <c r="D18" s="2389"/>
      <c r="E18" s="2389"/>
      <c r="F18" s="2390"/>
      <c r="G18" s="2398" t="str">
        <f>COVER!T21</f>
        <v>309-685-7621</v>
      </c>
      <c r="H18" s="2399"/>
      <c r="I18" s="2399"/>
      <c r="J18" s="2399"/>
      <c r="K18" s="2398" t="str">
        <f>COVER!X21</f>
        <v>309-685-4758</v>
      </c>
      <c r="L18" s="2403"/>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20" t="str">
        <f>'Single Audit Cover'!A7</f>
        <v>Cambridge CUSD 227</v>
      </c>
      <c r="B1" s="2397"/>
      <c r="C1" s="2397"/>
      <c r="D1" s="2397"/>
    </row>
    <row r="2" spans="1:11" s="1208" customFormat="1" ht="12.75" x14ac:dyDescent="0.2">
      <c r="A2" s="2421">
        <f>'Single Audit Cover'!E7</f>
        <v>28037227026</v>
      </c>
      <c r="B2" s="2422"/>
      <c r="C2" s="2422"/>
      <c r="D2" s="2422"/>
    </row>
    <row r="3" spans="1:11" s="1208" customFormat="1" ht="12.75" x14ac:dyDescent="0.2">
      <c r="A3" s="2420" t="s">
        <v>1513</v>
      </c>
      <c r="B3" s="2397"/>
      <c r="C3" s="2397"/>
      <c r="D3" s="2397"/>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24" t="str">
        <f>'Single Audit Cover'!A7</f>
        <v>Cambridge CUSD 227</v>
      </c>
      <c r="B1" s="2424"/>
      <c r="C1" s="2424"/>
      <c r="D1" s="2424"/>
      <c r="E1" s="2424"/>
    </row>
    <row r="2" spans="1:5" x14ac:dyDescent="0.2">
      <c r="A2" s="2425">
        <f>'Single Audit Cover'!E7</f>
        <v>28037227026</v>
      </c>
      <c r="B2" s="2425"/>
      <c r="C2" s="2425"/>
      <c r="D2" s="2425"/>
      <c r="E2" s="2425"/>
    </row>
    <row r="3" spans="1:5" ht="4.5" customHeight="1" x14ac:dyDescent="0.2"/>
    <row r="4" spans="1:5" x14ac:dyDescent="0.2">
      <c r="A4" s="2424" t="s">
        <v>1245</v>
      </c>
      <c r="B4" s="2424"/>
      <c r="C4" s="2424"/>
      <c r="D4" s="2424"/>
      <c r="E4" s="2424"/>
    </row>
    <row r="5" spans="1:5" x14ac:dyDescent="0.2">
      <c r="A5" s="2427" t="str">
        <f>'Single Audit Cover'!A4</f>
        <v>Year Ending June 30, 2019</v>
      </c>
      <c r="B5" s="2427"/>
      <c r="C5" s="2427"/>
      <c r="D5" s="2427"/>
      <c r="E5" s="2427"/>
    </row>
    <row r="6" spans="1:5" x14ac:dyDescent="0.2">
      <c r="A6" s="2424" t="s">
        <v>1244</v>
      </c>
      <c r="B6" s="2424"/>
      <c r="C6" s="2424"/>
      <c r="D6" s="2424"/>
      <c r="E6" s="2424"/>
    </row>
    <row r="8" spans="1:5" x14ac:dyDescent="0.2">
      <c r="A8" s="1253" t="s">
        <v>1243</v>
      </c>
    </row>
    <row r="10" spans="1:5" x14ac:dyDescent="0.2">
      <c r="A10" s="1254" t="s">
        <v>1242</v>
      </c>
      <c r="B10" s="1255" t="s">
        <v>1241</v>
      </c>
      <c r="C10" s="1255"/>
      <c r="D10" s="1256">
        <f>SUM('Acct Summary 7-8'!C7:K7)</f>
        <v>353020</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17712</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-6058</v>
      </c>
    </row>
    <row r="19" spans="1:4" ht="13.5" thickBot="1" x14ac:dyDescent="0.25">
      <c r="A19" s="1258" t="s">
        <v>1235</v>
      </c>
      <c r="D19" s="1259">
        <f>SUM(D10:D17)</f>
        <v>364674</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26"/>
      <c r="B24" s="2426"/>
      <c r="D24" s="1261"/>
    </row>
    <row r="25" spans="1:4" x14ac:dyDescent="0.2">
      <c r="A25" s="2423"/>
      <c r="B25" s="2423"/>
      <c r="D25" s="1261"/>
    </row>
    <row r="26" spans="1:4" x14ac:dyDescent="0.2">
      <c r="A26" s="2423"/>
      <c r="B26" s="2423"/>
      <c r="D26" s="1261"/>
    </row>
    <row r="27" spans="1:4" x14ac:dyDescent="0.2">
      <c r="A27" s="2423"/>
      <c r="B27" s="2423"/>
      <c r="D27" s="1261"/>
    </row>
    <row r="28" spans="1:4" x14ac:dyDescent="0.2">
      <c r="A28" s="2423"/>
      <c r="B28" s="2423"/>
      <c r="D28" s="1261"/>
    </row>
    <row r="29" spans="1:4" x14ac:dyDescent="0.2">
      <c r="A29" s="2423"/>
      <c r="B29" s="2423"/>
      <c r="D29" s="1261"/>
    </row>
    <row r="30" spans="1:4" x14ac:dyDescent="0.2">
      <c r="A30" s="2423"/>
      <c r="B30" s="2423"/>
      <c r="D30" s="1261"/>
    </row>
    <row r="32" spans="1:4" x14ac:dyDescent="0.2">
      <c r="A32" s="1253" t="s">
        <v>1233</v>
      </c>
      <c r="D32" s="1256">
        <f>SUM(D19:D30)</f>
        <v>364674</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23"/>
      <c r="B40" s="2423"/>
      <c r="D40" s="1261"/>
    </row>
    <row r="41" spans="1:4" x14ac:dyDescent="0.2">
      <c r="A41" s="2423"/>
      <c r="B41" s="2423"/>
      <c r="D41" s="1264"/>
    </row>
    <row r="42" spans="1:4" x14ac:dyDescent="0.2">
      <c r="A42" s="2423"/>
      <c r="B42" s="2423"/>
      <c r="D42" s="1264"/>
    </row>
    <row r="43" spans="1:4" x14ac:dyDescent="0.2">
      <c r="A43" s="2423"/>
      <c r="B43" s="2423"/>
      <c r="D43" s="1264"/>
    </row>
    <row r="44" spans="1:4" x14ac:dyDescent="0.2">
      <c r="A44" s="2423"/>
      <c r="B44" s="2423"/>
      <c r="D44" s="1264"/>
    </row>
    <row r="45" spans="1:4" x14ac:dyDescent="0.2">
      <c r="A45" s="2423"/>
      <c r="B45" s="2423"/>
      <c r="D45" s="1264"/>
    </row>
    <row r="47" spans="1:4" x14ac:dyDescent="0.2">
      <c r="B47" s="1265" t="s">
        <v>1227</v>
      </c>
      <c r="C47" s="1265"/>
      <c r="D47" s="1266">
        <f>SUM(D35:D45)</f>
        <v>0</v>
      </c>
    </row>
    <row r="49" spans="2:4" x14ac:dyDescent="0.2">
      <c r="B49" s="1265" t="s">
        <v>1226</v>
      </c>
      <c r="C49" s="1265"/>
      <c r="D49" s="1266">
        <f>D32-D47</f>
        <v>364674</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07" t="str">
        <f>'Single Audit Cover'!A7</f>
        <v>Cambridge CUSD 227</v>
      </c>
      <c r="C1" s="2428"/>
      <c r="D1" s="2428"/>
      <c r="E1" s="2428"/>
      <c r="F1" s="2428"/>
      <c r="G1" s="2428"/>
      <c r="H1" s="2428"/>
      <c r="I1" s="2428"/>
      <c r="J1" s="2428"/>
      <c r="K1" s="2428"/>
      <c r="L1" s="2428"/>
      <c r="M1" s="2428"/>
    </row>
    <row r="2" spans="2:14" ht="15" x14ac:dyDescent="0.2">
      <c r="B2" s="2429">
        <f>'Single Audit Cover'!E7</f>
        <v>28037227026</v>
      </c>
      <c r="C2" s="2429"/>
      <c r="D2" s="2429"/>
      <c r="E2" s="2429"/>
      <c r="F2" s="2429"/>
      <c r="G2" s="2429"/>
      <c r="H2" s="2429"/>
      <c r="I2" s="2429"/>
      <c r="J2" s="2429"/>
      <c r="K2" s="2429"/>
      <c r="L2" s="2429"/>
      <c r="M2" s="2429"/>
      <c r="N2" s="1295"/>
    </row>
    <row r="3" spans="2:14" ht="15" x14ac:dyDescent="0.2">
      <c r="B3" s="2430" t="s">
        <v>1219</v>
      </c>
      <c r="C3" s="2430"/>
      <c r="D3" s="2430"/>
      <c r="E3" s="2430"/>
      <c r="F3" s="2430"/>
      <c r="G3" s="2430"/>
      <c r="H3" s="2430"/>
      <c r="I3" s="2430"/>
      <c r="J3" s="2430"/>
      <c r="K3" s="2430"/>
      <c r="L3" s="2430"/>
      <c r="M3" s="2430"/>
      <c r="N3" s="1295"/>
    </row>
    <row r="4" spans="2:14" ht="15" x14ac:dyDescent="0.2">
      <c r="B4" s="2431" t="str">
        <f>'Single Audit Cover'!A4</f>
        <v>Year Ending June 30, 2019</v>
      </c>
      <c r="C4" s="2431"/>
      <c r="D4" s="2431"/>
      <c r="E4" s="2431"/>
      <c r="F4" s="2431"/>
      <c r="G4" s="2431"/>
      <c r="H4" s="2431"/>
      <c r="I4" s="2431"/>
      <c r="J4" s="2431"/>
      <c r="K4" s="2431"/>
      <c r="L4" s="2431"/>
      <c r="M4" s="2431"/>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Cambridge CUSD 227</v>
      </c>
      <c r="B1" s="2441"/>
      <c r="C1" s="2441"/>
      <c r="D1" s="2441"/>
      <c r="E1" s="2441"/>
      <c r="F1" s="2441"/>
    </row>
    <row r="2" spans="1:7" ht="13.5" customHeight="1" x14ac:dyDescent="0.2">
      <c r="A2" s="2429">
        <f>'Single Audit Cover'!E7</f>
        <v>28037227026</v>
      </c>
      <c r="B2" s="2429"/>
      <c r="C2" s="2429"/>
      <c r="D2" s="2429"/>
      <c r="E2" s="2429"/>
      <c r="F2" s="2429"/>
      <c r="G2" s="1268"/>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69" t="s">
        <v>1728</v>
      </c>
      <c r="C6" s="317"/>
      <c r="D6" s="317"/>
    </row>
    <row r="7" spans="1:7" ht="60.95" customHeight="1" x14ac:dyDescent="0.2">
      <c r="A7" s="2440" t="s">
        <v>1729</v>
      </c>
      <c r="B7" s="2440"/>
      <c r="C7" s="2440"/>
      <c r="D7" s="2440"/>
      <c r="E7" s="2440"/>
      <c r="F7" s="2440"/>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40" t="s">
        <v>1731</v>
      </c>
      <c r="B13" s="2440"/>
      <c r="C13" s="2440"/>
      <c r="D13" s="2440"/>
      <c r="E13" s="2440"/>
      <c r="F13" s="2440"/>
    </row>
    <row r="14" spans="1:7" ht="9.75" customHeight="1" x14ac:dyDescent="0.2">
      <c r="C14" s="1253"/>
      <c r="D14" s="1253"/>
    </row>
    <row r="15" spans="1:7" ht="13.5" customHeight="1" x14ac:dyDescent="0.2">
      <c r="C15" s="1842" t="s">
        <v>1270</v>
      </c>
      <c r="D15" s="2438" t="s">
        <v>1269</v>
      </c>
      <c r="E15" s="2438"/>
      <c r="F15" s="2438"/>
    </row>
    <row r="16" spans="1:7" ht="13.5" customHeight="1" x14ac:dyDescent="0.2">
      <c r="A16" s="1275"/>
      <c r="B16" s="1269" t="s">
        <v>1268</v>
      </c>
      <c r="C16" s="1842" t="s">
        <v>1267</v>
      </c>
      <c r="D16" s="2439" t="s">
        <v>1588</v>
      </c>
      <c r="E16" s="2439"/>
      <c r="F16" s="2439"/>
    </row>
    <row r="17" spans="1:6" ht="20.45" customHeight="1" x14ac:dyDescent="0.2">
      <c r="A17" s="1276"/>
      <c r="B17" s="1277"/>
      <c r="C17" s="1278"/>
      <c r="D17" s="2433"/>
      <c r="E17" s="2433"/>
      <c r="F17" s="2433"/>
    </row>
    <row r="18" spans="1:6" ht="20.65" customHeight="1" x14ac:dyDescent="0.2">
      <c r="A18" s="1276"/>
      <c r="B18" s="1277"/>
      <c r="C18" s="1278"/>
      <c r="D18" s="2433"/>
      <c r="E18" s="2433"/>
      <c r="F18" s="2433"/>
    </row>
    <row r="19" spans="1:6" ht="20.65" customHeight="1" x14ac:dyDescent="0.2">
      <c r="A19" s="1276"/>
      <c r="B19" s="1277"/>
      <c r="C19" s="1278"/>
      <c r="D19" s="2433"/>
      <c r="E19" s="2433"/>
      <c r="F19" s="2433"/>
    </row>
    <row r="20" spans="1:6" ht="20.65" customHeight="1" x14ac:dyDescent="0.2">
      <c r="A20" s="1276"/>
      <c r="B20" s="1277"/>
      <c r="C20" s="1278"/>
      <c r="D20" s="2433"/>
      <c r="E20" s="2433"/>
      <c r="F20" s="2433"/>
    </row>
    <row r="21" spans="1:6" ht="20.65" customHeight="1" x14ac:dyDescent="0.2">
      <c r="A21" s="1276"/>
      <c r="B21" s="1277"/>
      <c r="C21" s="1278"/>
      <c r="D21" s="2433"/>
      <c r="E21" s="2433"/>
      <c r="F21" s="2433"/>
    </row>
    <row r="22" spans="1:6" ht="20.65" customHeight="1" x14ac:dyDescent="0.2">
      <c r="A22" s="1276"/>
      <c r="B22" s="1277"/>
      <c r="C22" s="1278"/>
      <c r="D22" s="2433"/>
      <c r="E22" s="2433"/>
      <c r="F22" s="2433"/>
    </row>
    <row r="23" spans="1:6" ht="20.65" customHeight="1" x14ac:dyDescent="0.2">
      <c r="A23" s="1276"/>
      <c r="B23" s="1277"/>
      <c r="C23" s="1278"/>
      <c r="D23" s="2433"/>
      <c r="E23" s="2433"/>
      <c r="F23" s="2433"/>
    </row>
    <row r="24" spans="1:6" ht="20.65" customHeight="1" x14ac:dyDescent="0.2">
      <c r="A24" s="1276"/>
      <c r="B24" s="1277"/>
      <c r="C24" s="1278"/>
      <c r="D24" s="2433"/>
      <c r="E24" s="2433"/>
      <c r="F24" s="2433"/>
    </row>
    <row r="25" spans="1:6" ht="20.65" customHeight="1" x14ac:dyDescent="0.2">
      <c r="A25" s="1276"/>
      <c r="B25" s="1277"/>
      <c r="C25" s="1278"/>
      <c r="D25" s="2433"/>
      <c r="E25" s="2433"/>
      <c r="F25" s="2433"/>
    </row>
    <row r="26" spans="1:6" ht="20.65" customHeight="1" x14ac:dyDescent="0.2">
      <c r="A26" s="1276"/>
      <c r="B26" s="1277"/>
      <c r="C26" s="1278"/>
      <c r="D26" s="2433"/>
      <c r="E26" s="2433"/>
      <c r="F26" s="2433"/>
    </row>
    <row r="27" spans="1:6" ht="20.65" customHeight="1" x14ac:dyDescent="0.2">
      <c r="A27" s="1276"/>
      <c r="B27" s="1277"/>
      <c r="C27" s="1278"/>
      <c r="D27" s="2433"/>
      <c r="E27" s="2433"/>
      <c r="F27" s="2433"/>
    </row>
    <row r="28" spans="1:6" ht="20.65" customHeight="1" x14ac:dyDescent="0.2">
      <c r="A28" s="1276"/>
      <c r="B28" s="1277"/>
      <c r="C28" s="1278"/>
      <c r="D28" s="2433"/>
      <c r="E28" s="2433"/>
      <c r="F28" s="2433"/>
    </row>
    <row r="29" spans="1:6" ht="20.65" customHeight="1" x14ac:dyDescent="0.2">
      <c r="A29" s="1276"/>
      <c r="B29" s="1277"/>
      <c r="C29" s="1278"/>
      <c r="D29" s="2433"/>
      <c r="E29" s="2433"/>
      <c r="F29" s="2433"/>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34" t="s">
        <v>1732</v>
      </c>
      <c r="B32" s="2434"/>
      <c r="C32" s="2434"/>
      <c r="D32" s="2434"/>
      <c r="E32" s="2434"/>
      <c r="F32" s="2434"/>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35">
        <f>+C33+C34</f>
        <v>0</v>
      </c>
      <c r="F34" s="2436"/>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37" t="s">
        <v>1590</v>
      </c>
      <c r="C49" s="2437"/>
      <c r="D49" s="2437"/>
      <c r="E49" s="1392"/>
    </row>
    <row r="50" spans="1:5" s="1293" customFormat="1" ht="3.75" customHeight="1" x14ac:dyDescent="0.2">
      <c r="A50" s="1292"/>
      <c r="B50" s="1841"/>
      <c r="C50" s="1841"/>
      <c r="D50" s="1841"/>
      <c r="E50" s="1392"/>
    </row>
    <row r="51" spans="1:5" s="1293" customFormat="1" ht="20.25" customHeight="1" x14ac:dyDescent="0.2">
      <c r="A51" s="1294">
        <v>6</v>
      </c>
      <c r="B51" s="2432" t="s">
        <v>1551</v>
      </c>
      <c r="C51" s="2432"/>
      <c r="D51" s="2432"/>
    </row>
    <row r="52" spans="1:5" ht="14.25" customHeight="1" x14ac:dyDescent="0.2">
      <c r="A52" s="1294"/>
      <c r="B52" s="2432"/>
      <c r="C52" s="2432"/>
      <c r="D52" s="243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9" t="s">
        <v>1168</v>
      </c>
      <c r="B2" s="2049"/>
      <c r="C2" s="2049"/>
      <c r="D2" s="2049"/>
      <c r="E2" s="2049"/>
      <c r="F2" s="2049"/>
      <c r="G2" s="2049"/>
      <c r="H2" s="2049"/>
      <c r="I2" s="2049"/>
      <c r="J2" s="204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3" t="s">
        <v>1633</v>
      </c>
      <c r="B35" s="2064"/>
      <c r="C35" s="2064"/>
      <c r="D35" s="2064"/>
      <c r="E35" s="2065"/>
      <c r="F35" s="2065"/>
      <c r="G35" s="2065"/>
      <c r="H35" s="2065"/>
      <c r="I35" s="206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3" t="s">
        <v>313</v>
      </c>
      <c r="B47" s="2066"/>
      <c r="C47" s="2066"/>
      <c r="D47" s="2066"/>
      <c r="E47" s="2067"/>
      <c r="F47" s="2067"/>
      <c r="G47" s="2067"/>
      <c r="H47" s="2067"/>
      <c r="I47" s="206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0"/>
      <c r="C57" s="2071"/>
      <c r="D57" s="2071"/>
      <c r="E57" s="2071"/>
      <c r="F57" s="2071"/>
      <c r="G57" s="2071"/>
      <c r="H57" s="2071"/>
      <c r="I57" s="2071"/>
      <c r="J57" s="2072"/>
    </row>
    <row r="58" spans="1:10" s="181" customFormat="1" x14ac:dyDescent="0.2">
      <c r="A58" s="253"/>
      <c r="B58" s="2073"/>
      <c r="C58" s="2074"/>
      <c r="D58" s="2074"/>
      <c r="E58" s="2074"/>
      <c r="F58" s="2074"/>
      <c r="G58" s="2074"/>
      <c r="H58" s="2074"/>
      <c r="I58" s="2074"/>
      <c r="J58" s="2075"/>
    </row>
    <row r="59" spans="1:10" s="181" customFormat="1" x14ac:dyDescent="0.2">
      <c r="A59" s="253"/>
      <c r="B59" s="2073"/>
      <c r="C59" s="2074"/>
      <c r="D59" s="2074"/>
      <c r="E59" s="2074"/>
      <c r="F59" s="2074"/>
      <c r="G59" s="2074"/>
      <c r="H59" s="2074"/>
      <c r="I59" s="2074"/>
      <c r="J59" s="2075"/>
    </row>
    <row r="60" spans="1:10" s="181" customFormat="1" x14ac:dyDescent="0.2">
      <c r="A60" s="253"/>
      <c r="B60" s="2073"/>
      <c r="C60" s="2074"/>
      <c r="D60" s="2074"/>
      <c r="E60" s="2074"/>
      <c r="F60" s="2074"/>
      <c r="G60" s="2074"/>
      <c r="H60" s="2074"/>
      <c r="I60" s="2074"/>
      <c r="J60" s="2075"/>
    </row>
    <row r="61" spans="1:10" s="181" customFormat="1" x14ac:dyDescent="0.2">
      <c r="A61" s="253"/>
      <c r="B61" s="2073"/>
      <c r="C61" s="2074"/>
      <c r="D61" s="2074"/>
      <c r="E61" s="2074"/>
      <c r="F61" s="2074"/>
      <c r="G61" s="2074"/>
      <c r="H61" s="2074"/>
      <c r="I61" s="2074"/>
      <c r="J61" s="2075"/>
    </row>
    <row r="62" spans="1:10" s="181" customFormat="1" x14ac:dyDescent="0.2">
      <c r="A62" s="253"/>
      <c r="B62" s="2073"/>
      <c r="C62" s="2074"/>
      <c r="D62" s="2074"/>
      <c r="E62" s="2074"/>
      <c r="F62" s="2074"/>
      <c r="G62" s="2074"/>
      <c r="H62" s="2074"/>
      <c r="I62" s="2074"/>
      <c r="J62" s="2075"/>
    </row>
    <row r="63" spans="1:10" s="181" customFormat="1" x14ac:dyDescent="0.2">
      <c r="A63" s="253"/>
      <c r="B63" s="2073"/>
      <c r="C63" s="2074"/>
      <c r="D63" s="2074"/>
      <c r="E63" s="2074"/>
      <c r="F63" s="2074"/>
      <c r="G63" s="2074"/>
      <c r="H63" s="2074"/>
      <c r="I63" s="2074"/>
      <c r="J63" s="2075"/>
    </row>
    <row r="64" spans="1:10" s="181" customFormat="1" x14ac:dyDescent="0.2">
      <c r="A64" s="253"/>
      <c r="B64" s="2073"/>
      <c r="C64" s="2074"/>
      <c r="D64" s="2074"/>
      <c r="E64" s="2074"/>
      <c r="F64" s="2074"/>
      <c r="G64" s="2074"/>
      <c r="H64" s="2074"/>
      <c r="I64" s="2074"/>
      <c r="J64" s="2075"/>
    </row>
    <row r="65" spans="1:10" s="181" customFormat="1" x14ac:dyDescent="0.2">
      <c r="A65" s="253"/>
      <c r="B65" s="2073"/>
      <c r="C65" s="2074"/>
      <c r="D65" s="2074"/>
      <c r="E65" s="2074"/>
      <c r="F65" s="2074"/>
      <c r="G65" s="2074"/>
      <c r="H65" s="2074"/>
      <c r="I65" s="2074"/>
      <c r="J65" s="2075"/>
    </row>
    <row r="66" spans="1:10" s="181" customFormat="1" x14ac:dyDescent="0.2">
      <c r="A66" s="253"/>
      <c r="B66" s="2073"/>
      <c r="C66" s="2074"/>
      <c r="D66" s="2074"/>
      <c r="E66" s="2074"/>
      <c r="F66" s="2074"/>
      <c r="G66" s="2074"/>
      <c r="H66" s="2074"/>
      <c r="I66" s="2074"/>
      <c r="J66" s="2075"/>
    </row>
    <row r="67" spans="1:10" s="181" customFormat="1" ht="9" customHeight="1" x14ac:dyDescent="0.2">
      <c r="A67" s="254"/>
      <c r="B67" s="2076"/>
      <c r="C67" s="2077"/>
      <c r="D67" s="2077"/>
      <c r="E67" s="2077"/>
      <c r="F67" s="2077"/>
      <c r="G67" s="2077"/>
      <c r="H67" s="2077"/>
      <c r="I67" s="2077"/>
      <c r="J67" s="20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3" t="s">
        <v>1323</v>
      </c>
      <c r="B70" s="2066"/>
      <c r="C70" s="2066"/>
      <c r="D70" s="2066"/>
      <c r="E70" s="2067"/>
      <c r="F70" s="2067"/>
      <c r="G70" s="2067"/>
      <c r="H70" s="2067"/>
      <c r="I70" s="206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8" t="s">
        <v>1320</v>
      </c>
      <c r="B83" s="2068"/>
      <c r="C83" s="2068"/>
      <c r="D83" s="206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0"/>
      <c r="C102" s="2051"/>
      <c r="D102" s="2051"/>
      <c r="E102" s="2051"/>
      <c r="F102" s="2051"/>
      <c r="G102" s="2051"/>
      <c r="H102" s="2051"/>
      <c r="I102" s="2052"/>
    </row>
    <row r="103" spans="1:9" s="181" customFormat="1" ht="11.25" customHeight="1" x14ac:dyDescent="0.2">
      <c r="A103" s="316"/>
      <c r="B103" s="2053"/>
      <c r="C103" s="2054"/>
      <c r="D103" s="2054"/>
      <c r="E103" s="2054"/>
      <c r="F103" s="2054"/>
      <c r="G103" s="2054"/>
      <c r="H103" s="2054"/>
      <c r="I103" s="2055"/>
    </row>
    <row r="104" spans="1:9" s="181" customFormat="1" ht="11.25" customHeight="1" x14ac:dyDescent="0.2">
      <c r="A104" s="316"/>
      <c r="B104" s="2053"/>
      <c r="C104" s="2054"/>
      <c r="D104" s="2054"/>
      <c r="E104" s="2054"/>
      <c r="F104" s="2054"/>
      <c r="G104" s="2054"/>
      <c r="H104" s="2054"/>
      <c r="I104" s="2055"/>
    </row>
    <row r="105" spans="1:9" s="181" customFormat="1" x14ac:dyDescent="0.2">
      <c r="A105" s="316"/>
      <c r="B105" s="2053"/>
      <c r="C105" s="2054"/>
      <c r="D105" s="2054"/>
      <c r="E105" s="2054"/>
      <c r="F105" s="2054"/>
      <c r="G105" s="2054"/>
      <c r="H105" s="2054"/>
      <c r="I105" s="2055"/>
    </row>
    <row r="106" spans="1:9" s="181" customFormat="1" ht="11.25" customHeight="1" x14ac:dyDescent="0.2">
      <c r="A106" s="316"/>
      <c r="B106" s="2053"/>
      <c r="C106" s="2054"/>
      <c r="D106" s="2054"/>
      <c r="E106" s="2054"/>
      <c r="F106" s="2054"/>
      <c r="G106" s="2054"/>
      <c r="H106" s="2054"/>
      <c r="I106" s="2055"/>
    </row>
    <row r="107" spans="1:9" s="181" customFormat="1" ht="11.25" customHeight="1" x14ac:dyDescent="0.2">
      <c r="A107" s="316"/>
      <c r="B107" s="2053"/>
      <c r="C107" s="2054"/>
      <c r="D107" s="2054"/>
      <c r="E107" s="2054"/>
      <c r="F107" s="2054"/>
      <c r="G107" s="2054"/>
      <c r="H107" s="2054"/>
      <c r="I107" s="2055"/>
    </row>
    <row r="108" spans="1:9" s="181" customFormat="1" ht="11.25" customHeight="1" x14ac:dyDescent="0.2">
      <c r="A108" s="316"/>
      <c r="B108" s="2053"/>
      <c r="C108" s="2054"/>
      <c r="D108" s="2054"/>
      <c r="E108" s="2054"/>
      <c r="F108" s="2054"/>
      <c r="G108" s="2054"/>
      <c r="H108" s="2054"/>
      <c r="I108" s="2055"/>
    </row>
    <row r="109" spans="1:9" s="181" customFormat="1" ht="11.25" customHeight="1" x14ac:dyDescent="0.2">
      <c r="A109" s="316"/>
      <c r="B109" s="2053"/>
      <c r="C109" s="2054"/>
      <c r="D109" s="2054"/>
      <c r="E109" s="2054"/>
      <c r="F109" s="2054"/>
      <c r="G109" s="2054"/>
      <c r="H109" s="2054"/>
      <c r="I109" s="2055"/>
    </row>
    <row r="110" spans="1:9" s="181" customFormat="1" ht="11.25" customHeight="1" x14ac:dyDescent="0.2">
      <c r="A110" s="316"/>
      <c r="B110" s="2053"/>
      <c r="C110" s="2054"/>
      <c r="D110" s="2054"/>
      <c r="E110" s="2054"/>
      <c r="F110" s="2054"/>
      <c r="G110" s="2054"/>
      <c r="H110" s="2054"/>
      <c r="I110" s="2055"/>
    </row>
    <row r="111" spans="1:9" s="181" customFormat="1" ht="11.25" customHeight="1" x14ac:dyDescent="0.2">
      <c r="A111" s="316"/>
      <c r="B111" s="2053"/>
      <c r="C111" s="2054"/>
      <c r="D111" s="2054"/>
      <c r="E111" s="2054"/>
      <c r="F111" s="2054"/>
      <c r="G111" s="2054"/>
      <c r="H111" s="2054"/>
      <c r="I111" s="2055"/>
    </row>
    <row r="112" spans="1:9" s="181" customFormat="1" ht="11.25" customHeight="1" x14ac:dyDescent="0.2">
      <c r="A112" s="316"/>
      <c r="B112" s="2056"/>
      <c r="C112" s="2057"/>
      <c r="D112" s="2057"/>
      <c r="E112" s="2057"/>
      <c r="F112" s="2057"/>
      <c r="G112" s="2057"/>
      <c r="H112" s="2057"/>
      <c r="I112" s="205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9" t="s">
        <v>2092</v>
      </c>
      <c r="D114" s="205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0" t="s">
        <v>1330</v>
      </c>
      <c r="D117" s="2061"/>
      <c r="E117" s="2062"/>
      <c r="F117" s="2062"/>
      <c r="G117" s="2062"/>
      <c r="H117" s="2062"/>
      <c r="I117" s="304"/>
    </row>
    <row r="118" spans="1:9" s="181" customFormat="1" ht="24" customHeight="1" x14ac:dyDescent="0.2">
      <c r="A118" s="316"/>
      <c r="B118" s="316"/>
      <c r="C118" s="316"/>
      <c r="D118" s="323" t="s">
        <v>2110</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Cambridge CUSD 227</v>
      </c>
      <c r="C1" s="2456"/>
      <c r="D1" s="2456"/>
      <c r="E1" s="2456"/>
      <c r="F1" s="2456"/>
      <c r="G1" s="2456"/>
      <c r="H1" s="2456"/>
      <c r="I1" s="2456"/>
      <c r="J1" s="1402"/>
    </row>
    <row r="2" spans="2:10" s="317" customFormat="1" ht="12.75" customHeight="1" x14ac:dyDescent="0.2">
      <c r="B2" s="2457">
        <f>'Single Audit Cover'!E7</f>
        <v>28037227026</v>
      </c>
      <c r="C2" s="2458"/>
      <c r="D2" s="2458"/>
      <c r="E2" s="2458"/>
      <c r="F2" s="2458"/>
      <c r="G2" s="2458"/>
      <c r="H2" s="2458"/>
      <c r="I2" s="2458"/>
      <c r="J2" s="1402"/>
    </row>
    <row r="3" spans="2:10" s="317" customFormat="1" ht="12.75" customHeight="1" x14ac:dyDescent="0.2">
      <c r="B3" s="2459" t="s">
        <v>1285</v>
      </c>
      <c r="C3" s="2460"/>
      <c r="D3" s="2460"/>
      <c r="E3" s="2460"/>
      <c r="F3" s="2460"/>
      <c r="G3" s="2460"/>
      <c r="H3" s="2460"/>
      <c r="I3" s="2460"/>
      <c r="J3" s="1403"/>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59" t="s">
        <v>1284</v>
      </c>
      <c r="C7" s="2460"/>
      <c r="D7" s="2460"/>
      <c r="E7" s="2460"/>
      <c r="F7" s="2460"/>
      <c r="G7" s="2460"/>
      <c r="H7" s="2460"/>
      <c r="I7" s="2460"/>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61"/>
      <c r="D11" s="2461"/>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62"/>
      <c r="E29" s="2462"/>
      <c r="F29" s="2462"/>
      <c r="G29" s="2462"/>
      <c r="H29" s="2462"/>
      <c r="I29" s="2462"/>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63" t="s">
        <v>1751</v>
      </c>
      <c r="D37" s="2464"/>
      <c r="E37" s="2464"/>
      <c r="F37" s="2465"/>
      <c r="G37" s="2463" t="s">
        <v>1592</v>
      </c>
      <c r="H37" s="2464"/>
      <c r="I37" s="2465"/>
    </row>
    <row r="38" spans="2:9" ht="16.5" customHeight="1" x14ac:dyDescent="0.2">
      <c r="B38" s="1424"/>
      <c r="C38" s="2451"/>
      <c r="D38" s="2452"/>
      <c r="E38" s="2452"/>
      <c r="F38" s="2453"/>
      <c r="G38" s="2466"/>
      <c r="H38" s="2467"/>
      <c r="I38" s="2468"/>
    </row>
    <row r="39" spans="2:9" ht="16.5" customHeight="1" x14ac:dyDescent="0.2">
      <c r="B39" s="1424"/>
      <c r="C39" s="2451"/>
      <c r="D39" s="2452"/>
      <c r="E39" s="2452"/>
      <c r="F39" s="2453"/>
      <c r="G39" s="2454"/>
      <c r="H39" s="2454"/>
      <c r="I39" s="2454"/>
    </row>
    <row r="40" spans="2:9" ht="16.5" customHeight="1" x14ac:dyDescent="0.2">
      <c r="B40" s="1424"/>
      <c r="C40" s="2451"/>
      <c r="D40" s="2452"/>
      <c r="E40" s="2452"/>
      <c r="F40" s="2453"/>
      <c r="G40" s="2454"/>
      <c r="H40" s="2454"/>
      <c r="I40" s="2454"/>
    </row>
    <row r="41" spans="2:9" ht="16.5" customHeight="1" x14ac:dyDescent="0.2">
      <c r="B41" s="1424"/>
      <c r="C41" s="2451"/>
      <c r="D41" s="2452"/>
      <c r="E41" s="2452"/>
      <c r="F41" s="2453"/>
      <c r="G41" s="2454"/>
      <c r="H41" s="2454"/>
      <c r="I41" s="2454"/>
    </row>
    <row r="42" spans="2:9" ht="16.5" customHeight="1" x14ac:dyDescent="0.2">
      <c r="B42" s="1424"/>
      <c r="C42" s="2451"/>
      <c r="D42" s="2452"/>
      <c r="E42" s="2452"/>
      <c r="F42" s="2453"/>
      <c r="G42" s="2454"/>
      <c r="H42" s="2454"/>
      <c r="I42" s="2454"/>
    </row>
    <row r="43" spans="2:9" ht="16.5" customHeight="1" x14ac:dyDescent="0.2">
      <c r="B43" s="1424"/>
      <c r="C43" s="2444" t="s">
        <v>1593</v>
      </c>
      <c r="D43" s="2445"/>
      <c r="E43" s="2445"/>
      <c r="F43" s="2446"/>
      <c r="G43" s="2447">
        <f>SUM(G38:I42)</f>
        <v>0</v>
      </c>
      <c r="H43" s="2447"/>
      <c r="I43" s="2447"/>
    </row>
    <row r="44" spans="2:9" ht="12.75" customHeight="1" x14ac:dyDescent="0.2"/>
    <row r="45" spans="2:9" ht="12.75" customHeight="1" x14ac:dyDescent="0.2">
      <c r="B45" s="1415" t="s">
        <v>1841</v>
      </c>
      <c r="D45" s="2448">
        <v>0</v>
      </c>
      <c r="E45" s="2449"/>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50"/>
      <c r="F49" s="2450"/>
      <c r="G49" s="2450"/>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Cambridge CUSD 227</v>
      </c>
      <c r="C1" s="2455"/>
      <c r="D1" s="2455"/>
      <c r="E1" s="2455"/>
      <c r="F1" s="2455"/>
      <c r="G1" s="2455"/>
      <c r="H1" s="2455"/>
      <c r="I1" s="2455"/>
      <c r="J1" s="2455"/>
      <c r="K1" s="2455"/>
      <c r="L1" s="1367"/>
      <c r="M1" s="1367"/>
    </row>
    <row r="2" spans="1:13" ht="12" customHeight="1" x14ac:dyDescent="0.2">
      <c r="B2" s="2457">
        <f>'Single Audit Cover'!E7</f>
        <v>28037227026</v>
      </c>
      <c r="C2" s="2457"/>
      <c r="D2" s="2457"/>
      <c r="E2" s="2457"/>
      <c r="F2" s="2457"/>
      <c r="G2" s="2457"/>
      <c r="H2" s="2457"/>
      <c r="I2" s="2457"/>
      <c r="J2" s="2457"/>
      <c r="K2" s="2457"/>
      <c r="L2" s="1368"/>
      <c r="M2" s="1369"/>
    </row>
    <row r="3" spans="1:13" ht="10.35" customHeight="1" x14ac:dyDescent="0.2">
      <c r="B3" s="2471" t="s">
        <v>1285</v>
      </c>
      <c r="C3" s="2471"/>
      <c r="D3" s="2471"/>
      <c r="E3" s="2471"/>
      <c r="F3" s="2471"/>
      <c r="G3" s="2471"/>
      <c r="H3" s="2471"/>
      <c r="I3" s="2471"/>
      <c r="J3" s="2471"/>
      <c r="K3" s="2471"/>
      <c r="L3" s="1370"/>
      <c r="M3" s="1370"/>
    </row>
    <row r="4" spans="1:13" ht="14.25" customHeight="1" x14ac:dyDescent="0.2">
      <c r="B4" s="2472" t="str">
        <f>'Single Audit Cover'!A4</f>
        <v>Year Ending June 30, 2019</v>
      </c>
      <c r="C4" s="2472"/>
      <c r="D4" s="2472"/>
      <c r="E4" s="2472"/>
      <c r="F4" s="2472"/>
      <c r="G4" s="2472"/>
      <c r="H4" s="2472"/>
      <c r="I4" s="2472"/>
      <c r="J4" s="2472"/>
      <c r="K4" s="2472"/>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72" t="s">
        <v>1296</v>
      </c>
      <c r="C7" s="2472"/>
      <c r="D7" s="2473"/>
      <c r="E7" s="2473"/>
      <c r="F7" s="2473"/>
      <c r="G7" s="2473"/>
      <c r="H7" s="2473"/>
      <c r="I7" s="2473"/>
      <c r="J7" s="2473"/>
      <c r="K7" s="2473"/>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70"/>
      <c r="C14" s="2470"/>
      <c r="D14" s="2470"/>
      <c r="E14" s="2470"/>
      <c r="F14" s="2470"/>
      <c r="G14" s="2470"/>
      <c r="H14" s="2470"/>
      <c r="I14" s="2470"/>
      <c r="J14" s="2470"/>
      <c r="K14" s="2470"/>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70"/>
      <c r="C17" s="2470"/>
      <c r="D17" s="2470"/>
      <c r="E17" s="2470"/>
      <c r="F17" s="2470"/>
      <c r="G17" s="2470"/>
      <c r="H17" s="2470"/>
      <c r="I17" s="2470"/>
      <c r="J17" s="2470"/>
      <c r="K17" s="2470"/>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74"/>
      <c r="C20" s="2474"/>
      <c r="D20" s="2470"/>
      <c r="E20" s="2470"/>
      <c r="F20" s="2470"/>
      <c r="G20" s="2470"/>
      <c r="H20" s="2470"/>
      <c r="I20" s="2470"/>
      <c r="J20" s="2470"/>
      <c r="K20" s="2470"/>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70"/>
      <c r="C23" s="2470"/>
      <c r="D23" s="2470"/>
      <c r="E23" s="2470"/>
      <c r="F23" s="2470"/>
      <c r="G23" s="2470"/>
      <c r="H23" s="2470"/>
      <c r="I23" s="2470"/>
      <c r="J23" s="2470"/>
      <c r="K23" s="2470"/>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70"/>
      <c r="C26" s="2470"/>
      <c r="D26" s="2470"/>
      <c r="E26" s="2470"/>
      <c r="F26" s="2470"/>
      <c r="G26" s="2470"/>
      <c r="H26" s="2470"/>
      <c r="I26" s="2470"/>
      <c r="J26" s="2470"/>
      <c r="K26" s="2470"/>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69"/>
      <c r="C29" s="2469"/>
      <c r="D29" s="2470"/>
      <c r="E29" s="2470"/>
      <c r="F29" s="2470"/>
      <c r="G29" s="2470"/>
      <c r="H29" s="2470"/>
      <c r="I29" s="2470"/>
      <c r="J29" s="2470"/>
      <c r="K29" s="2470"/>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69"/>
      <c r="C32" s="2469"/>
      <c r="D32" s="2470"/>
      <c r="E32" s="2470"/>
      <c r="F32" s="2470"/>
      <c r="G32" s="2470"/>
      <c r="H32" s="2470"/>
      <c r="I32" s="2470"/>
      <c r="J32" s="2470"/>
      <c r="K32" s="2470"/>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Cambridge CUSD 227</v>
      </c>
      <c r="C1" s="2478"/>
      <c r="D1" s="2478"/>
      <c r="E1" s="2478"/>
      <c r="F1" s="2478"/>
      <c r="G1" s="2478"/>
      <c r="H1" s="2478"/>
      <c r="I1" s="2478"/>
      <c r="J1" s="2478"/>
      <c r="K1" s="2478"/>
      <c r="L1" s="1445"/>
    </row>
    <row r="2" spans="1:12" ht="12.75" customHeight="1" x14ac:dyDescent="0.2">
      <c r="B2" s="2479">
        <f>'Single Audit Cover'!E7</f>
        <v>28037227026</v>
      </c>
      <c r="C2" s="2479"/>
      <c r="D2" s="2479"/>
      <c r="E2" s="2479"/>
      <c r="F2" s="2479"/>
      <c r="G2" s="2479"/>
      <c r="H2" s="2479"/>
      <c r="I2" s="2479"/>
      <c r="J2" s="2479"/>
      <c r="K2" s="2479"/>
      <c r="L2" s="1446"/>
    </row>
    <row r="3" spans="1:12" ht="12.75" customHeight="1" x14ac:dyDescent="0.2">
      <c r="B3" s="2471" t="s">
        <v>1285</v>
      </c>
      <c r="C3" s="2471"/>
      <c r="D3" s="2471"/>
      <c r="E3" s="2471"/>
      <c r="F3" s="2471"/>
      <c r="G3" s="2471"/>
      <c r="H3" s="2471"/>
      <c r="I3" s="2471"/>
      <c r="J3" s="2471"/>
      <c r="K3" s="2471"/>
      <c r="L3" s="1370"/>
    </row>
    <row r="4" spans="1:12" ht="12.75" customHeight="1" x14ac:dyDescent="0.2">
      <c r="B4" s="2471" t="str">
        <f>'Single Audit Cover'!A4</f>
        <v>Year Ending June 30, 2019</v>
      </c>
      <c r="C4" s="2471"/>
      <c r="D4" s="2471"/>
      <c r="E4" s="2471"/>
      <c r="F4" s="2471"/>
      <c r="G4" s="2471"/>
      <c r="H4" s="2471"/>
      <c r="I4" s="2471"/>
      <c r="J4" s="2471"/>
      <c r="K4" s="2471"/>
      <c r="L4" s="1370"/>
    </row>
    <row r="5" spans="1:12" ht="5.25" customHeight="1" x14ac:dyDescent="0.2">
      <c r="B5" s="1253" t="s">
        <v>1169</v>
      </c>
      <c r="C5" s="1253"/>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62"/>
      <c r="G12" s="2462"/>
      <c r="H12" s="2462"/>
      <c r="I12" s="2462"/>
      <c r="J12" s="2462"/>
      <c r="K12" s="2462"/>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475"/>
      <c r="E14" s="2475"/>
      <c r="F14" s="2475"/>
      <c r="H14" s="1455" t="s">
        <v>1303</v>
      </c>
      <c r="I14" s="2476"/>
      <c r="J14" s="2476"/>
      <c r="K14" s="2476"/>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476"/>
      <c r="E16" s="2476"/>
      <c r="F16" s="2476"/>
      <c r="G16" s="2476"/>
      <c r="H16" s="2476"/>
      <c r="I16" s="2476"/>
      <c r="J16" s="2476"/>
      <c r="K16" s="2476"/>
      <c r="L16" s="322"/>
    </row>
    <row r="17" spans="2:12" ht="13.5" customHeight="1" x14ac:dyDescent="0.2">
      <c r="B17" s="1380" t="s">
        <v>1301</v>
      </c>
      <c r="C17" s="1380"/>
      <c r="D17" s="2477"/>
      <c r="E17" s="2477"/>
      <c r="F17" s="2477"/>
      <c r="G17" s="2477"/>
      <c r="H17" s="2477"/>
      <c r="I17" s="2477"/>
      <c r="J17" s="2477"/>
      <c r="K17" s="2477"/>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70"/>
      <c r="C20" s="2470"/>
      <c r="D20" s="2470"/>
      <c r="E20" s="2470"/>
      <c r="F20" s="2470"/>
      <c r="G20" s="2470"/>
      <c r="H20" s="2470"/>
      <c r="I20" s="2470"/>
      <c r="J20" s="2470"/>
      <c r="K20" s="2470"/>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70"/>
      <c r="C23" s="2470"/>
      <c r="D23" s="2470"/>
      <c r="E23" s="2470"/>
      <c r="F23" s="2470"/>
      <c r="G23" s="2470"/>
      <c r="H23" s="2470"/>
      <c r="I23" s="2470"/>
      <c r="J23" s="2470"/>
      <c r="K23" s="2470"/>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70"/>
      <c r="C26" s="2470"/>
      <c r="D26" s="2470"/>
      <c r="E26" s="2470"/>
      <c r="F26" s="2470"/>
      <c r="G26" s="2470"/>
      <c r="H26" s="2470"/>
      <c r="I26" s="2470"/>
      <c r="J26" s="2470"/>
      <c r="K26" s="2470"/>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70"/>
      <c r="C29" s="2470"/>
      <c r="D29" s="2470"/>
      <c r="E29" s="2470"/>
      <c r="F29" s="2470"/>
      <c r="G29" s="2470"/>
      <c r="H29" s="2470"/>
      <c r="I29" s="2470"/>
      <c r="J29" s="2470"/>
      <c r="K29" s="2470"/>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70"/>
      <c r="C32" s="2470"/>
      <c r="D32" s="2470"/>
      <c r="E32" s="2470"/>
      <c r="F32" s="2470"/>
      <c r="G32" s="2470"/>
      <c r="H32" s="2470"/>
      <c r="I32" s="2470"/>
      <c r="J32" s="2470"/>
      <c r="K32" s="2470"/>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70"/>
      <c r="C35" s="2470"/>
      <c r="D35" s="2470"/>
      <c r="E35" s="2470"/>
      <c r="F35" s="2470"/>
      <c r="G35" s="2470"/>
      <c r="H35" s="2470"/>
      <c r="I35" s="2470"/>
      <c r="J35" s="2470"/>
      <c r="K35" s="2470"/>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70"/>
      <c r="C38" s="2470"/>
      <c r="D38" s="2470"/>
      <c r="E38" s="2470"/>
      <c r="F38" s="2470"/>
      <c r="G38" s="2470"/>
      <c r="H38" s="2470"/>
      <c r="I38" s="2470"/>
      <c r="J38" s="2470"/>
      <c r="K38" s="2470"/>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70"/>
      <c r="C41" s="2470"/>
      <c r="D41" s="2470"/>
      <c r="E41" s="2470"/>
      <c r="F41" s="2470"/>
      <c r="G41" s="2470"/>
      <c r="H41" s="2470"/>
      <c r="I41" s="2470"/>
      <c r="J41" s="2470"/>
      <c r="K41" s="2470"/>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55" t="str">
        <f>'Single Audit Cover'!A7</f>
        <v>Cambridge CUSD 227</v>
      </c>
      <c r="C1" s="2455"/>
      <c r="D1" s="2455"/>
      <c r="E1" s="1465"/>
    </row>
    <row r="2" spans="2:5" s="1275" customFormat="1" ht="12.75" customHeight="1" x14ac:dyDescent="0.2">
      <c r="B2" s="2457">
        <f>'Single Audit Cover'!E7</f>
        <v>28037227026</v>
      </c>
      <c r="C2" s="2457"/>
      <c r="D2" s="2457"/>
      <c r="E2" s="1466"/>
    </row>
    <row r="3" spans="2:5" ht="12.75" customHeight="1" x14ac:dyDescent="0.2">
      <c r="B3" s="2471" t="s">
        <v>1766</v>
      </c>
      <c r="C3" s="2471"/>
      <c r="D3" s="2471"/>
      <c r="E3" s="1267"/>
    </row>
    <row r="4" spans="2:5" s="1275" customFormat="1" ht="12.75" customHeight="1" x14ac:dyDescent="0.2">
      <c r="B4" s="2481" t="str">
        <f>'Single Audit Cover'!A4</f>
        <v>Year Ending June 30, 2019</v>
      </c>
      <c r="C4" s="2481"/>
      <c r="D4" s="2481"/>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2090</v>
      </c>
      <c r="C7" s="324"/>
      <c r="D7" s="324"/>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9" t="s">
        <v>386</v>
      </c>
      <c r="B1" s="2079"/>
      <c r="C1" s="2079"/>
      <c r="D1" s="2079"/>
      <c r="E1" s="2079"/>
      <c r="F1" s="2079"/>
      <c r="G1" s="2079"/>
      <c r="H1" s="2079"/>
      <c r="I1" s="2079"/>
      <c r="J1" s="2079"/>
      <c r="K1" s="2079"/>
      <c r="L1" s="2079"/>
      <c r="M1" s="207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60218047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2.9971999999999999E-2</v>
      </c>
      <c r="E10" s="356" t="s">
        <v>1005</v>
      </c>
      <c r="F10" s="355">
        <v>5.4949999999999999E-3</v>
      </c>
      <c r="G10" s="356" t="s">
        <v>1005</v>
      </c>
      <c r="H10" s="355">
        <v>1.9989999999999999E-3</v>
      </c>
      <c r="I10" s="356" t="s">
        <v>1006</v>
      </c>
      <c r="J10" s="1728">
        <f>ROUND(D10+F10+H10,5)</f>
        <v>3.7470000000000003E-2</v>
      </c>
      <c r="K10" s="222"/>
      <c r="L10" s="355">
        <v>5.0000000000000001E-4</v>
      </c>
      <c r="M10" s="222"/>
    </row>
    <row r="11" spans="1:14" ht="7.5" customHeight="1" x14ac:dyDescent="0.2">
      <c r="B11" s="222"/>
      <c r="C11" s="222"/>
      <c r="D11" s="2089" t="str">
        <f>IF(SUM(J10)&lt;=0.0999999,"","Enter the Tax Rates by moving the decimal two places to the left.")</f>
        <v/>
      </c>
      <c r="E11" s="2090"/>
      <c r="F11" s="2090"/>
      <c r="G11" s="2090"/>
      <c r="H11" s="2090"/>
      <c r="I11" s="2090"/>
      <c r="J11" s="209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4559687</v>
      </c>
      <c r="E16" s="356"/>
      <c r="F16" s="1729">
        <f>SUM('Acct Summary 7-8'!C17,'Acct Summary 7-8'!D17,'Acct Summary 7-8'!F17)</f>
        <v>4624379</v>
      </c>
      <c r="G16" s="356"/>
      <c r="H16" s="1729">
        <f>SUM(D16-F16)</f>
        <v>-64692</v>
      </c>
      <c r="I16" s="222"/>
      <c r="J16" s="1729">
        <f>SUM('Acct Summary 7-8'!C81,'Acct Summary 7-8'!D81,'Acct Summary 7-8'!F81,'Acct Summary 7-8'!I81)</f>
        <v>1388268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8310090.4860000005</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2033200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0"/>
      <c r="C54" s="2081"/>
      <c r="D54" s="2081"/>
      <c r="E54" s="2081"/>
      <c r="F54" s="2081"/>
      <c r="G54" s="2081"/>
      <c r="H54" s="2081"/>
      <c r="I54" s="2081"/>
      <c r="J54" s="2081"/>
      <c r="K54" s="2081"/>
      <c r="L54" s="2082"/>
      <c r="M54" s="380"/>
    </row>
    <row r="55" spans="1:13" ht="12.75" customHeight="1" x14ac:dyDescent="0.2">
      <c r="B55" s="2083"/>
      <c r="C55" s="2084"/>
      <c r="D55" s="2084"/>
      <c r="E55" s="2084"/>
      <c r="F55" s="2084"/>
      <c r="G55" s="2084"/>
      <c r="H55" s="2084"/>
      <c r="I55" s="2084"/>
      <c r="J55" s="2084"/>
      <c r="K55" s="2084"/>
      <c r="L55" s="2085"/>
      <c r="M55" s="380"/>
    </row>
    <row r="56" spans="1:13" ht="12.75" customHeight="1" x14ac:dyDescent="0.2">
      <c r="B56" s="2083"/>
      <c r="C56" s="2084"/>
      <c r="D56" s="2084"/>
      <c r="E56" s="2084"/>
      <c r="F56" s="2084"/>
      <c r="G56" s="2084"/>
      <c r="H56" s="2084"/>
      <c r="I56" s="2084"/>
      <c r="J56" s="2084"/>
      <c r="K56" s="2084"/>
      <c r="L56" s="2085"/>
      <c r="M56" s="222"/>
    </row>
    <row r="57" spans="1:13" ht="12.75" customHeight="1" x14ac:dyDescent="0.2">
      <c r="B57" s="2083"/>
      <c r="C57" s="2084"/>
      <c r="D57" s="2084"/>
      <c r="E57" s="2084"/>
      <c r="F57" s="2084"/>
      <c r="G57" s="2084"/>
      <c r="H57" s="2084"/>
      <c r="I57" s="2084"/>
      <c r="J57" s="2084"/>
      <c r="K57" s="2084"/>
      <c r="L57" s="2085"/>
      <c r="M57" s="222"/>
    </row>
    <row r="58" spans="1:13" x14ac:dyDescent="0.2">
      <c r="B58" s="2086"/>
      <c r="C58" s="2087"/>
      <c r="D58" s="2087"/>
      <c r="E58" s="2087"/>
      <c r="F58" s="2087"/>
      <c r="G58" s="2087"/>
      <c r="H58" s="2087"/>
      <c r="I58" s="2087"/>
      <c r="J58" s="2087"/>
      <c r="K58" s="2087"/>
      <c r="L58" s="208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1"/>
      <c r="D61" s="209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4"/>
      <c r="B1" s="2095"/>
      <c r="C1" s="2095"/>
      <c r="D1" s="384"/>
      <c r="E1" s="384"/>
      <c r="F1" s="384"/>
      <c r="G1" s="384"/>
      <c r="H1" s="384"/>
      <c r="I1" s="384"/>
      <c r="J1" s="384"/>
      <c r="K1" s="384"/>
      <c r="L1" s="384"/>
      <c r="M1" s="384"/>
      <c r="N1" s="384"/>
      <c r="O1" s="2094"/>
      <c r="P1" s="2095"/>
      <c r="Q1" s="2095"/>
    </row>
    <row r="2" spans="1:18" ht="15" x14ac:dyDescent="0.2">
      <c r="A2" s="2098" t="s">
        <v>556</v>
      </c>
      <c r="B2" s="2098"/>
      <c r="C2" s="2098"/>
      <c r="D2" s="2098"/>
      <c r="E2" s="2098"/>
      <c r="F2" s="2098"/>
      <c r="G2" s="2098"/>
      <c r="H2" s="2098"/>
      <c r="I2" s="2098"/>
      <c r="J2" s="2098"/>
      <c r="K2" s="2098"/>
      <c r="L2" s="2098"/>
      <c r="M2" s="2098"/>
      <c r="N2" s="2098"/>
      <c r="O2" s="2098"/>
      <c r="P2" s="2098"/>
      <c r="Q2" s="2098"/>
      <c r="R2" s="2098"/>
    </row>
    <row r="3" spans="1:18" ht="12.75" x14ac:dyDescent="0.2">
      <c r="A3" s="2099" t="s">
        <v>1413</v>
      </c>
      <c r="B3" s="2099"/>
      <c r="C3" s="2099"/>
      <c r="D3" s="2099"/>
      <c r="E3" s="2099"/>
      <c r="F3" s="2099"/>
      <c r="G3" s="2099"/>
      <c r="H3" s="2099"/>
      <c r="I3" s="2099"/>
      <c r="J3" s="2099"/>
      <c r="K3" s="2099"/>
      <c r="L3" s="2099"/>
      <c r="M3" s="2099"/>
      <c r="N3" s="2099"/>
      <c r="O3" s="2099"/>
      <c r="P3" s="2099"/>
      <c r="Q3" s="2099"/>
      <c r="R3" s="2099"/>
    </row>
    <row r="4" spans="1:18" x14ac:dyDescent="0.2">
      <c r="A4" s="2100" t="s">
        <v>1554</v>
      </c>
      <c r="B4" s="2100"/>
      <c r="C4" s="2100"/>
      <c r="D4" s="2100"/>
      <c r="E4" s="2100"/>
      <c r="F4" s="2100"/>
      <c r="G4" s="2100"/>
      <c r="H4" s="2100"/>
      <c r="I4" s="2100"/>
      <c r="J4" s="2100"/>
      <c r="K4" s="2100"/>
      <c r="L4" s="2100"/>
      <c r="M4" s="2100"/>
      <c r="N4" s="2100"/>
      <c r="O4" s="2100"/>
      <c r="P4" s="2100"/>
      <c r="Q4" s="2100"/>
      <c r="R4" s="210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Cambridge CUSD 227</v>
      </c>
      <c r="E7" s="391"/>
      <c r="G7" s="252"/>
      <c r="H7" s="387"/>
      <c r="I7" s="387"/>
      <c r="J7" s="387"/>
      <c r="K7" s="387"/>
      <c r="L7" s="329"/>
      <c r="M7" s="329"/>
      <c r="N7" s="329"/>
      <c r="O7" s="329"/>
      <c r="P7" s="329"/>
    </row>
    <row r="8" spans="1:18" ht="12.75" x14ac:dyDescent="0.2">
      <c r="A8" s="329"/>
      <c r="B8" s="329"/>
      <c r="C8" s="389" t="s">
        <v>1125</v>
      </c>
      <c r="D8" s="392">
        <f>COVER!A13</f>
        <v>28037227026</v>
      </c>
      <c r="E8" s="393"/>
      <c r="G8" s="329"/>
      <c r="H8" s="329"/>
      <c r="I8" s="329"/>
      <c r="J8" s="329"/>
      <c r="K8" s="329"/>
      <c r="L8" s="329"/>
      <c r="M8" s="329"/>
      <c r="N8" s="329"/>
      <c r="O8" s="329"/>
      <c r="P8" s="329"/>
    </row>
    <row r="9" spans="1:18" ht="12.75" x14ac:dyDescent="0.2">
      <c r="A9" s="329"/>
      <c r="B9" s="329"/>
      <c r="C9" s="389" t="s">
        <v>713</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1388268</v>
      </c>
      <c r="I12" s="404"/>
      <c r="J12" s="404"/>
      <c r="K12" s="405">
        <f>TRUNC((H12/H13*100000),5)/100000</f>
        <v>0.30446563539999999</v>
      </c>
      <c r="L12" s="406"/>
      <c r="M12" s="360" t="s">
        <v>1144</v>
      </c>
      <c r="N12" s="360"/>
      <c r="O12" s="407">
        <v>0.35</v>
      </c>
      <c r="P12" s="218"/>
      <c r="Q12" s="218"/>
    </row>
    <row r="13" spans="1:18" s="408" customFormat="1" ht="12.75" x14ac:dyDescent="0.2">
      <c r="A13" s="218"/>
      <c r="B13" s="401"/>
      <c r="C13" s="2096" t="s">
        <v>1324</v>
      </c>
      <c r="D13" s="2097"/>
      <c r="E13" s="218"/>
      <c r="F13" s="409" t="s">
        <v>793</v>
      </c>
      <c r="G13" s="402"/>
      <c r="H13" s="403">
        <f>SUM('Acct Summary 7-8'!C8+'Acct Summary 7-8'!D8+'Acct Summary 7-8'!F8+'Acct Summary 7-8'!I8)+H14</f>
        <v>4559687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4624379</v>
      </c>
      <c r="I17" s="404"/>
      <c r="J17" s="416"/>
      <c r="K17" s="405">
        <f>TRUNC((H17/H18*100000),5)/100000</f>
        <v>1.0141878159</v>
      </c>
      <c r="L17" s="406"/>
      <c r="M17" s="417" t="s">
        <v>1171</v>
      </c>
      <c r="O17" s="418" t="str">
        <f>IF(AND(O16="2", J20 &gt; 2),"1",IF(AND(O16 = "1", J20 &gt; 2),"2",IF(AND(O16="1", J20 &gt;1),"1","0")))</f>
        <v>0</v>
      </c>
      <c r="P17" s="218"/>
    </row>
    <row r="18" spans="1:18" s="408" customFormat="1" ht="11.25" x14ac:dyDescent="0.2">
      <c r="A18" s="218"/>
      <c r="B18" s="401"/>
      <c r="C18" s="2096" t="s">
        <v>1317</v>
      </c>
      <c r="D18" s="2097"/>
      <c r="E18" s="218"/>
      <c r="F18" s="419" t="s">
        <v>794</v>
      </c>
      <c r="G18" s="402"/>
      <c r="H18" s="403">
        <f>SUM('Acct Summary 7-8'!C8+'Acct Summary 7-8'!D8+'Acct Summary 7-8'!F8+'Acct Summary 7-8'!I8)+H19</f>
        <v>4559687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14.411353799999999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3" t="s">
        <v>1412</v>
      </c>
      <c r="D24" s="2093"/>
      <c r="E24" s="218"/>
      <c r="F24" s="218" t="s">
        <v>445</v>
      </c>
      <c r="G24" s="402"/>
      <c r="H24" s="403">
        <f>SUM('Assets-Liab 5-6'!C4+'Assets-Liab 5-6'!D4+'Assets-Liab 5-6'!F4+'Assets-Liab 5-6'!I4+'Assets-Liab 5-6'!C5+'Assets-Liab 5-6'!D5+'Assets-Liab 5-6'!F5+'Assets-Liab 5-6'!I5)</f>
        <v>1388563</v>
      </c>
      <c r="I24" s="422"/>
      <c r="J24" s="422"/>
      <c r="K24" s="423">
        <f>TRUNC(((H24/H25*100000)/100000),2)</f>
        <v>108.09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12845.497219999999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1917914.68793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2033200</v>
      </c>
      <c r="I32" s="420"/>
      <c r="J32" s="420"/>
      <c r="K32" s="423">
        <f>TRUNC(100-((((H32/H33*100))*100)/100),2)</f>
        <v>75.53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8310090.4860000005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3" t="s">
        <v>973</v>
      </c>
      <c r="B3" s="2104"/>
      <c r="C3" s="1555"/>
      <c r="D3" s="1556"/>
      <c r="E3" s="1556"/>
      <c r="F3" s="1556"/>
      <c r="G3" s="1556"/>
      <c r="H3" s="1556"/>
      <c r="I3" s="1556"/>
      <c r="J3" s="1556"/>
      <c r="K3" s="1556"/>
      <c r="L3" s="1556"/>
      <c r="M3" s="1557"/>
      <c r="N3" s="1558"/>
    </row>
    <row r="4" spans="1:14" ht="13.5" customHeight="1" x14ac:dyDescent="0.2">
      <c r="A4" s="463" t="s">
        <v>1651</v>
      </c>
      <c r="B4" s="464"/>
      <c r="C4" s="465">
        <v>520282</v>
      </c>
      <c r="D4" s="465">
        <v>273708</v>
      </c>
      <c r="E4" s="465">
        <v>96299</v>
      </c>
      <c r="F4" s="465">
        <v>201396</v>
      </c>
      <c r="G4" s="465">
        <v>325472</v>
      </c>
      <c r="H4" s="465">
        <v>186948</v>
      </c>
      <c r="I4" s="465">
        <v>121977</v>
      </c>
      <c r="J4" s="465">
        <v>257750</v>
      </c>
      <c r="K4" s="465">
        <v>172135</v>
      </c>
      <c r="L4" s="465">
        <v>118771</v>
      </c>
      <c r="M4" s="468"/>
      <c r="N4" s="469"/>
    </row>
    <row r="5" spans="1:14" x14ac:dyDescent="0.2">
      <c r="A5" s="463" t="s">
        <v>992</v>
      </c>
      <c r="B5" s="470">
        <v>120</v>
      </c>
      <c r="C5" s="465">
        <v>0</v>
      </c>
      <c r="D5" s="465">
        <v>134200</v>
      </c>
      <c r="E5" s="465">
        <v>0</v>
      </c>
      <c r="F5" s="465">
        <v>137000</v>
      </c>
      <c r="G5" s="465">
        <v>0</v>
      </c>
      <c r="H5" s="465">
        <v>0</v>
      </c>
      <c r="I5" s="465">
        <v>0</v>
      </c>
      <c r="J5" s="465">
        <v>0</v>
      </c>
      <c r="K5" s="465">
        <v>0</v>
      </c>
      <c r="L5" s="465">
        <v>49137</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3600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523882</v>
      </c>
      <c r="D13" s="1733">
        <f t="shared" ref="D13:L13" si="0">SUM(D4:D12)</f>
        <v>407908</v>
      </c>
      <c r="E13" s="1733">
        <f t="shared" si="0"/>
        <v>96299</v>
      </c>
      <c r="F13" s="1733">
        <f t="shared" si="0"/>
        <v>338396</v>
      </c>
      <c r="G13" s="1733">
        <f t="shared" si="0"/>
        <v>325472</v>
      </c>
      <c r="H13" s="1733">
        <f t="shared" si="0"/>
        <v>186948</v>
      </c>
      <c r="I13" s="1733">
        <f t="shared" si="0"/>
        <v>121977</v>
      </c>
      <c r="J13" s="1733">
        <f t="shared" si="0"/>
        <v>257750</v>
      </c>
      <c r="K13" s="1733">
        <f t="shared" si="0"/>
        <v>172135</v>
      </c>
      <c r="L13" s="1733">
        <f t="shared" si="0"/>
        <v>167908</v>
      </c>
      <c r="M13" s="468"/>
      <c r="N13" s="469"/>
    </row>
    <row r="14" spans="1:14" ht="18" customHeight="1" thickTop="1" x14ac:dyDescent="0.2">
      <c r="A14" s="2105" t="s">
        <v>147</v>
      </c>
      <c r="B14" s="2106"/>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38250</v>
      </c>
      <c r="N16" s="482"/>
    </row>
    <row r="17" spans="1:14" s="483" customFormat="1" ht="12.75" customHeight="1" x14ac:dyDescent="0.2">
      <c r="A17" s="480" t="s">
        <v>1403</v>
      </c>
      <c r="B17" s="481">
        <v>230</v>
      </c>
      <c r="C17" s="475"/>
      <c r="D17" s="475"/>
      <c r="E17" s="475"/>
      <c r="F17" s="475"/>
      <c r="G17" s="475"/>
      <c r="H17" s="475"/>
      <c r="I17" s="475"/>
      <c r="J17" s="475"/>
      <c r="K17" s="475"/>
      <c r="L17" s="475"/>
      <c r="M17" s="465">
        <v>6263627</v>
      </c>
      <c r="N17" s="482"/>
    </row>
    <row r="18" spans="1:14" s="483" customFormat="1" ht="12.75" customHeight="1" x14ac:dyDescent="0.2">
      <c r="A18" s="480" t="s">
        <v>1404</v>
      </c>
      <c r="B18" s="481">
        <v>240</v>
      </c>
      <c r="C18" s="475"/>
      <c r="D18" s="475"/>
      <c r="E18" s="475"/>
      <c r="F18" s="475"/>
      <c r="G18" s="475"/>
      <c r="H18" s="475"/>
      <c r="I18" s="475"/>
      <c r="J18" s="475"/>
      <c r="K18" s="475"/>
      <c r="L18" s="475"/>
      <c r="M18" s="465">
        <v>580676</v>
      </c>
      <c r="N18" s="482"/>
    </row>
    <row r="19" spans="1:14" s="483" customFormat="1" ht="12.75" customHeight="1" x14ac:dyDescent="0.2">
      <c r="A19" s="480" t="s">
        <v>1405</v>
      </c>
      <c r="B19" s="481">
        <v>250</v>
      </c>
      <c r="C19" s="475"/>
      <c r="D19" s="475"/>
      <c r="E19" s="475"/>
      <c r="F19" s="475"/>
      <c r="G19" s="475"/>
      <c r="H19" s="475"/>
      <c r="I19" s="475"/>
      <c r="J19" s="475"/>
      <c r="K19" s="475"/>
      <c r="L19" s="475"/>
      <c r="M19" s="465">
        <v>759197</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96299</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1936901</v>
      </c>
    </row>
    <row r="23" spans="1:14" ht="13.5" customHeight="1" thickBot="1" x14ac:dyDescent="0.25">
      <c r="A23" s="1732" t="s">
        <v>643</v>
      </c>
      <c r="B23" s="1737"/>
      <c r="C23" s="468"/>
      <c r="D23" s="468"/>
      <c r="E23" s="468"/>
      <c r="F23" s="468"/>
      <c r="G23" s="468"/>
      <c r="H23" s="468"/>
      <c r="I23" s="468"/>
      <c r="J23" s="468"/>
      <c r="K23" s="468"/>
      <c r="L23" s="468"/>
      <c r="M23" s="1684">
        <f>SUM(M15:M22)</f>
        <v>7641750</v>
      </c>
      <c r="N23" s="1684">
        <f>SUM(N21:N22)</f>
        <v>2033200</v>
      </c>
    </row>
    <row r="24" spans="1:14" ht="18" customHeight="1" thickTop="1" x14ac:dyDescent="0.2">
      <c r="A24" s="2107" t="s">
        <v>598</v>
      </c>
      <c r="B24" s="2108"/>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3895</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115097</v>
      </c>
      <c r="M33" s="468"/>
      <c r="N33" s="469"/>
    </row>
    <row r="34" spans="1:14" ht="13.5" customHeight="1" thickBot="1" x14ac:dyDescent="0.25">
      <c r="A34" s="1734" t="s">
        <v>654</v>
      </c>
      <c r="B34" s="1735"/>
      <c r="C34" s="1736">
        <f>SUM(C25:C33)</f>
        <v>3895</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115097</v>
      </c>
      <c r="M34" s="468"/>
      <c r="N34" s="478"/>
    </row>
    <row r="35" spans="1:14" ht="18" customHeight="1" thickTop="1" x14ac:dyDescent="0.2">
      <c r="A35" s="2109" t="s">
        <v>529</v>
      </c>
      <c r="B35" s="2110"/>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2033200</v>
      </c>
    </row>
    <row r="37" spans="1:14" ht="13.5" thickBot="1" x14ac:dyDescent="0.25">
      <c r="A37" s="1732" t="s">
        <v>653</v>
      </c>
      <c r="B37" s="1737"/>
      <c r="C37" s="475"/>
      <c r="D37" s="475"/>
      <c r="E37" s="475"/>
      <c r="F37" s="475"/>
      <c r="G37" s="475"/>
      <c r="H37" s="475"/>
      <c r="I37" s="475"/>
      <c r="J37" s="475"/>
      <c r="K37" s="475"/>
      <c r="L37" s="478"/>
      <c r="M37" s="468"/>
      <c r="N37" s="1684">
        <f>SUM(N36:N36)</f>
        <v>2033200</v>
      </c>
    </row>
    <row r="38" spans="1:14" s="329" customFormat="1" ht="13.5" customHeight="1" thickTop="1" x14ac:dyDescent="0.2">
      <c r="A38" s="493" t="s">
        <v>420</v>
      </c>
      <c r="B38" s="481">
        <v>714</v>
      </c>
      <c r="C38" s="465">
        <v>0</v>
      </c>
      <c r="D38" s="465">
        <v>0</v>
      </c>
      <c r="E38" s="465">
        <v>0</v>
      </c>
      <c r="F38" s="465">
        <v>0</v>
      </c>
      <c r="G38" s="465">
        <v>248251</v>
      </c>
      <c r="H38" s="465">
        <v>0</v>
      </c>
      <c r="I38" s="465">
        <v>0</v>
      </c>
      <c r="J38" s="465">
        <v>0</v>
      </c>
      <c r="K38" s="465">
        <v>0</v>
      </c>
      <c r="L38" s="465">
        <v>52811</v>
      </c>
      <c r="M38" s="494"/>
      <c r="N38" s="494"/>
    </row>
    <row r="39" spans="1:14" s="329" customFormat="1" ht="13.5" customHeight="1" x14ac:dyDescent="0.2">
      <c r="A39" s="493" t="s">
        <v>342</v>
      </c>
      <c r="B39" s="481">
        <v>730</v>
      </c>
      <c r="C39" s="465">
        <v>519987</v>
      </c>
      <c r="D39" s="465">
        <v>407908</v>
      </c>
      <c r="E39" s="465">
        <v>96299</v>
      </c>
      <c r="F39" s="465">
        <v>338396</v>
      </c>
      <c r="G39" s="465">
        <v>77221</v>
      </c>
      <c r="H39" s="465">
        <v>186948</v>
      </c>
      <c r="I39" s="465">
        <v>121977</v>
      </c>
      <c r="J39" s="465">
        <v>257750</v>
      </c>
      <c r="K39" s="465">
        <v>172135</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7641750</v>
      </c>
      <c r="N40" s="494"/>
    </row>
    <row r="41" spans="1:14" ht="13.5" customHeight="1" thickBot="1" x14ac:dyDescent="0.25">
      <c r="A41" s="1732" t="s">
        <v>655</v>
      </c>
      <c r="B41" s="1702"/>
      <c r="C41" s="1684">
        <f>(SUM(C34,C37,C38,C39))</f>
        <v>523882</v>
      </c>
      <c r="D41" s="1684">
        <f t="shared" ref="D41:L41" si="2">SUM(D34,D37,D38:D39)</f>
        <v>407908</v>
      </c>
      <c r="E41" s="1684">
        <f t="shared" si="2"/>
        <v>96299</v>
      </c>
      <c r="F41" s="1684">
        <f t="shared" si="2"/>
        <v>338396</v>
      </c>
      <c r="G41" s="1684">
        <f t="shared" si="2"/>
        <v>325472</v>
      </c>
      <c r="H41" s="1684">
        <f t="shared" si="2"/>
        <v>186948</v>
      </c>
      <c r="I41" s="1684">
        <f t="shared" si="2"/>
        <v>121977</v>
      </c>
      <c r="J41" s="1684">
        <f t="shared" si="2"/>
        <v>257750</v>
      </c>
      <c r="K41" s="1684">
        <f t="shared" si="2"/>
        <v>172135</v>
      </c>
      <c r="L41" s="1684">
        <f t="shared" si="2"/>
        <v>167908</v>
      </c>
      <c r="M41" s="1684">
        <f>SUM(M40)</f>
        <v>7641750</v>
      </c>
      <c r="N41" s="1684">
        <f>SUM(N37)</f>
        <v>2033200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1" sqref="L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9"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0"/>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1" t="s">
        <v>1175</v>
      </c>
      <c r="B3" s="2132"/>
      <c r="C3" s="1569"/>
      <c r="D3" s="1570"/>
      <c r="E3" s="1570"/>
      <c r="F3" s="1570"/>
      <c r="G3" s="1570"/>
      <c r="H3" s="1570"/>
      <c r="I3" s="1570"/>
      <c r="J3" s="1570"/>
      <c r="K3" s="1571"/>
      <c r="L3" s="503"/>
    </row>
    <row r="4" spans="1:13" ht="15.75" customHeight="1" x14ac:dyDescent="0.2">
      <c r="A4" s="1924" t="s">
        <v>1499</v>
      </c>
      <c r="B4" s="1925">
        <v>1000</v>
      </c>
      <c r="C4" s="1738">
        <f>'Revenues 9-14'!C109</f>
        <v>2163192</v>
      </c>
      <c r="D4" s="1738">
        <f>'Revenues 9-14'!D109</f>
        <v>419603</v>
      </c>
      <c r="E4" s="1738">
        <f>'Revenues 9-14'!E109</f>
        <v>179134</v>
      </c>
      <c r="F4" s="1738">
        <f>'Revenues 9-14'!F109</f>
        <v>138480</v>
      </c>
      <c r="G4" s="1738">
        <f>'Revenues 9-14'!G109</f>
        <v>174871</v>
      </c>
      <c r="H4" s="1738">
        <f>'Revenues 9-14'!H109</f>
        <v>165218</v>
      </c>
      <c r="I4" s="1738">
        <f>'Revenues 9-14'!I109</f>
        <v>29999</v>
      </c>
      <c r="J4" s="1738">
        <f>'Revenues 9-14'!J109</f>
        <v>409432</v>
      </c>
      <c r="K4" s="1738">
        <f>'Revenues 9-14'!K109</f>
        <v>32224</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1266950</v>
      </c>
      <c r="D6" s="1739">
        <f>'Revenues 9-14'!D170</f>
        <v>0</v>
      </c>
      <c r="E6" s="1739">
        <f>'Revenues 9-14'!E170</f>
        <v>0</v>
      </c>
      <c r="F6" s="1739">
        <f>'Revenues 9-14'!F170</f>
        <v>193635</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345565</v>
      </c>
      <c r="D7" s="1739">
        <f>'Revenues 9-14'!D267</f>
        <v>0</v>
      </c>
      <c r="E7" s="1739">
        <f>'Revenues 9-14'!E267</f>
        <v>0</v>
      </c>
      <c r="F7" s="1739">
        <f>'Revenues 9-14'!F267</f>
        <v>2263</v>
      </c>
      <c r="G7" s="1739">
        <f>'Revenues 9-14'!G267</f>
        <v>5192</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3775707</v>
      </c>
      <c r="D8" s="1684">
        <f t="shared" ref="D8:K8" si="0">SUM(D4:D7)</f>
        <v>419603</v>
      </c>
      <c r="E8" s="1684">
        <f t="shared" si="0"/>
        <v>179134</v>
      </c>
      <c r="F8" s="1684">
        <f t="shared" si="0"/>
        <v>334378</v>
      </c>
      <c r="G8" s="1684">
        <f t="shared" si="0"/>
        <v>180063</v>
      </c>
      <c r="H8" s="1684">
        <f t="shared" si="0"/>
        <v>165218</v>
      </c>
      <c r="I8" s="1684">
        <f t="shared" si="0"/>
        <v>29999</v>
      </c>
      <c r="J8" s="1684">
        <f t="shared" si="0"/>
        <v>409432</v>
      </c>
      <c r="K8" s="1684">
        <f t="shared" si="0"/>
        <v>32224</v>
      </c>
      <c r="L8" s="347"/>
    </row>
    <row r="9" spans="1:13" ht="15.75" thickTop="1" x14ac:dyDescent="0.2">
      <c r="A9" s="511" t="s">
        <v>1653</v>
      </c>
      <c r="B9" s="512">
        <v>3998</v>
      </c>
      <c r="C9" s="465">
        <v>1824146</v>
      </c>
      <c r="D9" s="513"/>
      <c r="E9" s="479"/>
      <c r="F9" s="479"/>
      <c r="G9" s="514"/>
      <c r="H9" s="479"/>
      <c r="I9" s="506" t="s">
        <v>1169</v>
      </c>
      <c r="J9" s="476"/>
      <c r="K9" s="479"/>
      <c r="L9" s="347"/>
    </row>
    <row r="10" spans="1:13" s="516" customFormat="1" ht="13.5" thickBot="1" x14ac:dyDescent="0.25">
      <c r="A10" s="1732" t="s">
        <v>1173</v>
      </c>
      <c r="B10" s="1705"/>
      <c r="C10" s="1684">
        <f>SUM(C8:C9)</f>
        <v>5599853</v>
      </c>
      <c r="D10" s="1684">
        <f t="shared" ref="D10:K10" si="1">SUM(D8:D9)</f>
        <v>419603</v>
      </c>
      <c r="E10" s="1684">
        <f t="shared" si="1"/>
        <v>179134</v>
      </c>
      <c r="F10" s="1684">
        <f t="shared" si="1"/>
        <v>334378</v>
      </c>
      <c r="G10" s="1684">
        <f t="shared" si="1"/>
        <v>180063</v>
      </c>
      <c r="H10" s="1684">
        <f t="shared" si="1"/>
        <v>165218</v>
      </c>
      <c r="I10" s="1684">
        <f t="shared" si="1"/>
        <v>29999</v>
      </c>
      <c r="J10" s="1684">
        <f t="shared" si="1"/>
        <v>409432</v>
      </c>
      <c r="K10" s="1684">
        <f t="shared" si="1"/>
        <v>32224</v>
      </c>
      <c r="L10" s="515"/>
    </row>
    <row r="11" spans="1:13" s="516" customFormat="1" ht="16.7" customHeight="1" thickTop="1" x14ac:dyDescent="0.2">
      <c r="A11" s="2105" t="s">
        <v>1176</v>
      </c>
      <c r="B11" s="2106"/>
      <c r="C11" s="1566"/>
      <c r="D11" s="1567"/>
      <c r="E11" s="1567"/>
      <c r="F11" s="1567"/>
      <c r="G11" s="1567"/>
      <c r="H11" s="1567"/>
      <c r="I11" s="1567"/>
      <c r="J11" s="1567"/>
      <c r="K11" s="1568"/>
      <c r="L11" s="515"/>
    </row>
    <row r="12" spans="1:13" ht="15.75" customHeight="1" x14ac:dyDescent="0.2">
      <c r="A12" s="1572" t="s">
        <v>456</v>
      </c>
      <c r="B12" s="1574">
        <v>1000</v>
      </c>
      <c r="C12" s="1738">
        <f>'Expenditures 15-22'!K33</f>
        <v>2879108</v>
      </c>
      <c r="D12" s="517" t="s">
        <v>1169</v>
      </c>
      <c r="E12" s="468" t="s">
        <v>1169</v>
      </c>
      <c r="F12" s="468" t="s">
        <v>1169</v>
      </c>
      <c r="G12" s="1738">
        <f>'Expenditures 15-22'!K229</f>
        <v>71155</v>
      </c>
      <c r="H12" s="518"/>
      <c r="I12" s="468" t="s">
        <v>1169</v>
      </c>
      <c r="J12" s="468" t="s">
        <v>1169</v>
      </c>
      <c r="K12" s="518" t="s">
        <v>1169</v>
      </c>
      <c r="L12" s="347"/>
    </row>
    <row r="13" spans="1:13" ht="15.75" customHeight="1" x14ac:dyDescent="0.2">
      <c r="A13" s="1572" t="s">
        <v>457</v>
      </c>
      <c r="B13" s="1574">
        <v>2000</v>
      </c>
      <c r="C13" s="1739">
        <f>'Expenditures 15-22'!K74</f>
        <v>795361</v>
      </c>
      <c r="D13" s="1739">
        <f>'Expenditures 15-22'!K129</f>
        <v>399719</v>
      </c>
      <c r="E13" s="469" t="s">
        <v>1169</v>
      </c>
      <c r="F13" s="1739">
        <f>'Expenditures 15-22'!K184</f>
        <v>307848</v>
      </c>
      <c r="G13" s="1739">
        <f>'Expenditures 15-22'!K279</f>
        <v>92019</v>
      </c>
      <c r="H13" s="1739">
        <f>'Expenditures 15-22'!K303</f>
        <v>761545</v>
      </c>
      <c r="I13" s="468" t="s">
        <v>1169</v>
      </c>
      <c r="J13" s="1739">
        <f>'Expenditures 15-22'!K330</f>
        <v>419091</v>
      </c>
      <c r="K13" s="1743">
        <f>'Expenditures 15-22'!K352</f>
        <v>107550</v>
      </c>
      <c r="L13" s="347"/>
    </row>
    <row r="14" spans="1:13" ht="15.75" customHeight="1" x14ac:dyDescent="0.2">
      <c r="A14" s="1572" t="s">
        <v>449</v>
      </c>
      <c r="B14" s="1574">
        <v>3000</v>
      </c>
      <c r="C14" s="1739">
        <f>'Expenditures 15-22'!K75</f>
        <v>12003</v>
      </c>
      <c r="D14" s="1739">
        <f>'Expenditures 15-22'!K130</f>
        <v>0</v>
      </c>
      <c r="E14" s="517" t="s">
        <v>1169</v>
      </c>
      <c r="F14" s="1739">
        <f>'Expenditures 15-22'!K185</f>
        <v>0</v>
      </c>
      <c r="G14" s="1739">
        <f>'Expenditures 15-22'!K280</f>
        <v>2007</v>
      </c>
      <c r="H14" s="509"/>
      <c r="I14" s="468" t="s">
        <v>1169</v>
      </c>
      <c r="J14" s="468" t="s">
        <v>1169</v>
      </c>
      <c r="K14" s="509" t="s">
        <v>1169</v>
      </c>
      <c r="L14" s="347"/>
    </row>
    <row r="15" spans="1:13" ht="15.75" customHeight="1" x14ac:dyDescent="0.2">
      <c r="A15" s="1572" t="s">
        <v>107</v>
      </c>
      <c r="B15" s="1574">
        <v>4000</v>
      </c>
      <c r="C15" s="1739">
        <f>'Expenditures 15-22'!K102</f>
        <v>222682</v>
      </c>
      <c r="D15" s="1739">
        <f>'Expenditures 15-22'!K139</f>
        <v>0</v>
      </c>
      <c r="E15" s="1739">
        <f>'Expenditures 15-22'!K160</f>
        <v>0</v>
      </c>
      <c r="F15" s="1739">
        <f>'Expenditures 15-22'!K196</f>
        <v>7658</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439716</v>
      </c>
      <c r="F16" s="1739">
        <f>'Expenditures 15-22'!K208</f>
        <v>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3909154</v>
      </c>
      <c r="D17" s="1684">
        <f t="shared" si="2"/>
        <v>399719</v>
      </c>
      <c r="E17" s="1684">
        <f t="shared" si="2"/>
        <v>439716</v>
      </c>
      <c r="F17" s="1684">
        <f t="shared" si="2"/>
        <v>315506</v>
      </c>
      <c r="G17" s="1684">
        <f t="shared" si="2"/>
        <v>165181</v>
      </c>
      <c r="H17" s="1684">
        <f t="shared" si="2"/>
        <v>761545</v>
      </c>
      <c r="I17" s="468"/>
      <c r="J17" s="1684">
        <f>SUM(J12:J16)</f>
        <v>419091</v>
      </c>
      <c r="K17" s="1684">
        <f>SUM(K12:K16)</f>
        <v>107550</v>
      </c>
      <c r="L17" s="347"/>
    </row>
    <row r="18" spans="1:12" ht="15" customHeight="1" thickTop="1" x14ac:dyDescent="0.2">
      <c r="A18" s="1740" t="s">
        <v>1654</v>
      </c>
      <c r="B18" s="1741">
        <v>4180</v>
      </c>
      <c r="C18" s="1738">
        <f t="shared" ref="C18:H18" si="3">C9</f>
        <v>1824146</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5733300</v>
      </c>
      <c r="D19" s="1684">
        <f t="shared" si="4"/>
        <v>399719</v>
      </c>
      <c r="E19" s="1684">
        <f t="shared" si="4"/>
        <v>439716</v>
      </c>
      <c r="F19" s="1684">
        <f t="shared" si="4"/>
        <v>315506</v>
      </c>
      <c r="G19" s="1684">
        <f t="shared" si="4"/>
        <v>165181</v>
      </c>
      <c r="H19" s="1684">
        <f t="shared" si="4"/>
        <v>761545</v>
      </c>
      <c r="I19" s="468"/>
      <c r="J19" s="1684">
        <f>SUM(J17:J18)</f>
        <v>419091</v>
      </c>
      <c r="K19" s="1684">
        <f>SUM(K17:K18)</f>
        <v>107550</v>
      </c>
      <c r="L19" s="347"/>
    </row>
    <row r="20" spans="1:12" ht="16.5" thickTop="1" thickBot="1" x14ac:dyDescent="0.25">
      <c r="A20" s="2121" t="s">
        <v>1655</v>
      </c>
      <c r="B20" s="2122"/>
      <c r="C20" s="1742">
        <f>C8-C17</f>
        <v>-133447</v>
      </c>
      <c r="D20" s="1742">
        <f t="shared" ref="D20:K20" si="5">D8-D17</f>
        <v>19884</v>
      </c>
      <c r="E20" s="1742">
        <f t="shared" si="5"/>
        <v>-260582</v>
      </c>
      <c r="F20" s="1742">
        <f t="shared" si="5"/>
        <v>18872</v>
      </c>
      <c r="G20" s="1742">
        <f t="shared" si="5"/>
        <v>14882</v>
      </c>
      <c r="H20" s="1742">
        <f t="shared" si="5"/>
        <v>-596327</v>
      </c>
      <c r="I20" s="1742">
        <f t="shared" si="5"/>
        <v>29999</v>
      </c>
      <c r="J20" s="1742">
        <f t="shared" si="5"/>
        <v>-9659</v>
      </c>
      <c r="K20" s="1742">
        <f t="shared" si="5"/>
        <v>-75326</v>
      </c>
      <c r="L20" s="347"/>
    </row>
    <row r="21" spans="1:12" ht="16.7" customHeight="1" thickTop="1" x14ac:dyDescent="0.2">
      <c r="A21" s="2133" t="s">
        <v>595</v>
      </c>
      <c r="B21" s="2134"/>
      <c r="C21" s="1566"/>
      <c r="D21" s="1567"/>
      <c r="E21" s="1567"/>
      <c r="F21" s="1567"/>
      <c r="G21" s="1567"/>
      <c r="H21" s="1567"/>
      <c r="I21" s="1567"/>
      <c r="J21" s="1567"/>
      <c r="K21" s="1568"/>
      <c r="L21" s="521"/>
    </row>
    <row r="22" spans="1:12" ht="15.75" customHeight="1" collapsed="1" x14ac:dyDescent="0.2">
      <c r="A22" s="2129" t="s">
        <v>596</v>
      </c>
      <c r="B22" s="2130"/>
      <c r="C22" s="475"/>
      <c r="D22" s="475"/>
      <c r="E22" s="475"/>
      <c r="F22" s="475"/>
      <c r="G22" s="475"/>
      <c r="H22" s="475"/>
      <c r="I22" s="475"/>
      <c r="J22" s="475"/>
      <c r="K22" s="475"/>
      <c r="L22" s="347"/>
    </row>
    <row r="23" spans="1:12" s="483" customFormat="1" ht="15.75" customHeight="1" x14ac:dyDescent="0.2">
      <c r="A23" s="2125" t="s">
        <v>293</v>
      </c>
      <c r="B23" s="2126"/>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29400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363</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27" t="s">
        <v>981</v>
      </c>
      <c r="B32" s="2128"/>
      <c r="C32" s="475"/>
      <c r="D32" s="475"/>
      <c r="E32" s="474"/>
      <c r="F32" s="475"/>
      <c r="G32" s="475"/>
      <c r="H32" s="475"/>
      <c r="I32" s="475"/>
      <c r="J32" s="475"/>
      <c r="K32" s="475"/>
      <c r="L32" s="521"/>
    </row>
    <row r="33" spans="1:12" s="483" customFormat="1" x14ac:dyDescent="0.2">
      <c r="A33" s="1485" t="s">
        <v>412</v>
      </c>
      <c r="B33" s="522">
        <v>7210</v>
      </c>
      <c r="C33" s="465">
        <v>0</v>
      </c>
      <c r="D33" s="467">
        <v>0</v>
      </c>
      <c r="E33" s="467">
        <v>271200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0</v>
      </c>
      <c r="E36" s="467">
        <v>0</v>
      </c>
      <c r="F36" s="467">
        <v>0</v>
      </c>
      <c r="G36" s="467">
        <v>0</v>
      </c>
      <c r="H36" s="467">
        <v>0</v>
      </c>
      <c r="I36" s="474"/>
      <c r="J36" s="467">
        <v>55121</v>
      </c>
      <c r="K36" s="467">
        <v>0</v>
      </c>
      <c r="L36" s="521"/>
    </row>
    <row r="37" spans="1:12" s="483" customFormat="1" x14ac:dyDescent="0.2">
      <c r="A37" s="1485" t="s">
        <v>441</v>
      </c>
      <c r="B37" s="522">
        <v>7400</v>
      </c>
      <c r="C37" s="474"/>
      <c r="D37" s="474"/>
      <c r="E37" s="1739">
        <f>SUM(C54:D57,H54:H57)</f>
        <v>0</v>
      </c>
      <c r="F37" s="474"/>
      <c r="G37" s="474"/>
      <c r="H37" s="474"/>
      <c r="I37" s="475"/>
      <c r="J37" s="474"/>
      <c r="K37" s="474"/>
      <c r="L37" s="521"/>
    </row>
    <row r="38" spans="1:12" s="483" customFormat="1" x14ac:dyDescent="0.2">
      <c r="A38" s="1485" t="s">
        <v>442</v>
      </c>
      <c r="B38" s="522">
        <v>7500</v>
      </c>
      <c r="C38" s="475"/>
      <c r="D38" s="475"/>
      <c r="E38" s="1739">
        <f>SUM(C58:D61,H58:H61)</f>
        <v>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5" t="s">
        <v>374</v>
      </c>
      <c r="B44" s="2136"/>
      <c r="C44" s="1699">
        <f>SUM(C24:C43)</f>
        <v>29763</v>
      </c>
      <c r="D44" s="1699">
        <f t="shared" ref="D44:K44" si="6">SUM(D24:D43)</f>
        <v>0</v>
      </c>
      <c r="E44" s="1699">
        <f t="shared" si="6"/>
        <v>271200</v>
      </c>
      <c r="F44" s="1699">
        <f t="shared" si="6"/>
        <v>0</v>
      </c>
      <c r="G44" s="1699">
        <f t="shared" si="6"/>
        <v>0</v>
      </c>
      <c r="H44" s="1699">
        <f t="shared" si="6"/>
        <v>0</v>
      </c>
      <c r="I44" s="1699">
        <f t="shared" si="6"/>
        <v>0</v>
      </c>
      <c r="J44" s="1699">
        <f t="shared" si="6"/>
        <v>55121</v>
      </c>
      <c r="K44" s="1699">
        <f t="shared" si="6"/>
        <v>0</v>
      </c>
      <c r="L44" s="521"/>
    </row>
    <row r="45" spans="1:12" ht="15.75" customHeight="1" thickTop="1" x14ac:dyDescent="0.2">
      <c r="A45" s="2129" t="s">
        <v>108</v>
      </c>
      <c r="B45" s="2130"/>
      <c r="C45" s="525"/>
      <c r="D45" s="525"/>
      <c r="E45" s="525"/>
      <c r="F45" s="525"/>
      <c r="G45" s="525"/>
      <c r="H45" s="525"/>
      <c r="I45" s="525"/>
      <c r="J45" s="525"/>
      <c r="K45" s="525"/>
      <c r="L45" s="347"/>
    </row>
    <row r="46" spans="1:12" s="483" customFormat="1" ht="15.75" customHeight="1" x14ac:dyDescent="0.2">
      <c r="A46" s="2137" t="s">
        <v>109</v>
      </c>
      <c r="B46" s="2138"/>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29400</v>
      </c>
      <c r="J47" s="475"/>
      <c r="K47" s="475"/>
      <c r="L47" s="526"/>
    </row>
    <row r="48" spans="1:12" s="483" customFormat="1" ht="15" x14ac:dyDescent="0.2">
      <c r="A48" s="1486" t="s">
        <v>1660</v>
      </c>
      <c r="B48" s="481">
        <v>8120</v>
      </c>
      <c r="C48" s="478"/>
      <c r="D48" s="478"/>
      <c r="E48" s="475"/>
      <c r="F48" s="478"/>
      <c r="G48" s="475"/>
      <c r="H48" s="475"/>
      <c r="I48" s="1739">
        <f>SUM(C26:H26,J26,K26)</f>
        <v>363</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0</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1" t="s">
        <v>440</v>
      </c>
      <c r="B76" s="2112"/>
      <c r="C76" s="1699">
        <f t="shared" ref="C76:K76" si="7">SUM(C47:C75)</f>
        <v>0</v>
      </c>
      <c r="D76" s="1699">
        <f t="shared" si="7"/>
        <v>0</v>
      </c>
      <c r="E76" s="1699">
        <f t="shared" si="7"/>
        <v>0</v>
      </c>
      <c r="F76" s="1699">
        <f t="shared" si="7"/>
        <v>0</v>
      </c>
      <c r="G76" s="1699">
        <f t="shared" si="7"/>
        <v>0</v>
      </c>
      <c r="H76" s="1699">
        <f t="shared" si="7"/>
        <v>0</v>
      </c>
      <c r="I76" s="1699">
        <f t="shared" si="7"/>
        <v>29763</v>
      </c>
      <c r="J76" s="1699">
        <f t="shared" si="7"/>
        <v>0</v>
      </c>
      <c r="K76" s="1699">
        <f t="shared" si="7"/>
        <v>0</v>
      </c>
      <c r="L76" s="521"/>
    </row>
    <row r="77" spans="1:12" ht="14.25" thickTop="1" thickBot="1" x14ac:dyDescent="0.25">
      <c r="A77" s="2113" t="s">
        <v>1177</v>
      </c>
      <c r="B77" s="2114"/>
      <c r="C77" s="1699">
        <f t="shared" ref="C77:K77" si="8">C44-C76</f>
        <v>29763</v>
      </c>
      <c r="D77" s="1699">
        <f t="shared" si="8"/>
        <v>0</v>
      </c>
      <c r="E77" s="1699">
        <f t="shared" si="8"/>
        <v>271200</v>
      </c>
      <c r="F77" s="1699">
        <f t="shared" si="8"/>
        <v>0</v>
      </c>
      <c r="G77" s="1699">
        <f t="shared" si="8"/>
        <v>0</v>
      </c>
      <c r="H77" s="1699">
        <f t="shared" si="8"/>
        <v>0</v>
      </c>
      <c r="I77" s="1699">
        <f t="shared" si="8"/>
        <v>-29763</v>
      </c>
      <c r="J77" s="1699">
        <f t="shared" si="8"/>
        <v>55121</v>
      </c>
      <c r="K77" s="1699">
        <f t="shared" si="8"/>
        <v>0</v>
      </c>
      <c r="L77" s="347"/>
    </row>
    <row r="78" spans="1:12" ht="21.75" customHeight="1" thickTop="1" thickBot="1" x14ac:dyDescent="0.25">
      <c r="A78" s="2117" t="s">
        <v>597</v>
      </c>
      <c r="B78" s="2118"/>
      <c r="C78" s="1698">
        <f t="shared" ref="C78:K78" si="9">C20+C77</f>
        <v>-103684</v>
      </c>
      <c r="D78" s="1698">
        <f t="shared" si="9"/>
        <v>19884</v>
      </c>
      <c r="E78" s="1698">
        <f t="shared" si="9"/>
        <v>10618</v>
      </c>
      <c r="F78" s="1698">
        <f t="shared" si="9"/>
        <v>18872</v>
      </c>
      <c r="G78" s="1698">
        <f t="shared" si="9"/>
        <v>14882</v>
      </c>
      <c r="H78" s="1698">
        <f t="shared" si="9"/>
        <v>-596327</v>
      </c>
      <c r="I78" s="1698">
        <f t="shared" si="9"/>
        <v>236</v>
      </c>
      <c r="J78" s="1698">
        <f t="shared" si="9"/>
        <v>45462</v>
      </c>
      <c r="K78" s="1698">
        <f t="shared" si="9"/>
        <v>-75326</v>
      </c>
      <c r="L78" s="530"/>
    </row>
    <row r="79" spans="1:12" ht="13.5" thickTop="1" x14ac:dyDescent="0.2">
      <c r="A79" s="1490" t="s">
        <v>1949</v>
      </c>
      <c r="B79" s="531"/>
      <c r="C79" s="476">
        <v>623671</v>
      </c>
      <c r="D79" s="476">
        <v>388024</v>
      </c>
      <c r="E79" s="476">
        <v>85681</v>
      </c>
      <c r="F79" s="476">
        <v>319524</v>
      </c>
      <c r="G79" s="476">
        <v>310590</v>
      </c>
      <c r="H79" s="476">
        <v>783275</v>
      </c>
      <c r="I79" s="476">
        <v>121741</v>
      </c>
      <c r="J79" s="476">
        <v>212288</v>
      </c>
      <c r="K79" s="476">
        <v>247461</v>
      </c>
      <c r="L79" s="347"/>
    </row>
    <row r="80" spans="1:12" x14ac:dyDescent="0.2">
      <c r="A80" s="2123" t="s">
        <v>1795</v>
      </c>
      <c r="B80" s="2124"/>
      <c r="C80" s="467">
        <v>0</v>
      </c>
      <c r="D80" s="467">
        <v>0</v>
      </c>
      <c r="E80" s="467">
        <v>0</v>
      </c>
      <c r="F80" s="467">
        <v>0</v>
      </c>
      <c r="G80" s="467">
        <v>0</v>
      </c>
      <c r="H80" s="467">
        <v>0</v>
      </c>
      <c r="I80" s="467">
        <v>0</v>
      </c>
      <c r="J80" s="467">
        <v>0</v>
      </c>
      <c r="K80" s="467">
        <v>0</v>
      </c>
      <c r="L80" s="347"/>
    </row>
    <row r="81" spans="1:12" ht="13.5" thickBot="1" x14ac:dyDescent="0.25">
      <c r="A81" s="2115" t="s">
        <v>1950</v>
      </c>
      <c r="B81" s="2116"/>
      <c r="C81" s="1684">
        <f>(SUM(C78:C80))</f>
        <v>519987</v>
      </c>
      <c r="D81" s="1684">
        <f>SUM(D78:D80)</f>
        <v>407908</v>
      </c>
      <c r="E81" s="1684">
        <f t="shared" ref="E81:K81" si="10">SUM(E78:E80)</f>
        <v>96299</v>
      </c>
      <c r="F81" s="1684">
        <f t="shared" si="10"/>
        <v>338396</v>
      </c>
      <c r="G81" s="1684">
        <f t="shared" si="10"/>
        <v>325472</v>
      </c>
      <c r="H81" s="1684">
        <f t="shared" si="10"/>
        <v>186948</v>
      </c>
      <c r="I81" s="1684">
        <f t="shared" si="10"/>
        <v>121977</v>
      </c>
      <c r="J81" s="1684">
        <f t="shared" si="10"/>
        <v>257750</v>
      </c>
      <c r="K81" s="1684">
        <f t="shared" si="10"/>
        <v>172135</v>
      </c>
      <c r="L81" s="347"/>
    </row>
    <row r="82" spans="1:12" ht="0.75" customHeight="1" thickTop="1" thickBot="1" x14ac:dyDescent="0.25">
      <c r="A82" s="533" t="s">
        <v>343</v>
      </c>
      <c r="B82" s="534"/>
      <c r="C82" s="535">
        <f>(C81-C79)</f>
        <v>-103684</v>
      </c>
      <c r="D82" s="535">
        <f t="shared" ref="D82:K82" si="11">(D81-D79)</f>
        <v>19884</v>
      </c>
      <c r="E82" s="535">
        <f t="shared" si="11"/>
        <v>10618</v>
      </c>
      <c r="F82" s="535">
        <f t="shared" si="11"/>
        <v>18872</v>
      </c>
      <c r="G82" s="535">
        <f t="shared" si="11"/>
        <v>14882</v>
      </c>
      <c r="H82" s="535">
        <f t="shared" si="11"/>
        <v>-596327</v>
      </c>
      <c r="I82" s="535">
        <f t="shared" si="11"/>
        <v>236</v>
      </c>
      <c r="J82" s="535">
        <f t="shared" si="11"/>
        <v>45462</v>
      </c>
      <c r="K82" s="535">
        <f t="shared" si="11"/>
        <v>-75326</v>
      </c>
    </row>
    <row r="83" spans="1:12" ht="14.25" hidden="1" thickTop="1" thickBot="1" x14ac:dyDescent="0.25">
      <c r="A83" s="536" t="s">
        <v>344</v>
      </c>
      <c r="B83" s="464"/>
      <c r="C83" s="537">
        <f>C82/C81</f>
        <v>-0.1993972926246233</v>
      </c>
      <c r="D83" s="537">
        <f t="shared" ref="D83:K83" si="12">D82/D81</f>
        <v>4.8746285927218885E-2</v>
      </c>
      <c r="E83" s="537">
        <f t="shared" si="12"/>
        <v>0.11026075037123957</v>
      </c>
      <c r="F83" s="537">
        <f t="shared" si="12"/>
        <v>5.5768980720812301E-2</v>
      </c>
      <c r="G83" s="537">
        <f t="shared" si="12"/>
        <v>4.5724363386097727E-2</v>
      </c>
      <c r="H83" s="537">
        <f t="shared" si="12"/>
        <v>-3.1898014421122451</v>
      </c>
      <c r="I83" s="537">
        <f t="shared" si="12"/>
        <v>1.9347909851857316E-3</v>
      </c>
      <c r="J83" s="537">
        <f t="shared" si="12"/>
        <v>0.17638021338506304</v>
      </c>
      <c r="K83" s="537">
        <f t="shared" si="12"/>
        <v>-0.43759839660731403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3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1" sqref="L31"/>
      <selection pane="bottomLeft" activeCell="D5" sqref="D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9" t="s">
        <v>1802</v>
      </c>
      <c r="B1" s="452"/>
      <c r="C1" s="453" t="s">
        <v>425</v>
      </c>
      <c r="D1" s="453" t="s">
        <v>426</v>
      </c>
      <c r="E1" s="453" t="s">
        <v>427</v>
      </c>
      <c r="F1" s="453" t="s">
        <v>428</v>
      </c>
      <c r="G1" s="453" t="s">
        <v>429</v>
      </c>
      <c r="H1" s="453" t="s">
        <v>430</v>
      </c>
      <c r="I1" s="453" t="s">
        <v>431</v>
      </c>
      <c r="J1" s="453" t="s">
        <v>432</v>
      </c>
      <c r="K1" s="453" t="s">
        <v>756</v>
      </c>
    </row>
    <row r="2" spans="1:12" ht="36" x14ac:dyDescent="0.2">
      <c r="A2" s="2120"/>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1776742</v>
      </c>
      <c r="D5" s="479">
        <v>325758</v>
      </c>
      <c r="E5" s="466">
        <v>142048</v>
      </c>
      <c r="F5" s="545">
        <v>118487</v>
      </c>
      <c r="G5" s="466">
        <v>37870</v>
      </c>
      <c r="H5" s="466">
        <v>0</v>
      </c>
      <c r="I5" s="466">
        <v>29637</v>
      </c>
      <c r="J5" s="467">
        <v>407373</v>
      </c>
      <c r="K5" s="466">
        <v>29636</v>
      </c>
    </row>
    <row r="6" spans="1:12" ht="15" x14ac:dyDescent="0.2">
      <c r="A6" s="463" t="s">
        <v>1662</v>
      </c>
      <c r="B6" s="470">
        <v>1130</v>
      </c>
      <c r="C6" s="466">
        <v>29637</v>
      </c>
      <c r="D6" s="466">
        <v>0</v>
      </c>
      <c r="E6" s="474"/>
      <c r="F6" s="474"/>
      <c r="G6" s="468"/>
      <c r="H6" s="468"/>
      <c r="I6" s="468"/>
      <c r="J6" s="468"/>
      <c r="K6" s="468"/>
    </row>
    <row r="7" spans="1:12" x14ac:dyDescent="0.2">
      <c r="A7" s="463" t="s">
        <v>110</v>
      </c>
      <c r="B7" s="546">
        <v>1140</v>
      </c>
      <c r="C7" s="466">
        <v>23704</v>
      </c>
      <c r="D7" s="466">
        <v>0</v>
      </c>
      <c r="E7" s="468"/>
      <c r="F7" s="467">
        <v>0</v>
      </c>
      <c r="G7" s="467">
        <v>0</v>
      </c>
      <c r="H7" s="467">
        <v>0</v>
      </c>
      <c r="I7" s="468"/>
      <c r="J7" s="468"/>
      <c r="K7" s="468"/>
    </row>
    <row r="8" spans="1:12" x14ac:dyDescent="0.2">
      <c r="A8" s="463" t="s">
        <v>413</v>
      </c>
      <c r="B8" s="470">
        <v>1150</v>
      </c>
      <c r="C8" s="474"/>
      <c r="D8" s="474"/>
      <c r="E8" s="475"/>
      <c r="F8" s="475"/>
      <c r="G8" s="479">
        <v>128656</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1830083</v>
      </c>
      <c r="D12" s="1703">
        <f t="shared" si="0"/>
        <v>325758</v>
      </c>
      <c r="E12" s="1703">
        <f t="shared" si="0"/>
        <v>142048</v>
      </c>
      <c r="F12" s="1703">
        <f t="shared" si="0"/>
        <v>118487</v>
      </c>
      <c r="G12" s="1703">
        <f t="shared" si="0"/>
        <v>166526</v>
      </c>
      <c r="H12" s="1703">
        <f t="shared" si="0"/>
        <v>0</v>
      </c>
      <c r="I12" s="1703">
        <f t="shared" si="0"/>
        <v>29637</v>
      </c>
      <c r="J12" s="1703">
        <f t="shared" si="0"/>
        <v>407373</v>
      </c>
      <c r="K12" s="1684">
        <f t="shared" si="0"/>
        <v>29636</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71451</v>
      </c>
      <c r="D16" s="466">
        <v>0</v>
      </c>
      <c r="E16" s="466">
        <v>0</v>
      </c>
      <c r="F16" s="466">
        <v>0</v>
      </c>
      <c r="G16" s="466">
        <v>7570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71451</v>
      </c>
      <c r="D18" s="1706">
        <f t="shared" ref="D18:K18" si="1">SUM(D14:D17)</f>
        <v>0</v>
      </c>
      <c r="E18" s="1706">
        <f t="shared" si="1"/>
        <v>0</v>
      </c>
      <c r="F18" s="1706">
        <f t="shared" si="1"/>
        <v>0</v>
      </c>
      <c r="G18" s="1706">
        <f t="shared" si="1"/>
        <v>7570</v>
      </c>
      <c r="H18" s="1706">
        <f t="shared" si="1"/>
        <v>0</v>
      </c>
      <c r="I18" s="1706">
        <f t="shared" si="1"/>
        <v>0</v>
      </c>
      <c r="J18" s="1706">
        <f t="shared" si="1"/>
        <v>0</v>
      </c>
      <c r="K18" s="1707">
        <f t="shared" si="1"/>
        <v>0</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174</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1496</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1670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1915</v>
      </c>
      <c r="D65" s="466">
        <v>744</v>
      </c>
      <c r="E65" s="466">
        <v>219</v>
      </c>
      <c r="F65" s="467">
        <v>596</v>
      </c>
      <c r="G65" s="466">
        <v>775</v>
      </c>
      <c r="H65" s="466">
        <v>1001</v>
      </c>
      <c r="I65" s="466">
        <v>362</v>
      </c>
      <c r="J65" s="467">
        <v>776</v>
      </c>
      <c r="K65" s="466">
        <v>588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1915</v>
      </c>
      <c r="D67" s="1684">
        <f t="shared" ref="D67:K67" si="2">SUM(D65:D66)</f>
        <v>744</v>
      </c>
      <c r="E67" s="1684">
        <f t="shared" si="2"/>
        <v>219</v>
      </c>
      <c r="F67" s="1684">
        <f t="shared" si="2"/>
        <v>596</v>
      </c>
      <c r="G67" s="1684">
        <f t="shared" si="2"/>
        <v>775</v>
      </c>
      <c r="H67" s="1684">
        <f t="shared" si="2"/>
        <v>1001</v>
      </c>
      <c r="I67" s="1684">
        <f t="shared" si="2"/>
        <v>362</v>
      </c>
      <c r="J67" s="1684">
        <f t="shared" si="2"/>
        <v>776</v>
      </c>
      <c r="K67" s="1684">
        <f t="shared" si="2"/>
        <v>588</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115886</v>
      </c>
      <c r="D69" s="468"/>
      <c r="E69" s="468"/>
      <c r="F69" s="468"/>
      <c r="G69" s="468"/>
      <c r="H69" s="468"/>
      <c r="I69" s="468"/>
      <c r="J69" s="468"/>
      <c r="K69" s="468"/>
    </row>
    <row r="70" spans="1:11" ht="12.75" customHeight="1" x14ac:dyDescent="0.2">
      <c r="A70" s="463" t="s">
        <v>997</v>
      </c>
      <c r="B70" s="470">
        <v>1612</v>
      </c>
      <c r="C70" s="548">
        <v>26</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4" t="s">
        <v>548</v>
      </c>
      <c r="B75" s="1705"/>
      <c r="C75" s="1684">
        <f>SUM(C69:C74)</f>
        <v>115912</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19802</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7720</v>
      </c>
      <c r="D81" s="466">
        <v>0</v>
      </c>
      <c r="E81" s="468"/>
      <c r="F81" s="468"/>
      <c r="G81" s="468"/>
      <c r="H81" s="468"/>
      <c r="I81" s="468"/>
      <c r="J81" s="468"/>
      <c r="K81" s="468"/>
    </row>
    <row r="82" spans="1:11" ht="12.75" customHeight="1" thickBot="1" x14ac:dyDescent="0.25">
      <c r="A82" s="1704" t="s">
        <v>241</v>
      </c>
      <c r="B82" s="1705"/>
      <c r="C82" s="1703">
        <f>SUM(C77:C81)</f>
        <v>27522</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19490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6889</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26379</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54583</v>
      </c>
      <c r="D98" s="466">
        <v>0</v>
      </c>
      <c r="E98" s="509"/>
      <c r="F98" s="466">
        <v>17410</v>
      </c>
      <c r="G98" s="509"/>
      <c r="H98" s="509"/>
      <c r="I98" s="507"/>
      <c r="J98" s="509"/>
      <c r="K98" s="509"/>
    </row>
    <row r="99" spans="1:12" ht="12.75" customHeight="1" x14ac:dyDescent="0.2">
      <c r="A99" s="463" t="s">
        <v>821</v>
      </c>
      <c r="B99" s="470">
        <v>1950</v>
      </c>
      <c r="C99" s="486">
        <v>7702</v>
      </c>
      <c r="D99" s="466">
        <v>0</v>
      </c>
      <c r="E99" s="466">
        <v>0</v>
      </c>
      <c r="F99" s="466">
        <v>0</v>
      </c>
      <c r="G99" s="466">
        <v>0</v>
      </c>
      <c r="H99" s="466">
        <v>0</v>
      </c>
      <c r="I99" s="468"/>
      <c r="J99" s="467">
        <v>1044</v>
      </c>
      <c r="K99" s="466">
        <v>0</v>
      </c>
    </row>
    <row r="100" spans="1:12" ht="12.75" customHeight="1" x14ac:dyDescent="0.2">
      <c r="A100" s="463" t="s">
        <v>245</v>
      </c>
      <c r="B100" s="470">
        <v>1960</v>
      </c>
      <c r="C100" s="486">
        <v>0</v>
      </c>
      <c r="D100" s="486">
        <v>92881</v>
      </c>
      <c r="E100" s="486">
        <v>0</v>
      </c>
      <c r="F100" s="486">
        <v>0</v>
      </c>
      <c r="G100" s="486">
        <v>0</v>
      </c>
      <c r="H100" s="486">
        <v>0</v>
      </c>
      <c r="I100" s="467">
        <v>0</v>
      </c>
      <c r="J100" s="486">
        <v>0</v>
      </c>
      <c r="K100" s="467">
        <v>0</v>
      </c>
    </row>
    <row r="101" spans="1:12" ht="12.75" customHeight="1" x14ac:dyDescent="0.2">
      <c r="A101" s="463" t="s">
        <v>246</v>
      </c>
      <c r="B101" s="470">
        <v>1970</v>
      </c>
      <c r="C101" s="486">
        <v>1700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36824</v>
      </c>
      <c r="F103" s="468"/>
      <c r="G103" s="468"/>
      <c r="H103" s="486">
        <v>152949</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25945</v>
      </c>
      <c r="D107" s="466">
        <v>220</v>
      </c>
      <c r="E107" s="466">
        <v>43</v>
      </c>
      <c r="F107" s="466">
        <v>317</v>
      </c>
      <c r="G107" s="466">
        <v>0</v>
      </c>
      <c r="H107" s="466">
        <v>11268</v>
      </c>
      <c r="I107" s="466">
        <v>0</v>
      </c>
      <c r="J107" s="467">
        <v>239</v>
      </c>
      <c r="K107" s="466">
        <v>2000</v>
      </c>
    </row>
    <row r="108" spans="1:12" ht="12.75" customHeight="1" thickBot="1" x14ac:dyDescent="0.25">
      <c r="A108" s="1704" t="s">
        <v>487</v>
      </c>
      <c r="B108" s="1708"/>
      <c r="C108" s="1703">
        <f>SUM(C95:C107)</f>
        <v>89930</v>
      </c>
      <c r="D108" s="1703">
        <f t="shared" ref="D108:K108" si="3">SUM(D95:D107)</f>
        <v>93101</v>
      </c>
      <c r="E108" s="1703">
        <f t="shared" si="3"/>
        <v>36867</v>
      </c>
      <c r="F108" s="1703">
        <f t="shared" si="3"/>
        <v>17727</v>
      </c>
      <c r="G108" s="1703">
        <f t="shared" si="3"/>
        <v>0</v>
      </c>
      <c r="H108" s="1703">
        <f t="shared" si="3"/>
        <v>164217</v>
      </c>
      <c r="I108" s="1703">
        <f t="shared" si="3"/>
        <v>0</v>
      </c>
      <c r="J108" s="1703">
        <f t="shared" si="3"/>
        <v>1283</v>
      </c>
      <c r="K108" s="1684">
        <f t="shared" si="3"/>
        <v>2000</v>
      </c>
    </row>
    <row r="109" spans="1:12" ht="14.25" thickTop="1" thickBot="1" x14ac:dyDescent="0.25">
      <c r="A109" s="1709" t="s">
        <v>248</v>
      </c>
      <c r="B109" s="1710" t="s">
        <v>570</v>
      </c>
      <c r="C109" s="1711">
        <f t="shared" ref="C109:K109" si="4">SUM(C12,C18,C40,C63,C67,C75,C82,C93,C108,)</f>
        <v>2163192</v>
      </c>
      <c r="D109" s="1711">
        <f t="shared" si="4"/>
        <v>419603</v>
      </c>
      <c r="E109" s="1711">
        <f t="shared" si="4"/>
        <v>179134</v>
      </c>
      <c r="F109" s="1711">
        <f t="shared" si="4"/>
        <v>138480</v>
      </c>
      <c r="G109" s="1711">
        <f t="shared" si="4"/>
        <v>174871</v>
      </c>
      <c r="H109" s="1711">
        <f t="shared" si="4"/>
        <v>165218</v>
      </c>
      <c r="I109" s="1711">
        <f t="shared" si="4"/>
        <v>29999</v>
      </c>
      <c r="J109" s="1711">
        <f t="shared" si="4"/>
        <v>409432</v>
      </c>
      <c r="K109" s="1698">
        <f t="shared" si="4"/>
        <v>32224</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1209576</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1209576</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18429</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18429</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29103</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29103</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1798</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7294</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124805</v>
      </c>
      <c r="G152" s="467">
        <v>0</v>
      </c>
      <c r="H152" s="468"/>
      <c r="I152" s="468"/>
      <c r="J152" s="468"/>
      <c r="K152" s="468"/>
    </row>
    <row r="153" spans="1:11" ht="12.75" customHeight="1" x14ac:dyDescent="0.2">
      <c r="A153" s="463" t="s">
        <v>1057</v>
      </c>
      <c r="B153" s="559">
        <v>3510</v>
      </c>
      <c r="C153" s="548">
        <v>0</v>
      </c>
      <c r="D153" s="466">
        <v>0</v>
      </c>
      <c r="E153" s="558"/>
      <c r="F153" s="466">
        <v>65330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190135</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0</v>
      </c>
      <c r="D159" s="575">
        <v>0</v>
      </c>
      <c r="E159" s="558"/>
      <c r="F159" s="573">
        <v>3500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39" t="s">
        <v>398</v>
      </c>
      <c r="B169" s="2140"/>
      <c r="C169" s="1718">
        <f t="shared" ref="C169:K169" si="6">SUM(C132,C141,C145,C146:C150,C155,C156:C167,C168)</f>
        <v>57374</v>
      </c>
      <c r="D169" s="1718">
        <f t="shared" si="6"/>
        <v>0</v>
      </c>
      <c r="E169" s="1718">
        <f t="shared" si="6"/>
        <v>0</v>
      </c>
      <c r="F169" s="1718">
        <f t="shared" si="6"/>
        <v>193635</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1266950</v>
      </c>
      <c r="D170" s="1711">
        <f t="shared" si="7"/>
        <v>0</v>
      </c>
      <c r="E170" s="1711">
        <f t="shared" si="7"/>
        <v>0</v>
      </c>
      <c r="F170" s="1711">
        <f t="shared" si="7"/>
        <v>193635</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41" t="s">
        <v>1492</v>
      </c>
      <c r="B172" s="2142"/>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5" t="s">
        <v>1665</v>
      </c>
      <c r="B175" s="2146"/>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49" t="s">
        <v>1664</v>
      </c>
      <c r="B176" s="2150"/>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43048</v>
      </c>
      <c r="D180" s="466">
        <v>0</v>
      </c>
      <c r="E180" s="468"/>
      <c r="F180" s="466">
        <v>0</v>
      </c>
      <c r="G180" s="466">
        <v>0</v>
      </c>
      <c r="H180" s="466">
        <v>0</v>
      </c>
      <c r="I180" s="468"/>
      <c r="J180" s="468"/>
      <c r="K180" s="466">
        <v>0</v>
      </c>
    </row>
    <row r="181" spans="1:11" ht="13.5" thickBot="1" x14ac:dyDescent="0.25">
      <c r="A181" s="2147" t="s">
        <v>785</v>
      </c>
      <c r="B181" s="2148"/>
      <c r="C181" s="1703">
        <f>SUM(C177:C180)</f>
        <v>43048</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43" t="s">
        <v>1803</v>
      </c>
      <c r="B182" s="2144"/>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85252</v>
      </c>
      <c r="D191" s="468"/>
      <c r="E191" s="558"/>
      <c r="F191" s="468"/>
      <c r="G191" s="582">
        <v>0</v>
      </c>
      <c r="H191" s="468"/>
      <c r="I191" s="468"/>
      <c r="J191" s="468"/>
      <c r="K191" s="468"/>
    </row>
    <row r="192" spans="1:11" ht="12.75" customHeight="1" x14ac:dyDescent="0.2">
      <c r="A192" s="463" t="s">
        <v>1047</v>
      </c>
      <c r="B192" s="470">
        <v>4215</v>
      </c>
      <c r="C192" s="548">
        <v>1019</v>
      </c>
      <c r="D192" s="468"/>
      <c r="E192" s="558"/>
      <c r="F192" s="468"/>
      <c r="G192" s="582">
        <v>0</v>
      </c>
      <c r="H192" s="468"/>
      <c r="I192" s="468"/>
      <c r="J192" s="468"/>
      <c r="K192" s="468"/>
    </row>
    <row r="193" spans="1:11" ht="12.75" customHeight="1" x14ac:dyDescent="0.2">
      <c r="A193" s="463" t="s">
        <v>1059</v>
      </c>
      <c r="B193" s="470">
        <v>4220</v>
      </c>
      <c r="C193" s="548">
        <v>20350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106621</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50072</v>
      </c>
      <c r="D200" s="466">
        <v>0</v>
      </c>
      <c r="E200" s="468"/>
      <c r="F200" s="466">
        <v>0</v>
      </c>
      <c r="G200" s="466">
        <v>983</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50072</v>
      </c>
      <c r="D204" s="1703">
        <f>SUM(D200:D203)</f>
        <v>0</v>
      </c>
      <c r="E204" s="468"/>
      <c r="F204" s="1703">
        <f>SUM(F200:F203)</f>
        <v>0</v>
      </c>
      <c r="G204" s="1703">
        <f>SUM(G200:G203)</f>
        <v>983</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119933</v>
      </c>
      <c r="D207" s="466">
        <v>0</v>
      </c>
      <c r="E207" s="468"/>
      <c r="F207" s="466">
        <v>2263</v>
      </c>
      <c r="G207" s="466">
        <v>4209</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119933</v>
      </c>
      <c r="D209" s="1703">
        <f>SUM(D206:D208)</f>
        <v>0</v>
      </c>
      <c r="E209" s="468" t="s">
        <v>1169</v>
      </c>
      <c r="F209" s="1703">
        <f>SUM(F206:F208)</f>
        <v>2263</v>
      </c>
      <c r="G209" s="1703">
        <f>SUM(G206:G208)</f>
        <v>4209</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0</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14543</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5290</v>
      </c>
      <c r="D263" s="573">
        <v>0</v>
      </c>
      <c r="E263" s="468"/>
      <c r="F263" s="573">
        <v>0</v>
      </c>
      <c r="G263" s="573">
        <v>0</v>
      </c>
      <c r="H263" s="468"/>
      <c r="I263" s="468"/>
      <c r="J263" s="468"/>
      <c r="K263" s="468"/>
    </row>
    <row r="264" spans="1:11" ht="12.75" customHeight="1" thickTop="1" thickBot="1" x14ac:dyDescent="0.25">
      <c r="A264" s="463" t="s">
        <v>377</v>
      </c>
      <c r="B264" s="470">
        <v>4992</v>
      </c>
      <c r="C264" s="572">
        <v>6058</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302517</v>
      </c>
      <c r="D266" s="1711">
        <f t="shared" si="10"/>
        <v>0</v>
      </c>
      <c r="E266" s="1711">
        <f t="shared" si="10"/>
        <v>0</v>
      </c>
      <c r="F266" s="1711">
        <f t="shared" si="10"/>
        <v>2263</v>
      </c>
      <c r="G266" s="1711">
        <f t="shared" si="10"/>
        <v>5192</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345565</v>
      </c>
      <c r="D267" s="1711">
        <f>SUM(D175,D181,D266)</f>
        <v>0</v>
      </c>
      <c r="E267" s="1711">
        <f>SUM(E175,E266)</f>
        <v>0</v>
      </c>
      <c r="F267" s="1711">
        <f t="shared" ref="F267:K267" si="11">SUM(F175,F181,F266)</f>
        <v>2263</v>
      </c>
      <c r="G267" s="1711">
        <f t="shared" si="11"/>
        <v>5192</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3775707</v>
      </c>
      <c r="D268" s="1711">
        <f t="shared" si="12"/>
        <v>419603</v>
      </c>
      <c r="E268" s="1711">
        <f t="shared" si="12"/>
        <v>179134</v>
      </c>
      <c r="F268" s="1711">
        <f t="shared" si="12"/>
        <v>334378</v>
      </c>
      <c r="G268" s="1711">
        <f t="shared" si="12"/>
        <v>180063</v>
      </c>
      <c r="H268" s="1711">
        <f t="shared" si="12"/>
        <v>165218</v>
      </c>
      <c r="I268" s="1711">
        <f t="shared" si="12"/>
        <v>29999</v>
      </c>
      <c r="J268" s="1711">
        <f t="shared" si="12"/>
        <v>409432</v>
      </c>
      <c r="K268" s="1698">
        <f t="shared" si="12"/>
        <v>32224</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3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9"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1"/>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7" t="s">
        <v>297</v>
      </c>
      <c r="B3" s="2158"/>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1840489</v>
      </c>
      <c r="D5" s="466">
        <v>190725</v>
      </c>
      <c r="E5" s="466">
        <v>8238</v>
      </c>
      <c r="F5" s="466">
        <v>90115</v>
      </c>
      <c r="G5" s="466">
        <v>0</v>
      </c>
      <c r="H5" s="466">
        <v>6829</v>
      </c>
      <c r="I5" s="467">
        <v>0</v>
      </c>
      <c r="J5" s="467">
        <v>0</v>
      </c>
      <c r="K5" s="1667">
        <f>SUM(C5:J5)</f>
        <v>2136396</v>
      </c>
      <c r="L5" s="471">
        <v>2176751</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48185</v>
      </c>
      <c r="D7" s="467">
        <v>11659</v>
      </c>
      <c r="E7" s="467">
        <v>0</v>
      </c>
      <c r="F7" s="467">
        <v>0</v>
      </c>
      <c r="G7" s="467">
        <v>0</v>
      </c>
      <c r="H7" s="467">
        <v>0</v>
      </c>
      <c r="I7" s="467">
        <v>0</v>
      </c>
      <c r="J7" s="467">
        <v>0</v>
      </c>
      <c r="K7" s="1667">
        <f t="shared" ref="K7:K32" si="0">SUM(C7:J7)</f>
        <v>59844</v>
      </c>
      <c r="L7" s="471">
        <v>55970</v>
      </c>
    </row>
    <row r="8" spans="1:14" x14ac:dyDescent="0.2">
      <c r="A8" s="1500" t="s">
        <v>164</v>
      </c>
      <c r="B8" s="611">
        <v>1200</v>
      </c>
      <c r="C8" s="466">
        <v>201503</v>
      </c>
      <c r="D8" s="466">
        <v>21834</v>
      </c>
      <c r="E8" s="466">
        <v>0</v>
      </c>
      <c r="F8" s="466">
        <v>0</v>
      </c>
      <c r="G8" s="466">
        <v>0</v>
      </c>
      <c r="H8" s="466">
        <v>0</v>
      </c>
      <c r="I8" s="467">
        <v>0</v>
      </c>
      <c r="J8" s="467">
        <v>0</v>
      </c>
      <c r="K8" s="1667">
        <f t="shared" si="0"/>
        <v>223337</v>
      </c>
      <c r="L8" s="471">
        <v>224600</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67101</v>
      </c>
      <c r="D10" s="466">
        <v>8704</v>
      </c>
      <c r="E10" s="466">
        <v>817</v>
      </c>
      <c r="F10" s="466">
        <v>7111</v>
      </c>
      <c r="G10" s="466">
        <v>0</v>
      </c>
      <c r="H10" s="466">
        <v>0</v>
      </c>
      <c r="I10" s="467">
        <v>0</v>
      </c>
      <c r="J10" s="467">
        <v>0</v>
      </c>
      <c r="K10" s="1667">
        <f t="shared" si="0"/>
        <v>83733</v>
      </c>
      <c r="L10" s="471">
        <v>94061</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179473</v>
      </c>
      <c r="D13" s="466">
        <v>19061</v>
      </c>
      <c r="E13" s="466">
        <v>0</v>
      </c>
      <c r="F13" s="466">
        <v>14326</v>
      </c>
      <c r="G13" s="466">
        <v>0</v>
      </c>
      <c r="H13" s="466">
        <v>0</v>
      </c>
      <c r="I13" s="467">
        <v>0</v>
      </c>
      <c r="J13" s="467">
        <v>0</v>
      </c>
      <c r="K13" s="1667">
        <f t="shared" si="0"/>
        <v>212860</v>
      </c>
      <c r="L13" s="471">
        <v>195330</v>
      </c>
    </row>
    <row r="14" spans="1:14" x14ac:dyDescent="0.2">
      <c r="A14" s="1500" t="s">
        <v>963</v>
      </c>
      <c r="B14" s="611">
        <v>1500</v>
      </c>
      <c r="C14" s="466">
        <v>113621</v>
      </c>
      <c r="D14" s="466">
        <v>0</v>
      </c>
      <c r="E14" s="466">
        <v>9772</v>
      </c>
      <c r="F14" s="466">
        <v>19701</v>
      </c>
      <c r="G14" s="466">
        <v>0</v>
      </c>
      <c r="H14" s="466">
        <v>780</v>
      </c>
      <c r="I14" s="467">
        <v>0</v>
      </c>
      <c r="J14" s="467">
        <v>0</v>
      </c>
      <c r="K14" s="1667">
        <f t="shared" si="0"/>
        <v>143874</v>
      </c>
      <c r="L14" s="471">
        <v>131600</v>
      </c>
    </row>
    <row r="15" spans="1:14" x14ac:dyDescent="0.2">
      <c r="A15" s="1500" t="s">
        <v>964</v>
      </c>
      <c r="B15" s="611">
        <v>1600</v>
      </c>
      <c r="C15" s="467">
        <v>0</v>
      </c>
      <c r="D15" s="466">
        <v>0</v>
      </c>
      <c r="E15" s="466">
        <v>0</v>
      </c>
      <c r="F15" s="466">
        <v>0</v>
      </c>
      <c r="G15" s="466">
        <v>0</v>
      </c>
      <c r="H15" s="466">
        <v>0</v>
      </c>
      <c r="I15" s="467">
        <v>0</v>
      </c>
      <c r="J15" s="467">
        <v>0</v>
      </c>
      <c r="K15" s="1667">
        <f t="shared" si="0"/>
        <v>0</v>
      </c>
      <c r="L15" s="471">
        <v>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12159</v>
      </c>
      <c r="D17" s="467">
        <v>0</v>
      </c>
      <c r="E17" s="467">
        <v>3075</v>
      </c>
      <c r="F17" s="467">
        <v>0</v>
      </c>
      <c r="G17" s="467">
        <v>0</v>
      </c>
      <c r="H17" s="467">
        <v>0</v>
      </c>
      <c r="I17" s="467">
        <v>0</v>
      </c>
      <c r="J17" s="467">
        <v>0</v>
      </c>
      <c r="K17" s="1667">
        <f t="shared" si="0"/>
        <v>15234</v>
      </c>
      <c r="L17" s="471">
        <v>16700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3830</v>
      </c>
      <c r="I21" s="613"/>
      <c r="J21" s="475"/>
      <c r="K21" s="1667">
        <f t="shared" si="0"/>
        <v>3830</v>
      </c>
      <c r="L21" s="471">
        <v>0</v>
      </c>
    </row>
    <row r="22" spans="1:12" x14ac:dyDescent="0.2">
      <c r="A22" s="1501" t="s">
        <v>740</v>
      </c>
      <c r="B22" s="599" t="s">
        <v>727</v>
      </c>
      <c r="C22" s="475"/>
      <c r="D22" s="475"/>
      <c r="E22" s="475"/>
      <c r="F22" s="475"/>
      <c r="G22" s="475"/>
      <c r="H22" s="473">
        <v>0</v>
      </c>
      <c r="I22" s="613"/>
      <c r="J22" s="475"/>
      <c r="K22" s="1667">
        <f t="shared" si="0"/>
        <v>0</v>
      </c>
      <c r="L22" s="471">
        <v>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2462531</v>
      </c>
      <c r="D33" s="1666">
        <f t="shared" ref="D33:L33" si="1">SUM(D5:D32)</f>
        <v>251983</v>
      </c>
      <c r="E33" s="1666">
        <f t="shared" si="1"/>
        <v>21902</v>
      </c>
      <c r="F33" s="1666">
        <f t="shared" si="1"/>
        <v>131253</v>
      </c>
      <c r="G33" s="1666">
        <f t="shared" si="1"/>
        <v>0</v>
      </c>
      <c r="H33" s="1666">
        <f t="shared" si="1"/>
        <v>11439</v>
      </c>
      <c r="I33" s="1666">
        <f t="shared" si="1"/>
        <v>0</v>
      </c>
      <c r="J33" s="1666">
        <f t="shared" si="1"/>
        <v>0</v>
      </c>
      <c r="K33" s="1666">
        <f t="shared" si="1"/>
        <v>2879108</v>
      </c>
      <c r="L33" s="1666">
        <f t="shared" si="1"/>
        <v>2895012</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0</v>
      </c>
      <c r="D36" s="479">
        <v>0</v>
      </c>
      <c r="E36" s="479">
        <v>0</v>
      </c>
      <c r="F36" s="479">
        <v>0</v>
      </c>
      <c r="G36" s="479">
        <v>0</v>
      </c>
      <c r="H36" s="479">
        <v>0</v>
      </c>
      <c r="I36" s="467">
        <v>0</v>
      </c>
      <c r="J36" s="467">
        <v>0</v>
      </c>
      <c r="K36" s="1667">
        <f t="shared" ref="K36:K41" si="2">SUM(C36:J36)</f>
        <v>0</v>
      </c>
      <c r="L36" s="466">
        <v>0</v>
      </c>
    </row>
    <row r="37" spans="1:14" x14ac:dyDescent="0.2">
      <c r="A37" s="1500" t="s">
        <v>1090</v>
      </c>
      <c r="B37" s="611">
        <v>2120</v>
      </c>
      <c r="C37" s="466">
        <v>0</v>
      </c>
      <c r="D37" s="466">
        <v>0</v>
      </c>
      <c r="E37" s="466">
        <v>0</v>
      </c>
      <c r="F37" s="466">
        <v>0</v>
      </c>
      <c r="G37" s="466">
        <v>0</v>
      </c>
      <c r="H37" s="466">
        <v>0</v>
      </c>
      <c r="I37" s="467">
        <v>0</v>
      </c>
      <c r="J37" s="467">
        <v>0</v>
      </c>
      <c r="K37" s="1667">
        <f t="shared" si="2"/>
        <v>0</v>
      </c>
      <c r="L37" s="466">
        <v>270</v>
      </c>
    </row>
    <row r="38" spans="1:14" x14ac:dyDescent="0.2">
      <c r="A38" s="1500" t="s">
        <v>198</v>
      </c>
      <c r="B38" s="611">
        <v>2130</v>
      </c>
      <c r="C38" s="466">
        <v>6039</v>
      </c>
      <c r="D38" s="466">
        <v>5337</v>
      </c>
      <c r="E38" s="466">
        <v>70</v>
      </c>
      <c r="F38" s="466">
        <v>743</v>
      </c>
      <c r="G38" s="466">
        <v>0</v>
      </c>
      <c r="H38" s="466">
        <v>0</v>
      </c>
      <c r="I38" s="467">
        <v>0</v>
      </c>
      <c r="J38" s="467">
        <v>0</v>
      </c>
      <c r="K38" s="1667">
        <f t="shared" si="2"/>
        <v>12189</v>
      </c>
      <c r="L38" s="466">
        <v>17100</v>
      </c>
    </row>
    <row r="39" spans="1:14" x14ac:dyDescent="0.2">
      <c r="A39" s="1500" t="s">
        <v>199</v>
      </c>
      <c r="B39" s="611">
        <v>2140</v>
      </c>
      <c r="C39" s="466">
        <v>0</v>
      </c>
      <c r="D39" s="466">
        <v>0</v>
      </c>
      <c r="E39" s="466">
        <v>0</v>
      </c>
      <c r="F39" s="466">
        <v>0</v>
      </c>
      <c r="G39" s="466">
        <v>0</v>
      </c>
      <c r="H39" s="466">
        <v>0</v>
      </c>
      <c r="I39" s="467">
        <v>0</v>
      </c>
      <c r="J39" s="467">
        <v>0</v>
      </c>
      <c r="K39" s="1667">
        <f t="shared" si="2"/>
        <v>0</v>
      </c>
      <c r="L39" s="466">
        <v>0</v>
      </c>
    </row>
    <row r="40" spans="1:14" x14ac:dyDescent="0.2">
      <c r="A40" s="1500" t="s">
        <v>200</v>
      </c>
      <c r="B40" s="611">
        <v>2150</v>
      </c>
      <c r="C40" s="466">
        <v>0</v>
      </c>
      <c r="D40" s="466">
        <v>0</v>
      </c>
      <c r="E40" s="466">
        <v>0</v>
      </c>
      <c r="F40" s="466">
        <v>0</v>
      </c>
      <c r="G40" s="466">
        <v>0</v>
      </c>
      <c r="H40" s="466">
        <v>0</v>
      </c>
      <c r="I40" s="467">
        <v>0</v>
      </c>
      <c r="J40" s="467">
        <v>0</v>
      </c>
      <c r="K40" s="1667">
        <f t="shared" si="2"/>
        <v>0</v>
      </c>
      <c r="L40" s="466">
        <v>0</v>
      </c>
    </row>
    <row r="41" spans="1:14" x14ac:dyDescent="0.2">
      <c r="A41" s="1500" t="s">
        <v>1669</v>
      </c>
      <c r="B41" s="611">
        <v>2190</v>
      </c>
      <c r="C41" s="466">
        <v>0</v>
      </c>
      <c r="D41" s="466">
        <v>0</v>
      </c>
      <c r="E41" s="466">
        <v>0</v>
      </c>
      <c r="F41" s="466">
        <v>0</v>
      </c>
      <c r="G41" s="466">
        <v>0</v>
      </c>
      <c r="H41" s="466">
        <v>0</v>
      </c>
      <c r="I41" s="467">
        <v>0</v>
      </c>
      <c r="J41" s="467">
        <v>0</v>
      </c>
      <c r="K41" s="1667">
        <f t="shared" si="2"/>
        <v>0</v>
      </c>
      <c r="L41" s="466">
        <v>0</v>
      </c>
    </row>
    <row r="42" spans="1:14" ht="12.75" customHeight="1" thickBot="1" x14ac:dyDescent="0.25">
      <c r="A42" s="1664" t="s">
        <v>560</v>
      </c>
      <c r="B42" s="1665" t="s">
        <v>716</v>
      </c>
      <c r="C42" s="1666">
        <f>SUM(C36:C41)</f>
        <v>6039</v>
      </c>
      <c r="D42" s="1666">
        <f t="shared" ref="D42:L42" si="3">SUM(D36:D41)</f>
        <v>5337</v>
      </c>
      <c r="E42" s="1666">
        <f t="shared" si="3"/>
        <v>70</v>
      </c>
      <c r="F42" s="1666">
        <f t="shared" si="3"/>
        <v>743</v>
      </c>
      <c r="G42" s="1666">
        <f t="shared" si="3"/>
        <v>0</v>
      </c>
      <c r="H42" s="1666">
        <f t="shared" si="3"/>
        <v>0</v>
      </c>
      <c r="I42" s="1666">
        <f t="shared" si="3"/>
        <v>0</v>
      </c>
      <c r="J42" s="1666">
        <f t="shared" si="3"/>
        <v>0</v>
      </c>
      <c r="K42" s="1666">
        <f t="shared" si="3"/>
        <v>12189</v>
      </c>
      <c r="L42" s="1666">
        <f t="shared" si="3"/>
        <v>17370</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3955</v>
      </c>
      <c r="D44" s="479">
        <v>2337</v>
      </c>
      <c r="E44" s="479">
        <v>18217</v>
      </c>
      <c r="F44" s="479">
        <v>1191</v>
      </c>
      <c r="G44" s="479">
        <v>0</v>
      </c>
      <c r="H44" s="479">
        <v>0</v>
      </c>
      <c r="I44" s="467">
        <v>0</v>
      </c>
      <c r="J44" s="467">
        <v>0</v>
      </c>
      <c r="K44" s="1668">
        <f>SUM(C44:J44)</f>
        <v>25700</v>
      </c>
      <c r="L44" s="479">
        <v>30236</v>
      </c>
    </row>
    <row r="45" spans="1:14" x14ac:dyDescent="0.2">
      <c r="A45" s="1500" t="s">
        <v>815</v>
      </c>
      <c r="B45" s="611">
        <v>2220</v>
      </c>
      <c r="C45" s="466">
        <v>0</v>
      </c>
      <c r="D45" s="466">
        <v>0</v>
      </c>
      <c r="E45" s="466">
        <v>3404</v>
      </c>
      <c r="F45" s="466">
        <v>2438</v>
      </c>
      <c r="G45" s="466">
        <v>0</v>
      </c>
      <c r="H45" s="466">
        <v>0</v>
      </c>
      <c r="I45" s="467">
        <v>0</v>
      </c>
      <c r="J45" s="467">
        <v>0</v>
      </c>
      <c r="K45" s="1668">
        <f>SUM(C45:J45)</f>
        <v>5842</v>
      </c>
      <c r="L45" s="466">
        <v>6400</v>
      </c>
    </row>
    <row r="46" spans="1:14" x14ac:dyDescent="0.2">
      <c r="A46" s="1500" t="s">
        <v>816</v>
      </c>
      <c r="B46" s="611">
        <v>2230</v>
      </c>
      <c r="C46" s="466">
        <v>0</v>
      </c>
      <c r="D46" s="466">
        <v>0</v>
      </c>
      <c r="E46" s="466">
        <v>21508</v>
      </c>
      <c r="F46" s="466">
        <v>0</v>
      </c>
      <c r="G46" s="466">
        <v>0</v>
      </c>
      <c r="H46" s="466">
        <v>0</v>
      </c>
      <c r="I46" s="467">
        <v>0</v>
      </c>
      <c r="J46" s="467">
        <v>0</v>
      </c>
      <c r="K46" s="1668">
        <f>SUM(C46:J46)</f>
        <v>21508</v>
      </c>
      <c r="L46" s="466">
        <v>21428</v>
      </c>
    </row>
    <row r="47" spans="1:14" ht="12.75" customHeight="1" thickBot="1" x14ac:dyDescent="0.25">
      <c r="A47" s="1664" t="s">
        <v>561</v>
      </c>
      <c r="B47" s="1665" t="s">
        <v>32</v>
      </c>
      <c r="C47" s="1666">
        <f>SUM(C44:C46)</f>
        <v>3955</v>
      </c>
      <c r="D47" s="1666">
        <f t="shared" ref="D47:K47" si="4">SUM(D44:D46)</f>
        <v>2337</v>
      </c>
      <c r="E47" s="1666">
        <f t="shared" si="4"/>
        <v>43129</v>
      </c>
      <c r="F47" s="1666">
        <f t="shared" si="4"/>
        <v>3629</v>
      </c>
      <c r="G47" s="1666">
        <f t="shared" si="4"/>
        <v>0</v>
      </c>
      <c r="H47" s="1666">
        <f t="shared" si="4"/>
        <v>0</v>
      </c>
      <c r="I47" s="1666">
        <f t="shared" si="4"/>
        <v>0</v>
      </c>
      <c r="J47" s="1666">
        <f t="shared" si="4"/>
        <v>0</v>
      </c>
      <c r="K47" s="1666">
        <f t="shared" si="4"/>
        <v>53050</v>
      </c>
      <c r="L47" s="1666">
        <f>SUM(L44:L46)</f>
        <v>58064</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1529</v>
      </c>
      <c r="D49" s="479">
        <v>0</v>
      </c>
      <c r="E49" s="479">
        <v>22814</v>
      </c>
      <c r="F49" s="479">
        <v>0</v>
      </c>
      <c r="G49" s="479">
        <v>0</v>
      </c>
      <c r="H49" s="479">
        <v>8592</v>
      </c>
      <c r="I49" s="467">
        <v>0</v>
      </c>
      <c r="J49" s="467">
        <v>0</v>
      </c>
      <c r="K49" s="1668">
        <f>SUM(C49:J49)</f>
        <v>32935</v>
      </c>
      <c r="L49" s="479">
        <v>36500</v>
      </c>
    </row>
    <row r="50" spans="1:14" x14ac:dyDescent="0.2">
      <c r="A50" s="1500" t="s">
        <v>818</v>
      </c>
      <c r="B50" s="611">
        <v>2320</v>
      </c>
      <c r="C50" s="467">
        <v>61608</v>
      </c>
      <c r="D50" s="466">
        <v>19000</v>
      </c>
      <c r="E50" s="466">
        <v>0</v>
      </c>
      <c r="F50" s="466">
        <v>0</v>
      </c>
      <c r="G50" s="466">
        <v>0</v>
      </c>
      <c r="H50" s="466">
        <v>0</v>
      </c>
      <c r="I50" s="467">
        <v>0</v>
      </c>
      <c r="J50" s="467">
        <v>0</v>
      </c>
      <c r="K50" s="1668">
        <f>SUM(C50:J50)</f>
        <v>80608</v>
      </c>
      <c r="L50" s="466">
        <v>88787</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63137</v>
      </c>
      <c r="D53" s="1666">
        <f t="shared" ref="D53:L53" si="5">SUM(D49:D52)</f>
        <v>19000</v>
      </c>
      <c r="E53" s="1666">
        <f t="shared" si="5"/>
        <v>22814</v>
      </c>
      <c r="F53" s="1666">
        <f t="shared" si="5"/>
        <v>0</v>
      </c>
      <c r="G53" s="1666">
        <f t="shared" si="5"/>
        <v>0</v>
      </c>
      <c r="H53" s="1666">
        <f t="shared" si="5"/>
        <v>8592</v>
      </c>
      <c r="I53" s="1666">
        <f t="shared" si="5"/>
        <v>0</v>
      </c>
      <c r="J53" s="1666">
        <f t="shared" si="5"/>
        <v>0</v>
      </c>
      <c r="K53" s="1666">
        <f t="shared" si="5"/>
        <v>113543</v>
      </c>
      <c r="L53" s="1666">
        <f t="shared" si="5"/>
        <v>125287</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212777</v>
      </c>
      <c r="D55" s="479">
        <v>86709</v>
      </c>
      <c r="E55" s="479">
        <v>0</v>
      </c>
      <c r="F55" s="479">
        <v>0</v>
      </c>
      <c r="G55" s="479">
        <v>0</v>
      </c>
      <c r="H55" s="479">
        <v>0</v>
      </c>
      <c r="I55" s="467">
        <v>0</v>
      </c>
      <c r="J55" s="467">
        <v>0</v>
      </c>
      <c r="K55" s="1668">
        <f>SUM(C55:J55)</f>
        <v>299486</v>
      </c>
      <c r="L55" s="479">
        <v>230590</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212777</v>
      </c>
      <c r="D57" s="1670">
        <f t="shared" ref="D57:K57" si="6">SUM(D55:D56)</f>
        <v>86709</v>
      </c>
      <c r="E57" s="1670">
        <f t="shared" si="6"/>
        <v>0</v>
      </c>
      <c r="F57" s="1670">
        <f t="shared" si="6"/>
        <v>0</v>
      </c>
      <c r="G57" s="1670">
        <f t="shared" si="6"/>
        <v>0</v>
      </c>
      <c r="H57" s="1670">
        <f t="shared" si="6"/>
        <v>0</v>
      </c>
      <c r="I57" s="1670">
        <f t="shared" si="6"/>
        <v>0</v>
      </c>
      <c r="J57" s="1670">
        <f t="shared" si="6"/>
        <v>0</v>
      </c>
      <c r="K57" s="1670">
        <f t="shared" si="6"/>
        <v>299486</v>
      </c>
      <c r="L57" s="1666">
        <f>SUM(L55:L56)</f>
        <v>230590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67492</v>
      </c>
      <c r="D60" s="466">
        <v>5132</v>
      </c>
      <c r="E60" s="466">
        <v>47825</v>
      </c>
      <c r="F60" s="466">
        <v>1370</v>
      </c>
      <c r="G60" s="466">
        <v>0</v>
      </c>
      <c r="H60" s="466">
        <v>0</v>
      </c>
      <c r="I60" s="467">
        <v>0</v>
      </c>
      <c r="J60" s="467">
        <v>0</v>
      </c>
      <c r="K60" s="1668">
        <f t="shared" si="7"/>
        <v>121819</v>
      </c>
      <c r="L60" s="466">
        <v>118100</v>
      </c>
      <c r="M60" s="606"/>
      <c r="N60" s="606"/>
    </row>
    <row r="61" spans="1:14" s="343" customFormat="1" x14ac:dyDescent="0.2">
      <c r="A61" s="1500" t="s">
        <v>197</v>
      </c>
      <c r="B61" s="611">
        <v>2540</v>
      </c>
      <c r="C61" s="466">
        <v>889</v>
      </c>
      <c r="D61" s="466">
        <v>0</v>
      </c>
      <c r="E61" s="466">
        <v>0</v>
      </c>
      <c r="F61" s="466">
        <v>0</v>
      </c>
      <c r="G61" s="466">
        <v>0</v>
      </c>
      <c r="H61" s="466">
        <v>0</v>
      </c>
      <c r="I61" s="467">
        <v>0</v>
      </c>
      <c r="J61" s="467">
        <v>0</v>
      </c>
      <c r="K61" s="1668">
        <f t="shared" si="7"/>
        <v>889</v>
      </c>
      <c r="L61" s="466">
        <v>0</v>
      </c>
      <c r="M61" s="606"/>
      <c r="N61" s="606"/>
    </row>
    <row r="62" spans="1:14" s="343" customFormat="1" x14ac:dyDescent="0.2">
      <c r="A62" s="1500" t="s">
        <v>953</v>
      </c>
      <c r="B62" s="611">
        <v>2550</v>
      </c>
      <c r="C62" s="466">
        <v>0</v>
      </c>
      <c r="D62" s="466">
        <v>0</v>
      </c>
      <c r="E62" s="466">
        <v>0</v>
      </c>
      <c r="F62" s="466">
        <v>0</v>
      </c>
      <c r="G62" s="466">
        <v>0</v>
      </c>
      <c r="H62" s="466">
        <v>0</v>
      </c>
      <c r="I62" s="467">
        <v>0</v>
      </c>
      <c r="J62" s="467">
        <v>0</v>
      </c>
      <c r="K62" s="1668">
        <f t="shared" si="7"/>
        <v>0</v>
      </c>
      <c r="L62" s="466">
        <v>0</v>
      </c>
      <c r="M62" s="606"/>
      <c r="N62" s="606"/>
    </row>
    <row r="63" spans="1:14" s="606" customFormat="1" x14ac:dyDescent="0.2">
      <c r="A63" s="1500" t="s">
        <v>100</v>
      </c>
      <c r="B63" s="611">
        <v>2560</v>
      </c>
      <c r="C63" s="466">
        <v>64537</v>
      </c>
      <c r="D63" s="466">
        <v>9817</v>
      </c>
      <c r="E63" s="466">
        <v>504</v>
      </c>
      <c r="F63" s="466">
        <v>119527</v>
      </c>
      <c r="G63" s="466">
        <v>0</v>
      </c>
      <c r="H63" s="466">
        <v>0</v>
      </c>
      <c r="I63" s="467">
        <v>0</v>
      </c>
      <c r="J63" s="467">
        <v>0</v>
      </c>
      <c r="K63" s="1668">
        <f t="shared" si="7"/>
        <v>194385</v>
      </c>
      <c r="L63" s="466">
        <v>196350</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132918</v>
      </c>
      <c r="D65" s="1666">
        <f t="shared" ref="D65:L65" si="8">SUM(D59:D64)</f>
        <v>14949</v>
      </c>
      <c r="E65" s="1666">
        <f t="shared" si="8"/>
        <v>48329</v>
      </c>
      <c r="F65" s="1666">
        <f t="shared" si="8"/>
        <v>120897</v>
      </c>
      <c r="G65" s="1666">
        <f t="shared" si="8"/>
        <v>0</v>
      </c>
      <c r="H65" s="1666">
        <f t="shared" si="8"/>
        <v>0</v>
      </c>
      <c r="I65" s="1666">
        <f t="shared" si="8"/>
        <v>0</v>
      </c>
      <c r="J65" s="1666">
        <f t="shared" si="8"/>
        <v>0</v>
      </c>
      <c r="K65" s="1666">
        <f t="shared" si="8"/>
        <v>317093</v>
      </c>
      <c r="L65" s="1666">
        <f t="shared" si="8"/>
        <v>314450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0</v>
      </c>
      <c r="D71" s="466">
        <v>0</v>
      </c>
      <c r="E71" s="466">
        <v>0</v>
      </c>
      <c r="F71" s="466">
        <v>0</v>
      </c>
      <c r="G71" s="466">
        <v>0</v>
      </c>
      <c r="H71" s="466">
        <v>0</v>
      </c>
      <c r="I71" s="467">
        <v>0</v>
      </c>
      <c r="J71" s="467">
        <v>0</v>
      </c>
      <c r="K71" s="1668">
        <f>SUM(C71:J71)</f>
        <v>0</v>
      </c>
      <c r="L71" s="466">
        <v>0</v>
      </c>
      <c r="M71" s="606"/>
      <c r="N71" s="606"/>
    </row>
    <row r="72" spans="1:14" s="343" customFormat="1" ht="12.75" customHeight="1" thickBot="1" x14ac:dyDescent="0.25">
      <c r="A72" s="1664" t="s">
        <v>37</v>
      </c>
      <c r="B72" s="1671"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606"/>
      <c r="N72" s="606"/>
    </row>
    <row r="73" spans="1:14" s="343" customFormat="1" ht="14.25" thickTop="1" thickBot="1" x14ac:dyDescent="0.25">
      <c r="A73" s="1506" t="s">
        <v>980</v>
      </c>
      <c r="B73" s="629" t="s">
        <v>574</v>
      </c>
      <c r="C73" s="467">
        <v>0</v>
      </c>
      <c r="D73" s="467">
        <v>0</v>
      </c>
      <c r="E73" s="467">
        <v>0</v>
      </c>
      <c r="F73" s="467">
        <v>0</v>
      </c>
      <c r="G73" s="467">
        <v>0</v>
      </c>
      <c r="H73" s="467">
        <v>0</v>
      </c>
      <c r="I73" s="467">
        <v>0</v>
      </c>
      <c r="J73" s="467">
        <v>0</v>
      </c>
      <c r="K73" s="1666">
        <f>SUM(C73:J73)</f>
        <v>0</v>
      </c>
      <c r="L73" s="573">
        <v>1276</v>
      </c>
      <c r="M73" s="606"/>
      <c r="N73" s="606"/>
    </row>
    <row r="74" spans="1:14" ht="12.75" customHeight="1" thickTop="1" thickBot="1" x14ac:dyDescent="0.25">
      <c r="A74" s="1664" t="s">
        <v>811</v>
      </c>
      <c r="B74" s="1672">
        <v>2000</v>
      </c>
      <c r="C74" s="1673">
        <f>SUM(C42,C47,C53,C57,C65,C72,C73)</f>
        <v>418826</v>
      </c>
      <c r="D74" s="1673">
        <f t="shared" ref="D74:K74" si="10">SUM(D42,D47,D53,D57,D65,D72,D73)</f>
        <v>128332</v>
      </c>
      <c r="E74" s="1673">
        <f t="shared" si="10"/>
        <v>114342</v>
      </c>
      <c r="F74" s="1673">
        <f t="shared" si="10"/>
        <v>125269</v>
      </c>
      <c r="G74" s="1673">
        <f t="shared" si="10"/>
        <v>0</v>
      </c>
      <c r="H74" s="1673">
        <f t="shared" si="10"/>
        <v>8592</v>
      </c>
      <c r="I74" s="1673">
        <f t="shared" si="10"/>
        <v>0</v>
      </c>
      <c r="J74" s="1673">
        <f t="shared" si="10"/>
        <v>0</v>
      </c>
      <c r="K74" s="1673">
        <f t="shared" si="10"/>
        <v>795361</v>
      </c>
      <c r="L74" s="1673">
        <f>SUM(L42,L47,L53,L57,L65,L72,L73)</f>
        <v>747037</v>
      </c>
    </row>
    <row r="75" spans="1:14" s="259" customFormat="1" ht="15.75" customHeight="1" thickTop="1" thickBot="1" x14ac:dyDescent="0.25">
      <c r="A75" s="1606" t="s">
        <v>47</v>
      </c>
      <c r="B75" s="1607" t="s">
        <v>575</v>
      </c>
      <c r="C75" s="467">
        <v>12003</v>
      </c>
      <c r="D75" s="467">
        <v>0</v>
      </c>
      <c r="E75" s="467">
        <v>0</v>
      </c>
      <c r="F75" s="467">
        <v>0</v>
      </c>
      <c r="G75" s="467">
        <v>0</v>
      </c>
      <c r="H75" s="467">
        <v>0</v>
      </c>
      <c r="I75" s="467">
        <v>0</v>
      </c>
      <c r="J75" s="467">
        <v>0</v>
      </c>
      <c r="K75" s="1666">
        <f>SUM(C75:J75)</f>
        <v>12003</v>
      </c>
      <c r="L75" s="573">
        <v>11300</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19672</v>
      </c>
      <c r="F78" s="613"/>
      <c r="G78" s="613"/>
      <c r="H78" s="631">
        <v>0</v>
      </c>
      <c r="I78" s="475"/>
      <c r="J78" s="475"/>
      <c r="K78" s="1667">
        <f t="shared" ref="K78:K83" si="11">SUM(C78:J78)</f>
        <v>19672</v>
      </c>
      <c r="L78" s="479">
        <v>23500</v>
      </c>
    </row>
    <row r="79" spans="1:14" x14ac:dyDescent="0.2">
      <c r="A79" s="1500" t="s">
        <v>304</v>
      </c>
      <c r="B79" s="611">
        <v>4120</v>
      </c>
      <c r="C79" s="613"/>
      <c r="D79" s="613"/>
      <c r="E79" s="466">
        <v>0</v>
      </c>
      <c r="F79" s="613"/>
      <c r="G79" s="613"/>
      <c r="H79" s="466">
        <v>0</v>
      </c>
      <c r="I79" s="475"/>
      <c r="J79" s="475"/>
      <c r="K79" s="1667">
        <f t="shared" si="11"/>
        <v>0</v>
      </c>
      <c r="L79" s="466">
        <v>0</v>
      </c>
    </row>
    <row r="80" spans="1:14" x14ac:dyDescent="0.2">
      <c r="A80" s="1500" t="s">
        <v>305</v>
      </c>
      <c r="B80" s="611">
        <v>4130</v>
      </c>
      <c r="C80" s="613"/>
      <c r="D80" s="613"/>
      <c r="E80" s="466">
        <v>2500</v>
      </c>
      <c r="F80" s="613"/>
      <c r="G80" s="613"/>
      <c r="H80" s="466">
        <v>0</v>
      </c>
      <c r="I80" s="475"/>
      <c r="J80" s="475"/>
      <c r="K80" s="1667">
        <f t="shared" si="11"/>
        <v>2500</v>
      </c>
      <c r="L80" s="466">
        <v>3500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0</v>
      </c>
      <c r="I83" s="475"/>
      <c r="J83" s="475"/>
      <c r="K83" s="1667">
        <f t="shared" si="11"/>
        <v>0</v>
      </c>
      <c r="L83" s="466">
        <v>0</v>
      </c>
    </row>
    <row r="84" spans="1:12" ht="13.5" thickBot="1" x14ac:dyDescent="0.25">
      <c r="A84" s="1664" t="s">
        <v>1485</v>
      </c>
      <c r="B84" s="1674">
        <v>4100</v>
      </c>
      <c r="C84" s="613"/>
      <c r="D84" s="613"/>
      <c r="E84" s="1666">
        <f>SUM(E78:E83)</f>
        <v>22172</v>
      </c>
      <c r="F84" s="613"/>
      <c r="G84" s="613"/>
      <c r="H84" s="1666">
        <f>SUM(H78:H83)</f>
        <v>0</v>
      </c>
      <c r="I84" s="475"/>
      <c r="J84" s="475"/>
      <c r="K84" s="1666">
        <f>SUM(K78:K83)</f>
        <v>22172</v>
      </c>
      <c r="L84" s="1666">
        <f>SUM(L78:L83)</f>
        <v>27000</v>
      </c>
    </row>
    <row r="85" spans="1:12" ht="12.75" customHeight="1" thickTop="1" thickBot="1" x14ac:dyDescent="0.25">
      <c r="A85" s="1507" t="s">
        <v>255</v>
      </c>
      <c r="B85" s="632">
        <v>4210</v>
      </c>
      <c r="C85" s="613"/>
      <c r="D85" s="613"/>
      <c r="E85" s="633"/>
      <c r="F85" s="613"/>
      <c r="G85" s="613"/>
      <c r="H85" s="532">
        <v>0</v>
      </c>
      <c r="I85" s="475"/>
      <c r="J85" s="475"/>
      <c r="K85" s="1673">
        <f>H85</f>
        <v>0</v>
      </c>
      <c r="L85" s="527">
        <v>0</v>
      </c>
    </row>
    <row r="86" spans="1:12" ht="12.75" customHeight="1" thickTop="1" thickBot="1" x14ac:dyDescent="0.25">
      <c r="A86" s="1508" t="s">
        <v>699</v>
      </c>
      <c r="B86" s="634">
        <v>4220</v>
      </c>
      <c r="C86" s="613"/>
      <c r="D86" s="613"/>
      <c r="E86" s="635"/>
      <c r="F86" s="613"/>
      <c r="G86" s="613"/>
      <c r="H86" s="467">
        <v>200510</v>
      </c>
      <c r="I86" s="475"/>
      <c r="J86" s="475"/>
      <c r="K86" s="1673">
        <f t="shared" ref="K86:K98" si="12">H86</f>
        <v>200510</v>
      </c>
      <c r="L86" s="527">
        <v>229000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200510</v>
      </c>
      <c r="I92" s="475"/>
      <c r="J92" s="475"/>
      <c r="K92" s="1673">
        <f t="shared" si="12"/>
        <v>200510</v>
      </c>
      <c r="L92" s="1666">
        <f>SUM(L85:L91)</f>
        <v>229000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22172</v>
      </c>
      <c r="F102" s="613"/>
      <c r="G102" s="613"/>
      <c r="H102" s="1673">
        <f>SUM(H84,H92,H100,H101)</f>
        <v>200510</v>
      </c>
      <c r="I102" s="475"/>
      <c r="J102" s="475"/>
      <c r="K102" s="1673">
        <f>SUM(K84,K92,K100,K101)</f>
        <v>222682</v>
      </c>
      <c r="L102" s="1673">
        <f>SUM(L84,L92,L100,L101)</f>
        <v>256000</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2893360</v>
      </c>
      <c r="D114" s="1666">
        <f t="shared" ref="D114:K114" si="13">SUM(D33,D74,D75,D102,D112,D113)</f>
        <v>380315</v>
      </c>
      <c r="E114" s="1666">
        <f t="shared" si="13"/>
        <v>158416</v>
      </c>
      <c r="F114" s="1666">
        <f t="shared" si="13"/>
        <v>256522</v>
      </c>
      <c r="G114" s="1666">
        <f t="shared" si="13"/>
        <v>0</v>
      </c>
      <c r="H114" s="1666">
        <f>SUM(H33,H74,H75,H102,H112,H113)</f>
        <v>220541</v>
      </c>
      <c r="I114" s="1666">
        <f t="shared" si="13"/>
        <v>0</v>
      </c>
      <c r="J114" s="1666">
        <f t="shared" si="13"/>
        <v>0</v>
      </c>
      <c r="K114" s="1666">
        <f t="shared" si="13"/>
        <v>3909154</v>
      </c>
      <c r="L114" s="1666">
        <f>SUM(L33,L74,L75,L102,L112,L113)</f>
        <v>3909349</v>
      </c>
    </row>
    <row r="115" spans="1:14" ht="13.5" thickTop="1" x14ac:dyDescent="0.2">
      <c r="A115" s="2176" t="s">
        <v>996</v>
      </c>
      <c r="B115" s="2177"/>
      <c r="C115" s="615"/>
      <c r="D115" s="615"/>
      <c r="E115" s="615"/>
      <c r="F115" s="615"/>
      <c r="G115" s="615"/>
      <c r="H115" s="615"/>
      <c r="I115" s="615"/>
      <c r="J115" s="615"/>
      <c r="K115" s="1680">
        <f>'Revenues 9-14'!C268-'Expenditures 15-22'!K114</f>
        <v>-133447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4" t="s">
        <v>296</v>
      </c>
      <c r="B117" s="2155"/>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110878</v>
      </c>
      <c r="D124" s="466">
        <v>5388</v>
      </c>
      <c r="E124" s="466">
        <v>219478</v>
      </c>
      <c r="F124" s="466">
        <v>60375</v>
      </c>
      <c r="G124" s="466">
        <v>3600</v>
      </c>
      <c r="H124" s="466">
        <v>0</v>
      </c>
      <c r="I124" s="467">
        <v>0</v>
      </c>
      <c r="J124" s="467">
        <v>0</v>
      </c>
      <c r="K124" s="1666">
        <f>SUM(C124:J124)</f>
        <v>399719</v>
      </c>
      <c r="L124" s="466">
        <v>427600</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110878</v>
      </c>
      <c r="D127" s="1666">
        <f t="shared" ref="D127:L127" si="14">SUM(D122:D126)</f>
        <v>5388</v>
      </c>
      <c r="E127" s="1666">
        <f t="shared" si="14"/>
        <v>219478</v>
      </c>
      <c r="F127" s="1666">
        <f t="shared" si="14"/>
        <v>60375</v>
      </c>
      <c r="G127" s="1666">
        <f t="shared" si="14"/>
        <v>3600</v>
      </c>
      <c r="H127" s="1666">
        <f t="shared" si="14"/>
        <v>0</v>
      </c>
      <c r="I127" s="1666">
        <f t="shared" si="14"/>
        <v>0</v>
      </c>
      <c r="J127" s="1666">
        <f t="shared" si="14"/>
        <v>0</v>
      </c>
      <c r="K127" s="1666">
        <f t="shared" si="14"/>
        <v>399719</v>
      </c>
      <c r="L127" s="1666">
        <f t="shared" si="14"/>
        <v>427600</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110878</v>
      </c>
      <c r="D129" s="1673">
        <f t="shared" ref="D129:L129" si="15">SUM(D120,D127,D128)</f>
        <v>5388</v>
      </c>
      <c r="E129" s="1673">
        <f t="shared" si="15"/>
        <v>219478</v>
      </c>
      <c r="F129" s="1673">
        <f t="shared" si="15"/>
        <v>60375</v>
      </c>
      <c r="G129" s="1673">
        <f t="shared" si="15"/>
        <v>3600</v>
      </c>
      <c r="H129" s="1673">
        <f t="shared" si="15"/>
        <v>0</v>
      </c>
      <c r="I129" s="1673">
        <f t="shared" si="15"/>
        <v>0</v>
      </c>
      <c r="J129" s="1673">
        <f t="shared" si="15"/>
        <v>0</v>
      </c>
      <c r="K129" s="1673">
        <f t="shared" si="15"/>
        <v>399719</v>
      </c>
      <c r="L129" s="1673">
        <f t="shared" si="15"/>
        <v>427600</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166" t="s">
        <v>620</v>
      </c>
      <c r="B151" s="2148"/>
      <c r="C151" s="1666">
        <f>SUM(C129,C130,C139,C149,C150)</f>
        <v>110878</v>
      </c>
      <c r="D151" s="1666">
        <f t="shared" ref="D151:K151" si="16">SUM(D129,D130,D139,D149,D150)</f>
        <v>5388</v>
      </c>
      <c r="E151" s="1666">
        <f t="shared" si="16"/>
        <v>219478</v>
      </c>
      <c r="F151" s="1666">
        <f t="shared" si="16"/>
        <v>60375</v>
      </c>
      <c r="G151" s="1666">
        <f t="shared" si="16"/>
        <v>3600</v>
      </c>
      <c r="H151" s="1666">
        <f t="shared" si="16"/>
        <v>0</v>
      </c>
      <c r="I151" s="1666">
        <f t="shared" si="16"/>
        <v>0</v>
      </c>
      <c r="J151" s="1666">
        <f t="shared" si="16"/>
        <v>0</v>
      </c>
      <c r="K151" s="1666">
        <f t="shared" si="16"/>
        <v>399719</v>
      </c>
      <c r="L151" s="1666">
        <f>SUM(L129,L130,L139,L149,L150)</f>
        <v>427600</v>
      </c>
    </row>
    <row r="152" spans="1:14" ht="12.75" customHeight="1" thickTop="1" x14ac:dyDescent="0.2">
      <c r="A152" s="2169" t="s">
        <v>1178</v>
      </c>
      <c r="B152" s="2170"/>
      <c r="C152" s="615"/>
      <c r="D152" s="615"/>
      <c r="E152" s="615"/>
      <c r="F152" s="615"/>
      <c r="G152" s="615"/>
      <c r="H152" s="615"/>
      <c r="I152" s="615"/>
      <c r="J152" s="613"/>
      <c r="K152" s="1680">
        <f>'Revenues 9-14'!D268-'Expenditures 15-22'!K151</f>
        <v>19884</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4" t="s">
        <v>621</v>
      </c>
      <c r="B154" s="2156"/>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50878</v>
      </c>
      <c r="I169" s="613"/>
      <c r="J169" s="613"/>
      <c r="K169" s="1667">
        <f>SUM(C169:H169)</f>
        <v>50878</v>
      </c>
      <c r="L169" s="653">
        <v>190000</v>
      </c>
    </row>
    <row r="170" spans="1:14" ht="33.75" customHeight="1" x14ac:dyDescent="0.2">
      <c r="A170" s="666" t="s">
        <v>1670</v>
      </c>
      <c r="B170" s="668" t="s">
        <v>31</v>
      </c>
      <c r="C170" s="613"/>
      <c r="D170" s="613"/>
      <c r="E170" s="613"/>
      <c r="F170" s="613"/>
      <c r="G170" s="613"/>
      <c r="H170" s="566">
        <v>383000</v>
      </c>
      <c r="I170" s="613"/>
      <c r="J170" s="613"/>
      <c r="K170" s="1667">
        <f>SUM(C170:J170)</f>
        <v>383000</v>
      </c>
      <c r="L170" s="566">
        <v>270000</v>
      </c>
    </row>
    <row r="171" spans="1:14" ht="15.75" customHeight="1" x14ac:dyDescent="0.2">
      <c r="A171" s="618" t="s">
        <v>766</v>
      </c>
      <c r="B171" s="669" t="s">
        <v>84</v>
      </c>
      <c r="C171" s="613"/>
      <c r="D171" s="613"/>
      <c r="E171" s="466">
        <v>5838</v>
      </c>
      <c r="F171" s="613"/>
      <c r="G171" s="613"/>
      <c r="H171" s="566">
        <v>0</v>
      </c>
      <c r="I171" s="475"/>
      <c r="J171" s="613"/>
      <c r="K171" s="1667">
        <f>SUM(C171:J171)</f>
        <v>5838</v>
      </c>
      <c r="L171" s="566">
        <v>1000</v>
      </c>
    </row>
    <row r="172" spans="1:14" ht="12.75" customHeight="1" thickBot="1" x14ac:dyDescent="0.25">
      <c r="A172" s="1664" t="s">
        <v>638</v>
      </c>
      <c r="B172" s="1665" t="s">
        <v>492</v>
      </c>
      <c r="C172" s="613"/>
      <c r="D172" s="613"/>
      <c r="E172" s="1673">
        <f>SUM(E168,E169,E170,E171)</f>
        <v>5838</v>
      </c>
      <c r="F172" s="613"/>
      <c r="G172" s="613"/>
      <c r="H172" s="1673">
        <f>SUM(H168,H169,H170,H171)</f>
        <v>433878</v>
      </c>
      <c r="I172" s="635"/>
      <c r="J172" s="613"/>
      <c r="K172" s="1673">
        <f>SUM(K168,K169,K170,K171)</f>
        <v>439716</v>
      </c>
      <c r="L172" s="1673">
        <f>SUM(L168,L169,L170,L171)</f>
        <v>461000</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5838</v>
      </c>
      <c r="F174" s="613"/>
      <c r="G174" s="613"/>
      <c r="H174" s="1673">
        <f>SUM(H160,H172,H173)</f>
        <v>433878</v>
      </c>
      <c r="I174" s="635"/>
      <c r="J174" s="613"/>
      <c r="K174" s="1673">
        <f>SUM(K160,K172,K173)</f>
        <v>439716</v>
      </c>
      <c r="L174" s="1673">
        <f>SUM(L160,L172,L173)</f>
        <v>461000</v>
      </c>
    </row>
    <row r="175" spans="1:14" ht="13.5" thickTop="1" x14ac:dyDescent="0.2">
      <c r="A175" s="2176" t="s">
        <v>996</v>
      </c>
      <c r="B175" s="2177"/>
      <c r="C175" s="613"/>
      <c r="D175" s="613"/>
      <c r="E175" s="613"/>
      <c r="F175" s="613"/>
      <c r="G175" s="613"/>
      <c r="H175" s="615"/>
      <c r="I175" s="613"/>
      <c r="J175" s="613"/>
      <c r="K175" s="1680">
        <f>'Revenues 9-14'!E268-'Expenditures 15-22'!K174</f>
        <v>-260582</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117274</v>
      </c>
      <c r="D182" s="466">
        <v>9049</v>
      </c>
      <c r="E182" s="466">
        <v>112641</v>
      </c>
      <c r="F182" s="466">
        <v>37729</v>
      </c>
      <c r="G182" s="466">
        <v>31155</v>
      </c>
      <c r="H182" s="466">
        <v>0</v>
      </c>
      <c r="I182" s="467">
        <v>0</v>
      </c>
      <c r="J182" s="467">
        <v>0</v>
      </c>
      <c r="K182" s="1667">
        <f>SUM(C182:J182)</f>
        <v>307848</v>
      </c>
      <c r="L182" s="466">
        <v>310650</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117274</v>
      </c>
      <c r="D184" s="1673">
        <f t="shared" ref="D184:J184" si="17">SUM(D180,D182,D183)</f>
        <v>9049</v>
      </c>
      <c r="E184" s="1673">
        <f t="shared" si="17"/>
        <v>112641</v>
      </c>
      <c r="F184" s="1673">
        <f t="shared" si="17"/>
        <v>37729</v>
      </c>
      <c r="G184" s="1673">
        <f t="shared" si="17"/>
        <v>31155</v>
      </c>
      <c r="H184" s="1673">
        <f t="shared" si="17"/>
        <v>0</v>
      </c>
      <c r="I184" s="1673">
        <f t="shared" si="17"/>
        <v>0</v>
      </c>
      <c r="J184" s="1673">
        <f t="shared" si="17"/>
        <v>0</v>
      </c>
      <c r="K184" s="1673">
        <f>SUM(K180,K182,K183)</f>
        <v>307848</v>
      </c>
      <c r="L184" s="1673">
        <f>SUM(L180, L182:L183)</f>
        <v>310650</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7658</v>
      </c>
      <c r="F188" s="613"/>
      <c r="G188" s="613"/>
      <c r="H188" s="466">
        <v>0</v>
      </c>
      <c r="I188" s="475"/>
      <c r="J188" s="613"/>
      <c r="K188" s="1667">
        <f t="shared" ref="K188:K193" si="18">SUM(E188,H188)</f>
        <v>7658</v>
      </c>
      <c r="L188" s="466">
        <v>5000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7658</v>
      </c>
      <c r="F194" s="613"/>
      <c r="G194" s="613"/>
      <c r="H194" s="1666">
        <f>SUM(H188:H193)</f>
        <v>0</v>
      </c>
      <c r="I194" s="475"/>
      <c r="J194" s="613"/>
      <c r="K194" s="1666">
        <f>SUM(K188:K193)</f>
        <v>7658</v>
      </c>
      <c r="L194" s="1666">
        <f>SUM(L188:L193)</f>
        <v>5000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7658</v>
      </c>
      <c r="F196" s="613"/>
      <c r="G196" s="613"/>
      <c r="H196" s="1673">
        <f>SUM(H194,H195)</f>
        <v>0</v>
      </c>
      <c r="I196" s="475"/>
      <c r="J196" s="613"/>
      <c r="K196" s="1673">
        <f>SUM(K194,K195)</f>
        <v>7658</v>
      </c>
      <c r="L196" s="1673">
        <f>SUM(L194,L195)</f>
        <v>5000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0</v>
      </c>
      <c r="I208" s="613"/>
      <c r="J208" s="613"/>
      <c r="K208" s="1673">
        <f>SUM(K204,K205,K206,K207)</f>
        <v>0</v>
      </c>
      <c r="L208" s="1673">
        <f>SUM(L204,L205,L206,L207)</f>
        <v>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117274</v>
      </c>
      <c r="D210" s="1666">
        <f>SUM(D184,D185)</f>
        <v>9049</v>
      </c>
      <c r="E210" s="1666">
        <f>SUM(E184,E185,E196)</f>
        <v>120299</v>
      </c>
      <c r="F210" s="1666">
        <f>SUM(F184,F185)</f>
        <v>37729</v>
      </c>
      <c r="G210" s="1666">
        <f>SUM(G184,G185)</f>
        <v>31155</v>
      </c>
      <c r="H210" s="1666">
        <f>SUM(H184,H185,H196,H208,H209)</f>
        <v>0</v>
      </c>
      <c r="I210" s="1666">
        <f>SUM(I184,I185)</f>
        <v>0</v>
      </c>
      <c r="J210" s="1666">
        <f>SUM(J184,J185)</f>
        <v>0</v>
      </c>
      <c r="K210" s="1667">
        <f>SUM(K184,K185,K196,K208,K209)</f>
        <v>315506</v>
      </c>
      <c r="L210" s="1666">
        <f>SUM(L184,L185,L196,L208,L209)</f>
        <v>315650</v>
      </c>
    </row>
    <row r="211" spans="1:14" ht="13.5" thickTop="1" x14ac:dyDescent="0.2">
      <c r="A211" s="2176" t="s">
        <v>996</v>
      </c>
      <c r="B211" s="2177"/>
      <c r="C211" s="615"/>
      <c r="D211" s="615"/>
      <c r="E211" s="615"/>
      <c r="F211" s="615"/>
      <c r="G211" s="615"/>
      <c r="H211" s="615"/>
      <c r="I211" s="613"/>
      <c r="J211" s="613"/>
      <c r="K211" s="1680">
        <f>'Revenues 9-14'!F268-'Expenditures 15-22'!K210</f>
        <v>18872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1" t="s">
        <v>965</v>
      </c>
      <c r="B213" s="2172"/>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45890</v>
      </c>
      <c r="E215" s="613"/>
      <c r="F215" s="613"/>
      <c r="G215" s="613"/>
      <c r="H215" s="613"/>
      <c r="I215" s="613"/>
      <c r="J215" s="613"/>
      <c r="K215" s="1667">
        <f>D215</f>
        <v>45890</v>
      </c>
      <c r="L215" s="466">
        <v>52125</v>
      </c>
    </row>
    <row r="216" spans="1:14" x14ac:dyDescent="0.2">
      <c r="A216" s="1500" t="s">
        <v>163</v>
      </c>
      <c r="B216" s="611" t="s">
        <v>967</v>
      </c>
      <c r="C216" s="613"/>
      <c r="D216" s="467">
        <v>2418</v>
      </c>
      <c r="E216" s="613"/>
      <c r="F216" s="613"/>
      <c r="G216" s="613"/>
      <c r="H216" s="613"/>
      <c r="I216" s="613"/>
      <c r="J216" s="613"/>
      <c r="K216" s="1667">
        <f t="shared" ref="K216:K228" si="19">D216</f>
        <v>2418</v>
      </c>
      <c r="L216" s="466">
        <v>3827</v>
      </c>
    </row>
    <row r="217" spans="1:14" x14ac:dyDescent="0.2">
      <c r="A217" s="1500" t="s">
        <v>164</v>
      </c>
      <c r="B217" s="611">
        <v>1200</v>
      </c>
      <c r="C217" s="613"/>
      <c r="D217" s="466">
        <v>11512</v>
      </c>
      <c r="E217" s="613"/>
      <c r="F217" s="613"/>
      <c r="G217" s="613"/>
      <c r="H217" s="613"/>
      <c r="I217" s="613"/>
      <c r="J217" s="613"/>
      <c r="K217" s="1667">
        <f t="shared" si="19"/>
        <v>11512</v>
      </c>
      <c r="L217" s="466">
        <v>13600</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3348</v>
      </c>
      <c r="E219" s="613"/>
      <c r="F219" s="613"/>
      <c r="G219" s="613"/>
      <c r="H219" s="613"/>
      <c r="I219" s="613"/>
      <c r="J219" s="613"/>
      <c r="K219" s="1667">
        <f t="shared" si="19"/>
        <v>3348</v>
      </c>
      <c r="L219" s="466">
        <v>7100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2502</v>
      </c>
      <c r="E222" s="613"/>
      <c r="F222" s="613"/>
      <c r="G222" s="613"/>
      <c r="H222" s="613"/>
      <c r="I222" s="613"/>
      <c r="J222" s="613"/>
      <c r="K222" s="1667">
        <f t="shared" si="19"/>
        <v>2502</v>
      </c>
      <c r="L222" s="466">
        <v>2900</v>
      </c>
    </row>
    <row r="223" spans="1:14" x14ac:dyDescent="0.2">
      <c r="A223" s="1500" t="s">
        <v>963</v>
      </c>
      <c r="B223" s="611">
        <v>1500</v>
      </c>
      <c r="C223" s="613"/>
      <c r="D223" s="466">
        <v>5485</v>
      </c>
      <c r="E223" s="613"/>
      <c r="F223" s="613"/>
      <c r="G223" s="613"/>
      <c r="H223" s="613"/>
      <c r="I223" s="613"/>
      <c r="J223" s="613"/>
      <c r="K223" s="1667">
        <f t="shared" si="19"/>
        <v>5485</v>
      </c>
      <c r="L223" s="466">
        <v>7335</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0</v>
      </c>
      <c r="E226" s="613"/>
      <c r="F226" s="613"/>
      <c r="G226" s="613"/>
      <c r="H226" s="613"/>
      <c r="I226" s="613"/>
      <c r="J226" s="613"/>
      <c r="K226" s="1667">
        <f t="shared" si="19"/>
        <v>0</v>
      </c>
      <c r="L226" s="466">
        <v>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71155</v>
      </c>
      <c r="E229" s="613"/>
      <c r="F229" s="613"/>
      <c r="G229" s="613"/>
      <c r="H229" s="613"/>
      <c r="I229" s="613"/>
      <c r="J229" s="613"/>
      <c r="K229" s="1666">
        <f>SUM(K215:K228)</f>
        <v>71155</v>
      </c>
      <c r="L229" s="1666">
        <f>SUM(L215:L228)</f>
        <v>86887</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0</v>
      </c>
      <c r="E232" s="613"/>
      <c r="F232" s="613"/>
      <c r="G232" s="613"/>
      <c r="H232" s="613"/>
      <c r="I232" s="613"/>
      <c r="J232" s="613"/>
      <c r="K232" s="1667">
        <f t="shared" ref="K232:K237" si="20">D232</f>
        <v>0</v>
      </c>
      <c r="L232" s="466">
        <v>0</v>
      </c>
    </row>
    <row r="233" spans="1:12" x14ac:dyDescent="0.2">
      <c r="A233" s="1500" t="s">
        <v>1090</v>
      </c>
      <c r="B233" s="611">
        <v>2120</v>
      </c>
      <c r="C233" s="613"/>
      <c r="D233" s="466">
        <v>0</v>
      </c>
      <c r="E233" s="613"/>
      <c r="F233" s="613"/>
      <c r="G233" s="613"/>
      <c r="H233" s="613"/>
      <c r="I233" s="613"/>
      <c r="J233" s="613"/>
      <c r="K233" s="1667">
        <f t="shared" si="20"/>
        <v>0</v>
      </c>
      <c r="L233" s="466">
        <v>0</v>
      </c>
    </row>
    <row r="234" spans="1:12" x14ac:dyDescent="0.2">
      <c r="A234" s="1500" t="s">
        <v>198</v>
      </c>
      <c r="B234" s="611">
        <v>2130</v>
      </c>
      <c r="C234" s="613"/>
      <c r="D234" s="466">
        <v>4855</v>
      </c>
      <c r="E234" s="613"/>
      <c r="F234" s="613"/>
      <c r="G234" s="613"/>
      <c r="H234" s="613"/>
      <c r="I234" s="613"/>
      <c r="J234" s="613"/>
      <c r="K234" s="1667">
        <f t="shared" si="20"/>
        <v>4855</v>
      </c>
      <c r="L234" s="466">
        <v>5535</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0</v>
      </c>
      <c r="E236" s="613"/>
      <c r="F236" s="613"/>
      <c r="G236" s="613"/>
      <c r="H236" s="613"/>
      <c r="I236" s="613"/>
      <c r="J236" s="613"/>
      <c r="K236" s="1667">
        <f t="shared" si="20"/>
        <v>0</v>
      </c>
      <c r="L236" s="466">
        <v>0</v>
      </c>
    </row>
    <row r="237" spans="1:12" x14ac:dyDescent="0.2">
      <c r="A237" s="1500" t="s">
        <v>165</v>
      </c>
      <c r="B237" s="611">
        <v>2190</v>
      </c>
      <c r="C237" s="613"/>
      <c r="D237" s="466">
        <v>0</v>
      </c>
      <c r="E237" s="613"/>
      <c r="F237" s="613"/>
      <c r="G237" s="613"/>
      <c r="H237" s="613"/>
      <c r="I237" s="613"/>
      <c r="J237" s="613"/>
      <c r="K237" s="1667">
        <f t="shared" si="20"/>
        <v>0</v>
      </c>
      <c r="L237" s="466">
        <v>0</v>
      </c>
    </row>
    <row r="238" spans="1:12" ht="12.75" customHeight="1" thickBot="1" x14ac:dyDescent="0.25">
      <c r="A238" s="1664" t="s">
        <v>560</v>
      </c>
      <c r="B238" s="1671" t="s">
        <v>716</v>
      </c>
      <c r="C238" s="613"/>
      <c r="D238" s="1666">
        <f>SUM(D232:D237)</f>
        <v>4855</v>
      </c>
      <c r="E238" s="613"/>
      <c r="F238" s="613"/>
      <c r="G238" s="613"/>
      <c r="H238" s="613"/>
      <c r="I238" s="613"/>
      <c r="J238" s="613"/>
      <c r="K238" s="1666">
        <f>SUM(K232:K237)</f>
        <v>4855</v>
      </c>
      <c r="L238" s="1666">
        <f>SUM(L232:L237)</f>
        <v>5535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35</v>
      </c>
      <c r="E240" s="613"/>
      <c r="F240" s="613"/>
      <c r="G240" s="613"/>
      <c r="H240" s="613"/>
      <c r="I240" s="613"/>
      <c r="J240" s="613"/>
      <c r="K240" s="1668">
        <f>D240</f>
        <v>35</v>
      </c>
      <c r="L240" s="479">
        <v>18</v>
      </c>
    </row>
    <row r="241" spans="1:12" x14ac:dyDescent="0.2">
      <c r="A241" s="1500" t="s">
        <v>815</v>
      </c>
      <c r="B241" s="611">
        <v>2220</v>
      </c>
      <c r="C241" s="613"/>
      <c r="D241" s="466">
        <v>0</v>
      </c>
      <c r="E241" s="613"/>
      <c r="F241" s="613"/>
      <c r="G241" s="613"/>
      <c r="H241" s="613"/>
      <c r="I241" s="613"/>
      <c r="J241" s="613"/>
      <c r="K241" s="1668">
        <f>D241</f>
        <v>0</v>
      </c>
      <c r="L241" s="466">
        <v>0</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35</v>
      </c>
      <c r="E243" s="613"/>
      <c r="F243" s="613"/>
      <c r="G243" s="613"/>
      <c r="H243" s="613"/>
      <c r="I243" s="613"/>
      <c r="J243" s="613"/>
      <c r="K243" s="1666">
        <f>SUM(K240:K242)</f>
        <v>35</v>
      </c>
      <c r="L243" s="1666">
        <f>SUM(L240:L242)</f>
        <v>18</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117</v>
      </c>
      <c r="E245" s="613"/>
      <c r="F245" s="613"/>
      <c r="G245" s="613"/>
      <c r="H245" s="613"/>
      <c r="I245" s="613"/>
      <c r="J245" s="613"/>
      <c r="K245" s="1668">
        <f>D245</f>
        <v>117</v>
      </c>
      <c r="L245" s="479">
        <v>140</v>
      </c>
    </row>
    <row r="246" spans="1:12" x14ac:dyDescent="0.2">
      <c r="A246" s="1500" t="s">
        <v>818</v>
      </c>
      <c r="B246" s="611">
        <v>2320</v>
      </c>
      <c r="C246" s="613"/>
      <c r="D246" s="466">
        <v>1749</v>
      </c>
      <c r="E246" s="613"/>
      <c r="F246" s="613"/>
      <c r="G246" s="613"/>
      <c r="H246" s="613"/>
      <c r="I246" s="613"/>
      <c r="J246" s="613"/>
      <c r="K246" s="1668">
        <f t="shared" ref="K246:K256" si="21">D246</f>
        <v>1749</v>
      </c>
      <c r="L246" s="466">
        <v>1800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0</v>
      </c>
      <c r="E254" s="613"/>
      <c r="F254" s="613"/>
      <c r="G254" s="613"/>
      <c r="H254" s="613"/>
      <c r="I254" s="613"/>
      <c r="J254" s="613"/>
      <c r="K254" s="1668">
        <f t="shared" si="21"/>
        <v>0</v>
      </c>
      <c r="L254" s="466">
        <v>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1866</v>
      </c>
      <c r="E257" s="613"/>
      <c r="F257" s="613"/>
      <c r="G257" s="613"/>
      <c r="H257" s="613"/>
      <c r="I257" s="613"/>
      <c r="J257" s="613"/>
      <c r="K257" s="1666">
        <f>SUM(K245:K256)</f>
        <v>1866</v>
      </c>
      <c r="L257" s="1666">
        <f>SUM(L245:L256)</f>
        <v>1940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17199</v>
      </c>
      <c r="E259" s="613"/>
      <c r="F259" s="613"/>
      <c r="G259" s="613"/>
      <c r="H259" s="613"/>
      <c r="I259" s="613"/>
      <c r="J259" s="613"/>
      <c r="K259" s="1668">
        <f>D259</f>
        <v>17199</v>
      </c>
      <c r="L259" s="479">
        <v>19600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17199</v>
      </c>
      <c r="E261" s="613"/>
      <c r="F261" s="613"/>
      <c r="G261" s="613"/>
      <c r="H261" s="613"/>
      <c r="I261" s="613"/>
      <c r="J261" s="613"/>
      <c r="K261" s="1666">
        <f>SUM(K259:K260)</f>
        <v>17199</v>
      </c>
      <c r="L261" s="1666">
        <f>SUM(L259:L260)</f>
        <v>19600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12119</v>
      </c>
      <c r="E264" s="613"/>
      <c r="F264" s="613"/>
      <c r="G264" s="613"/>
      <c r="H264" s="613"/>
      <c r="I264" s="613"/>
      <c r="J264" s="613"/>
      <c r="K264" s="1668">
        <f t="shared" ref="K264:K269" si="22">D264</f>
        <v>12119</v>
      </c>
      <c r="L264" s="466">
        <v>13600</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18835</v>
      </c>
      <c r="E266" s="613"/>
      <c r="F266" s="613"/>
      <c r="G266" s="613"/>
      <c r="H266" s="613"/>
      <c r="I266" s="613"/>
      <c r="J266" s="613"/>
      <c r="K266" s="1668">
        <f t="shared" si="22"/>
        <v>18835</v>
      </c>
      <c r="L266" s="466">
        <v>21600</v>
      </c>
    </row>
    <row r="267" spans="1:14" x14ac:dyDescent="0.2">
      <c r="A267" s="1500" t="s">
        <v>953</v>
      </c>
      <c r="B267" s="611">
        <v>2550</v>
      </c>
      <c r="C267" s="613"/>
      <c r="D267" s="466">
        <v>23044</v>
      </c>
      <c r="E267" s="613"/>
      <c r="F267" s="613"/>
      <c r="G267" s="613"/>
      <c r="H267" s="613"/>
      <c r="I267" s="613"/>
      <c r="J267" s="613"/>
      <c r="K267" s="1668">
        <f t="shared" si="22"/>
        <v>23044</v>
      </c>
      <c r="L267" s="466">
        <v>28950</v>
      </c>
    </row>
    <row r="268" spans="1:14" x14ac:dyDescent="0.2">
      <c r="A268" s="1500" t="s">
        <v>100</v>
      </c>
      <c r="B268" s="611">
        <v>2560</v>
      </c>
      <c r="C268" s="613"/>
      <c r="D268" s="466">
        <v>14066</v>
      </c>
      <c r="E268" s="613"/>
      <c r="F268" s="613"/>
      <c r="G268" s="613"/>
      <c r="H268" s="613"/>
      <c r="I268" s="613"/>
      <c r="J268" s="613"/>
      <c r="K268" s="1668">
        <f t="shared" si="22"/>
        <v>14066</v>
      </c>
      <c r="L268" s="466">
        <v>18000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68064</v>
      </c>
      <c r="E270" s="613"/>
      <c r="F270" s="613"/>
      <c r="G270" s="613"/>
      <c r="H270" s="613"/>
      <c r="I270" s="613"/>
      <c r="J270" s="613"/>
      <c r="K270" s="1666">
        <f>SUM(K263:K269)</f>
        <v>68064</v>
      </c>
      <c r="L270" s="1666">
        <f>SUM(L263:L269)</f>
        <v>82150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92019</v>
      </c>
      <c r="E279" s="613"/>
      <c r="F279" s="613"/>
      <c r="G279" s="613"/>
      <c r="H279" s="613"/>
      <c r="I279" s="613"/>
      <c r="J279" s="613"/>
      <c r="K279" s="1673">
        <f>SUM(K238,K243,K257,K261,K270,K277,K278)</f>
        <v>92019</v>
      </c>
      <c r="L279" s="1673">
        <f>SUM(L238,L243,L257,L261,L270,L277,L278)</f>
        <v>109243</v>
      </c>
    </row>
    <row r="280" spans="1:12" ht="15.75" customHeight="1" thickTop="1" thickBot="1" x14ac:dyDescent="0.25">
      <c r="A280" s="1620" t="s">
        <v>875</v>
      </c>
      <c r="B280" s="1609">
        <v>3000</v>
      </c>
      <c r="C280" s="613"/>
      <c r="D280" s="573">
        <v>2007</v>
      </c>
      <c r="E280" s="613"/>
      <c r="F280" s="613"/>
      <c r="G280" s="613"/>
      <c r="H280" s="613"/>
      <c r="I280" s="613"/>
      <c r="J280" s="613"/>
      <c r="K280" s="1675">
        <f>D280</f>
        <v>2007</v>
      </c>
      <c r="L280" s="573">
        <v>2875</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1000</v>
      </c>
    </row>
    <row r="295" spans="1:14" ht="12.75" customHeight="1" thickTop="1" thickBot="1" x14ac:dyDescent="0.25">
      <c r="A295" s="2167" t="s">
        <v>505</v>
      </c>
      <c r="B295" s="2168"/>
      <c r="C295" s="613"/>
      <c r="D295" s="1666">
        <f>SUM(D229,D279,D280,D285)</f>
        <v>165181</v>
      </c>
      <c r="E295" s="613"/>
      <c r="F295" s="613"/>
      <c r="G295" s="613"/>
      <c r="H295" s="1666">
        <f>H293</f>
        <v>0</v>
      </c>
      <c r="I295" s="613"/>
      <c r="J295" s="613"/>
      <c r="K295" s="1666">
        <f>SUM(K229,K279,K280,K285,K293,K294)</f>
        <v>165181</v>
      </c>
      <c r="L295" s="1666">
        <f>SUM(L229,L279,L280,L285,L293,L294)</f>
        <v>200005</v>
      </c>
    </row>
    <row r="296" spans="1:14" ht="13.5" thickTop="1" x14ac:dyDescent="0.2">
      <c r="A296" s="2176" t="s">
        <v>996</v>
      </c>
      <c r="B296" s="2177"/>
      <c r="C296" s="613"/>
      <c r="D296" s="615"/>
      <c r="E296" s="613"/>
      <c r="F296" s="613"/>
      <c r="G296" s="613"/>
      <c r="H296" s="684"/>
      <c r="I296" s="613"/>
      <c r="J296" s="613"/>
      <c r="K296" s="1680">
        <f>'Revenues 9-14'!G268-'Expenditures 15-22'!K295</f>
        <v>14882</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59" t="s">
        <v>143</v>
      </c>
      <c r="B298" s="2153"/>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129770</v>
      </c>
      <c r="F301" s="466">
        <v>11366</v>
      </c>
      <c r="G301" s="466">
        <v>620409</v>
      </c>
      <c r="H301" s="466">
        <v>0</v>
      </c>
      <c r="I301" s="467">
        <v>0</v>
      </c>
      <c r="J301" s="467">
        <v>0</v>
      </c>
      <c r="K301" s="1667">
        <f>SUM(C301:J301)</f>
        <v>761545</v>
      </c>
      <c r="L301" s="467">
        <v>783315</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129770</v>
      </c>
      <c r="F303" s="1673">
        <f t="shared" si="23"/>
        <v>11366</v>
      </c>
      <c r="G303" s="1673">
        <f t="shared" si="23"/>
        <v>620409</v>
      </c>
      <c r="H303" s="1673">
        <f t="shared" si="23"/>
        <v>0</v>
      </c>
      <c r="I303" s="1673">
        <f t="shared" si="23"/>
        <v>0</v>
      </c>
      <c r="J303" s="1673">
        <f t="shared" si="23"/>
        <v>0</v>
      </c>
      <c r="K303" s="1673">
        <f t="shared" si="23"/>
        <v>761545</v>
      </c>
      <c r="L303" s="1673">
        <f t="shared" si="23"/>
        <v>783315</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164" t="s">
        <v>277</v>
      </c>
      <c r="B312" s="2165"/>
      <c r="C312" s="1666">
        <f>SUM(C303)</f>
        <v>0</v>
      </c>
      <c r="D312" s="1666">
        <f>SUM(D303)</f>
        <v>0</v>
      </c>
      <c r="E312" s="1666">
        <f>SUM(E303,E310)</f>
        <v>129770</v>
      </c>
      <c r="F312" s="1666">
        <f>SUM(F303)</f>
        <v>11366</v>
      </c>
      <c r="G312" s="1666">
        <f>SUM(G303)</f>
        <v>620409</v>
      </c>
      <c r="H312" s="1666">
        <f>SUM(H303,H310)</f>
        <v>0</v>
      </c>
      <c r="I312" s="1666">
        <f>SUM(I303)</f>
        <v>0</v>
      </c>
      <c r="J312" s="1666">
        <f>SUM(J303)</f>
        <v>0</v>
      </c>
      <c r="K312" s="1666">
        <f>SUM(K303,K310,K311)</f>
        <v>761545</v>
      </c>
      <c r="L312" s="1666">
        <f>SUM(L303,L310,L311)</f>
        <v>783315</v>
      </c>
      <c r="M312" s="662"/>
      <c r="N312" s="662"/>
    </row>
    <row r="313" spans="1:14" ht="13.5" thickTop="1" x14ac:dyDescent="0.2">
      <c r="A313" s="2160" t="s">
        <v>996</v>
      </c>
      <c r="B313" s="2161"/>
      <c r="C313" s="623"/>
      <c r="D313" s="623"/>
      <c r="E313" s="623"/>
      <c r="F313" s="623"/>
      <c r="G313" s="623"/>
      <c r="H313" s="623"/>
      <c r="I313" s="623"/>
      <c r="J313" s="623"/>
      <c r="K313" s="1681">
        <f>'Revenues 9-14'!H268-'Expenditures 15-22'!K312</f>
        <v>-596327</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3" t="s">
        <v>149</v>
      </c>
      <c r="B315" s="2174"/>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5" t="s">
        <v>898</v>
      </c>
      <c r="B317" s="2174"/>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48811</v>
      </c>
      <c r="F320" s="467">
        <v>0</v>
      </c>
      <c r="G320" s="467">
        <v>0</v>
      </c>
      <c r="H320" s="467">
        <v>0</v>
      </c>
      <c r="I320" s="467">
        <v>0</v>
      </c>
      <c r="J320" s="467">
        <v>0</v>
      </c>
      <c r="K320" s="1667">
        <f t="shared" ref="K320:K327" si="24">SUM(C320:J320)</f>
        <v>48811</v>
      </c>
      <c r="L320" s="467">
        <v>46500</v>
      </c>
      <c r="M320" s="662"/>
      <c r="N320" s="662"/>
    </row>
    <row r="321" spans="1:14" s="671" customFormat="1" x14ac:dyDescent="0.2">
      <c r="A321" s="1515" t="s">
        <v>300</v>
      </c>
      <c r="B321" s="694" t="s">
        <v>283</v>
      </c>
      <c r="C321" s="467">
        <v>0</v>
      </c>
      <c r="D321" s="467">
        <v>0</v>
      </c>
      <c r="E321" s="467">
        <v>0</v>
      </c>
      <c r="F321" s="467">
        <v>0</v>
      </c>
      <c r="G321" s="467">
        <v>0</v>
      </c>
      <c r="H321" s="467">
        <v>0</v>
      </c>
      <c r="I321" s="467">
        <v>0</v>
      </c>
      <c r="J321" s="467">
        <v>0</v>
      </c>
      <c r="K321" s="1667">
        <f t="shared" si="24"/>
        <v>0</v>
      </c>
      <c r="L321" s="467">
        <v>0</v>
      </c>
      <c r="M321" s="662"/>
      <c r="N321" s="662"/>
    </row>
    <row r="322" spans="1:14" s="671" customFormat="1" x14ac:dyDescent="0.2">
      <c r="A322" s="1515" t="s">
        <v>238</v>
      </c>
      <c r="B322" s="694" t="s">
        <v>284</v>
      </c>
      <c r="C322" s="467">
        <v>0</v>
      </c>
      <c r="D322" s="467">
        <v>0</v>
      </c>
      <c r="E322" s="467">
        <v>31854</v>
      </c>
      <c r="F322" s="467">
        <v>0</v>
      </c>
      <c r="G322" s="467">
        <v>0</v>
      </c>
      <c r="H322" s="467">
        <v>0</v>
      </c>
      <c r="I322" s="467">
        <v>0</v>
      </c>
      <c r="J322" s="467">
        <v>0</v>
      </c>
      <c r="K322" s="1667">
        <f t="shared" si="24"/>
        <v>31854</v>
      </c>
      <c r="L322" s="467">
        <v>33100</v>
      </c>
      <c r="M322" s="662"/>
      <c r="N322" s="662"/>
    </row>
    <row r="323" spans="1:14" s="671" customFormat="1" x14ac:dyDescent="0.2">
      <c r="A323" s="1515" t="s">
        <v>702</v>
      </c>
      <c r="B323" s="694" t="s">
        <v>285</v>
      </c>
      <c r="C323" s="467">
        <v>0</v>
      </c>
      <c r="D323" s="467">
        <v>0</v>
      </c>
      <c r="E323" s="467">
        <v>0</v>
      </c>
      <c r="F323" s="467">
        <v>0</v>
      </c>
      <c r="G323" s="467">
        <v>0</v>
      </c>
      <c r="H323" s="467">
        <v>0</v>
      </c>
      <c r="I323" s="467">
        <v>0</v>
      </c>
      <c r="J323" s="467">
        <v>0</v>
      </c>
      <c r="K323" s="1667">
        <f t="shared" si="24"/>
        <v>0</v>
      </c>
      <c r="L323" s="467">
        <v>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264527</v>
      </c>
      <c r="D325" s="467">
        <v>19000</v>
      </c>
      <c r="E325" s="467">
        <v>44250</v>
      </c>
      <c r="F325" s="467">
        <v>5610</v>
      </c>
      <c r="G325" s="467">
        <v>0</v>
      </c>
      <c r="H325" s="467">
        <v>0</v>
      </c>
      <c r="I325" s="467">
        <v>0</v>
      </c>
      <c r="J325" s="467">
        <v>0</v>
      </c>
      <c r="K325" s="1667">
        <f t="shared" si="24"/>
        <v>333387</v>
      </c>
      <c r="L325" s="467">
        <v>349330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5039</v>
      </c>
      <c r="F327" s="467">
        <v>0</v>
      </c>
      <c r="G327" s="467">
        <v>0</v>
      </c>
      <c r="H327" s="467">
        <v>0</v>
      </c>
      <c r="I327" s="467">
        <v>0</v>
      </c>
      <c r="J327" s="467">
        <v>0</v>
      </c>
      <c r="K327" s="1667">
        <f t="shared" si="24"/>
        <v>5039</v>
      </c>
      <c r="L327" s="467">
        <v>13000</v>
      </c>
      <c r="M327" s="662"/>
      <c r="N327" s="662"/>
    </row>
    <row r="328" spans="1:14" s="671" customFormat="1" x14ac:dyDescent="0.2">
      <c r="A328" s="1516" t="s">
        <v>472</v>
      </c>
      <c r="B328" s="687" t="s">
        <v>1132</v>
      </c>
      <c r="C328" s="473">
        <v>0</v>
      </c>
      <c r="D328" s="473">
        <v>0</v>
      </c>
      <c r="E328" s="473">
        <v>0</v>
      </c>
      <c r="F328" s="473">
        <v>0</v>
      </c>
      <c r="G328" s="473">
        <v>0</v>
      </c>
      <c r="H328" s="473">
        <v>0</v>
      </c>
      <c r="I328" s="473">
        <v>0</v>
      </c>
      <c r="J328" s="473">
        <v>0</v>
      </c>
      <c r="K328" s="1695">
        <f>SUM(C328:J328)</f>
        <v>0</v>
      </c>
      <c r="L328" s="473">
        <v>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264527</v>
      </c>
      <c r="D330" s="1666">
        <f t="shared" ref="D330:J330" si="25">SUM(D319:D329)</f>
        <v>19000</v>
      </c>
      <c r="E330" s="1666">
        <f t="shared" si="25"/>
        <v>129954</v>
      </c>
      <c r="F330" s="1666">
        <f t="shared" si="25"/>
        <v>5610</v>
      </c>
      <c r="G330" s="1666">
        <f t="shared" si="25"/>
        <v>0</v>
      </c>
      <c r="H330" s="1666">
        <f t="shared" si="25"/>
        <v>0</v>
      </c>
      <c r="I330" s="1666">
        <f t="shared" si="25"/>
        <v>0</v>
      </c>
      <c r="J330" s="1666">
        <f t="shared" si="25"/>
        <v>0</v>
      </c>
      <c r="K330" s="1666">
        <f>SUM(K319:K329)</f>
        <v>419091</v>
      </c>
      <c r="L330" s="1666">
        <f>SUM(L319:L329)</f>
        <v>441930</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264527</v>
      </c>
      <c r="D342" s="1666">
        <f>SUM(D330)</f>
        <v>19000</v>
      </c>
      <c r="E342" s="1666">
        <f>SUM(E330)</f>
        <v>129954</v>
      </c>
      <c r="F342" s="1666">
        <f>SUM(F330)</f>
        <v>5610</v>
      </c>
      <c r="G342" s="1666">
        <f>SUM(G330)</f>
        <v>0</v>
      </c>
      <c r="H342" s="1666">
        <f>SUM(H330,H334,H340)</f>
        <v>0</v>
      </c>
      <c r="I342" s="1666">
        <f>SUM(I330)</f>
        <v>0</v>
      </c>
      <c r="J342" s="1666">
        <f>SUM(J330)</f>
        <v>0</v>
      </c>
      <c r="K342" s="1666">
        <f>SUM(K330,K334,K340)</f>
        <v>419091</v>
      </c>
      <c r="L342" s="1673">
        <f>SUM(L330,L340,L341)</f>
        <v>441930</v>
      </c>
    </row>
    <row r="343" spans="1:14" ht="12.75" customHeight="1" thickTop="1" x14ac:dyDescent="0.2">
      <c r="A343" s="2162" t="s">
        <v>996</v>
      </c>
      <c r="B343" s="2163"/>
      <c r="C343" s="613"/>
      <c r="D343" s="613"/>
      <c r="E343" s="613"/>
      <c r="F343" s="613"/>
      <c r="G343" s="613"/>
      <c r="H343" s="613"/>
      <c r="I343" s="613"/>
      <c r="J343" s="613"/>
      <c r="K343" s="1680">
        <f>'Revenues 9-14'!J268-'Expenditures 15-22'!K342</f>
        <v>-9659</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2" t="s">
        <v>966</v>
      </c>
      <c r="B345" s="2153"/>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2459</v>
      </c>
      <c r="F348" s="466">
        <v>0</v>
      </c>
      <c r="G348" s="466">
        <v>0</v>
      </c>
      <c r="H348" s="466">
        <v>0</v>
      </c>
      <c r="I348" s="467">
        <v>0</v>
      </c>
      <c r="J348" s="467">
        <v>0</v>
      </c>
      <c r="K348" s="1667">
        <f>SUM(C348:J348)</f>
        <v>2459</v>
      </c>
      <c r="L348" s="466">
        <v>11000</v>
      </c>
    </row>
    <row r="349" spans="1:14" x14ac:dyDescent="0.2">
      <c r="A349" s="1500" t="s">
        <v>197</v>
      </c>
      <c r="B349" s="611">
        <v>2540</v>
      </c>
      <c r="C349" s="466">
        <v>0</v>
      </c>
      <c r="D349" s="466">
        <v>0</v>
      </c>
      <c r="E349" s="466">
        <v>15097</v>
      </c>
      <c r="F349" s="466">
        <v>0</v>
      </c>
      <c r="G349" s="466">
        <v>89994</v>
      </c>
      <c r="H349" s="466">
        <v>0</v>
      </c>
      <c r="I349" s="467">
        <v>0</v>
      </c>
      <c r="J349" s="467">
        <v>0</v>
      </c>
      <c r="K349" s="1667">
        <f>SUM(C349:J349)</f>
        <v>105091</v>
      </c>
      <c r="L349" s="466">
        <v>97500</v>
      </c>
    </row>
    <row r="350" spans="1:14" ht="12.75" customHeight="1" thickBot="1" x14ac:dyDescent="0.25">
      <c r="A350" s="1664" t="s">
        <v>719</v>
      </c>
      <c r="B350" s="1665" t="s">
        <v>35</v>
      </c>
      <c r="C350" s="1666">
        <f>SUM(C348:C349)</f>
        <v>0</v>
      </c>
      <c r="D350" s="1666">
        <f t="shared" ref="D350:L350" si="26">SUM(D348:D349)</f>
        <v>0</v>
      </c>
      <c r="E350" s="1666">
        <f t="shared" si="26"/>
        <v>17556</v>
      </c>
      <c r="F350" s="1666">
        <f t="shared" si="26"/>
        <v>0</v>
      </c>
      <c r="G350" s="1666">
        <f t="shared" si="26"/>
        <v>89994</v>
      </c>
      <c r="H350" s="1666">
        <f t="shared" si="26"/>
        <v>0</v>
      </c>
      <c r="I350" s="1666">
        <f t="shared" si="26"/>
        <v>0</v>
      </c>
      <c r="J350" s="1666">
        <f t="shared" si="26"/>
        <v>0</v>
      </c>
      <c r="K350" s="1666">
        <f t="shared" si="26"/>
        <v>107550</v>
      </c>
      <c r="L350" s="1666">
        <f t="shared" si="26"/>
        <v>108500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17556</v>
      </c>
      <c r="F352" s="1666">
        <f t="shared" si="27"/>
        <v>0</v>
      </c>
      <c r="G352" s="1666">
        <f t="shared" si="27"/>
        <v>89994</v>
      </c>
      <c r="H352" s="1666">
        <f t="shared" si="27"/>
        <v>0</v>
      </c>
      <c r="I352" s="1666">
        <f t="shared" si="27"/>
        <v>0</v>
      </c>
      <c r="J352" s="1666">
        <f t="shared" si="27"/>
        <v>0</v>
      </c>
      <c r="K352" s="1666">
        <f t="shared" si="27"/>
        <v>107550</v>
      </c>
      <c r="L352" s="1666">
        <f t="shared" si="27"/>
        <v>108500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17556</v>
      </c>
      <c r="F367" s="1666">
        <f t="shared" si="28"/>
        <v>0</v>
      </c>
      <c r="G367" s="1666">
        <f t="shared" si="28"/>
        <v>89994</v>
      </c>
      <c r="H367" s="1666">
        <f t="shared" si="28"/>
        <v>0</v>
      </c>
      <c r="I367" s="1666">
        <f t="shared" si="28"/>
        <v>0</v>
      </c>
      <c r="J367" s="1666">
        <f t="shared" si="28"/>
        <v>0</v>
      </c>
      <c r="K367" s="1666">
        <f t="shared" si="28"/>
        <v>107550</v>
      </c>
      <c r="L367" s="1666">
        <f t="shared" si="28"/>
        <v>108500</v>
      </c>
    </row>
    <row r="368" spans="1:14" ht="13.5" thickTop="1" x14ac:dyDescent="0.2">
      <c r="A368" s="2176" t="s">
        <v>996</v>
      </c>
      <c r="B368" s="2177"/>
      <c r="C368" s="651"/>
      <c r="D368" s="651"/>
      <c r="E368" s="623"/>
      <c r="F368" s="623"/>
      <c r="G368" s="623"/>
      <c r="H368" s="623"/>
      <c r="I368" s="623"/>
      <c r="J368" s="620"/>
      <c r="K368" s="1667">
        <f>'Revenues 9-14'!K268-'Expenditures 15-22'!K367</f>
        <v>-75326</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 right="0.15" top="0.86"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documentManagement/types"/>
    <ds:schemaRef ds:uri="4d435f69-8686-490b-bd6d-b153bf22ab50"/>
    <ds:schemaRef ds:uri="http://schemas.microsoft.com/office/2006/metadata/properties"/>
    <ds:schemaRef ds:uri="http://purl.org/dc/dcmitype/"/>
    <ds:schemaRef ds:uri="http://www.w3.org/XML/1998/namespace"/>
    <ds:schemaRef ds:uri="http://purl.org/dc/terms/"/>
    <ds:schemaRef ds:uri="6ce3111e-7420-4802-b50a-75d4e9a0b980"/>
    <ds:schemaRef ds:uri="http://schemas.microsoft.com/office/infopath/2007/PartnerControls"/>
    <ds:schemaRef ds:uri="http://schemas.openxmlformats.org/package/2006/metadata/core-properties"/>
    <ds:schemaRef ds:uri="d21dc803-237d-4c68-8692-8d731fd29118"/>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2019-09-27T22:03:58Z</cp:lastPrinted>
  <dcterms:created xsi:type="dcterms:W3CDTF">2003-10-29T19:06:34Z</dcterms:created>
  <dcterms:modified xsi:type="dcterms:W3CDTF">2019-11-21T17:18:58Z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