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C11DB39-ADDD-4589-995B-18758E48C15B}"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5" r:id="rId31"/>
    <sheet name="Finding 2019-002" sheetId="186" r:id="rId32"/>
    <sheet name="SF&amp;QC Sec-2" sheetId="175" r:id="rId33"/>
    <sheet name="SF&amp;QC Sec-3" sheetId="176" r:id="rId34"/>
    <sheet name="SSPAF" sheetId="177" r:id="rId35"/>
    <sheet name="CAP 2019-001" sheetId="187" r:id="rId36"/>
    <sheet name="CAP 2019-002" sheetId="188" r:id="rId37"/>
  </sheets>
  <definedNames>
    <definedName name="goof" localSheetId="36">#REF!</definedName>
    <definedName name="goof">#REF!</definedName>
    <definedName name="oops" localSheetId="36">#REF!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8" i="12" l="1"/>
  <c r="J6" i="12" l="1"/>
  <c r="J8" i="12"/>
  <c r="E28" i="188" l="1"/>
  <c r="B13" i="188"/>
  <c r="B11" i="188"/>
  <c r="B1" i="188"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87" s="1"/>
  <c r="B12" i="188" s="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E27" i="108"/>
  <c r="G27" i="108"/>
  <c r="F31" i="108"/>
  <c r="G28" i="108"/>
  <c r="E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F72" i="34" l="1"/>
  <c r="G33" i="108"/>
  <c r="D54" i="36"/>
  <c r="F71" i="34"/>
  <c r="H28" i="118"/>
  <c r="J49" i="8"/>
  <c r="B4172" i="106" s="1"/>
  <c r="D4172" i="106" s="1"/>
  <c r="D69" i="36"/>
  <c r="D24" i="37"/>
  <c r="B4270" i="106" s="1"/>
  <c r="D4270" i="106" s="1"/>
  <c r="F50" i="34"/>
  <c r="F36" i="34"/>
  <c r="F46" i="34"/>
  <c r="F42" i="34"/>
  <c r="L15" i="11"/>
  <c r="B3459" i="106" s="1"/>
  <c r="D3459" i="106" s="1"/>
  <c r="L5" i="11"/>
  <c r="B2056" i="106" s="1"/>
  <c r="D2056" i="106" s="1"/>
  <c r="J23" i="12"/>
  <c r="J24" i="12" s="1"/>
  <c r="F49" i="34"/>
  <c r="F64" i="34"/>
  <c r="F36" i="108"/>
  <c r="B6289" i="106"/>
  <c r="D6289" i="106" s="1"/>
  <c r="H76" i="4"/>
  <c r="B3298" i="106" s="1"/>
  <c r="D3298" i="106" s="1"/>
  <c r="G30" i="108"/>
  <c r="J210" i="29"/>
  <c r="B7072" i="106" s="1"/>
  <c r="D7072" i="106" s="1"/>
  <c r="B2724" i="106"/>
  <c r="D2724" i="106" s="1"/>
  <c r="H112" i="29"/>
  <c r="B7018" i="106" s="1"/>
  <c r="D7018" i="106" s="1"/>
  <c r="B7078" i="106"/>
  <c r="D7078" i="106" s="1"/>
  <c r="I210" i="29"/>
  <c r="B7071" i="106" s="1"/>
  <c r="D7071"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B7270" i="106"/>
  <c r="D7254" i="106" l="1"/>
  <c r="D7251" i="106"/>
  <c r="D7252" i="106"/>
  <c r="F66" i="34"/>
  <c r="D7256" i="106"/>
  <c r="B7730" i="106"/>
  <c r="D7730" i="106" s="1"/>
  <c r="C367" i="29"/>
  <c r="B3622" i="106" s="1"/>
  <c r="D3622" i="106" s="1"/>
  <c r="B1328" i="106"/>
  <c r="D1328" i="106" s="1"/>
  <c r="J16" i="4"/>
  <c r="B6226" i="106" s="1"/>
  <c r="D6226"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8" i="146" l="1"/>
  <c r="D10" i="146"/>
  <c r="F175" i="34"/>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<sst xmlns="http://schemas.openxmlformats.org/spreadsheetml/2006/main" count="5207" uniqueCount="2157">
  <si>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</si>
  <si>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</si>
  <si>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</si>
  <si>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</si>
  <si>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</si>
  <si>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</si>
  <si>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</si>
  <si>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</si>
  <si>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</si>
  <si>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</si>
  <si>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</si>
  <si>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</si>
  <si>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</si>
  <si>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</si>
  <si>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</si>
  <si>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</si>
  <si>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</si>
  <si>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</si>
  <si>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</si>
  <si>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</si>
  <si>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</si>
  <si>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</si>
  <si>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</si>
  <si>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</si>
  <si>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</si>
  <si>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</si>
  <si>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</si>
  <si>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</si>
  <si>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</si>
  <si>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</si>
  <si>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</si>
  <si>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</si>
  <si>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</si>
  <si>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</si>
  <si>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</si>
  <si>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</si>
  <si>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</si>
  <si>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</si>
  <si>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</si>
  <si>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</si>
  <si>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</si>
  <si>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</si>
  <si>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</si>
  <si>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</si>
  <si>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</si>
  <si>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</si>
  <si>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</si>
  <si>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</si>
  <si>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</si>
  <si>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</si>
  <si>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</si>
  <si>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</si>
  <si>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</si>
  <si>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</si>
  <si>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</si>
  <si>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</si>
  <si>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</si>
  <si>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</si>
  <si>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</si>
  <si>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</si>
  <si>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</si>
  <si>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</si>
  <si>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</si>
  <si>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</si>
  <si>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</si>
  <si>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</si>
  <si>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</si>
  <si>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</si>
  <si>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</si>
  <si>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</si>
  <si>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</si>
  <si>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</si>
  <si>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</si>
  <si>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</si>
  <si>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</si>
  <si>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</si>
  <si>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</si>
  <si>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</si>
  <si>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</si>
  <si>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</si>
  <si>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</si>
  <si>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</si>
  <si>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</si>
  <si>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</si>
  <si>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</si>
  <si>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</si>
  <si>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</si>
  <si>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</si>
  <si>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</si>
  <si>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</si>
  <si>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</si>
  <si>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</si>
  <si>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</si>
  <si>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</si>
  <si>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</si>
  <si>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</si>
  <si>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</si>
  <si>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</si>
  <si>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</si>
  <si>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</si>
  <si>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</si>
  <si>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</si>
  <si>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</si>
  <si>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</si>
  <si>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</si>
  <si>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</si>
  <si>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</si>
  <si>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</si>
  <si>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</si>
  <si>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</si>
  <si>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</si>
  <si>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</si>
  <si>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</si>
  <si>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</si>
  <si>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</si>
  <si>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</si>
  <si>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</si>
  <si>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</si>
  <si>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</si>
  <si>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</si>
  <si>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</si>
  <si>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</si>
  <si>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</si>
  <si>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</si>
  <si>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</si>
  <si>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</si>
  <si>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</si>
  <si>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</si>
  <si>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</si>
  <si>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</si>
  <si>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</si>
  <si>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</si>
  <si>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</si>
  <si>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</si>
  <si>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</si>
  <si>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</si>
  <si>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</si>
  <si>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</si>
  <si>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</si>
  <si>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</si>
  <si>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</si>
  <si>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</si>
  <si>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</si>
  <si>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</si>
  <si>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</si>
  <si>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</si>
  <si>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</si>
  <si>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</si>
  <si>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</si>
  <si>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</si>
  <si>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</si>
  <si>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</si>
  <si>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</si>
  <si>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</si>
  <si>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</si>
  <si>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</si>
  <si>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</si>
  <si>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</si>
  <si>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</si>
  <si>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</si>
  <si>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</si>
  <si>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</si>
  <si>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</si>
  <si>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</si>
  <si>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</si>
  <si>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</si>
  <si>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</si>
  <si>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</si>
  <si>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</si>
  <si>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</si>
  <si>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</si>
  <si>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</si>
  <si>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</si>
  <si>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</si>
  <si>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</si>
  <si>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</si>
  <si>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</si>
  <si>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</si>
  <si>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</si>
  <si>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</si>
  <si>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</si>
  <si>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</si>
  <si>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</si>
  <si>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</si>
  <si>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</si>
  <si>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</si>
  <si>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</si>
  <si>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</si>
  <si>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</si>
  <si>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</si>
  <si>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</si>
  <si>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</si>
  <si>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</si>
  <si>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</si>
  <si>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</si>
  <si>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</si>
  <si>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</si>
  <si>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</si>
  <si>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</si>
  <si>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</si>
  <si>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</si>
  <si>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</si>
  <si>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</si>
  <si>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</si>
  <si>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</si>
  <si>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</si>
  <si>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</si>
  <si>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</si>
  <si>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</si>
  <si>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</si>
  <si>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</si>
  <si>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</si>
  <si>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</si>
  <si>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</si>
  <si>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</si>
  <si>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</si>
  <si>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</si>
  <si>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</si>
  <si>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</si>
  <si>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</si>
  <si>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</si>
  <si>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</si>
  <si>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</si>
  <si>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</si>
  <si>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</si>
  <si>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</si>
  <si>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</si>
  <si>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</si>
  <si>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</si>
  <si>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</si>
  <si>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</si>
  <si>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</si>
  <si>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</si>
  <si>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</si>
  <si>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</si>
  <si>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</si>
  <si>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</si>
  <si>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</si>
  <si>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</si>
  <si>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</si>
  <si>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</si>
  <si>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</si>
  <si>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</si>
  <si>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</si>
  <si>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</si>
  <si>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</si>
  <si>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</si>
  <si>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</si>
  <si>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</si>
  <si>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</si>
  <si>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</si>
  <si>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</si>
  <si>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</si>
  <si>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</si>
  <si>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</si>
  <si>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</si>
  <si>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</si>
  <si>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</si>
  <si>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</si>
  <si>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</si>
  <si>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</si>
  <si>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</si>
  <si>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</si>
  <si>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</si>
  <si>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</si>
  <si>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</si>
  <si>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</si>
  <si>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</si>
  <si>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</si>
  <si>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</si>
  <si>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</si>
  <si>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</si>
  <si>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</si>
  <si>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</si>
  <si>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</si>
  <si>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</si>
  <si>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</si>
  <si>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</si>
  <si>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</si>
  <si>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</si>
  <si>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</si>
  <si>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</si>
  <si>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</si>
  <si>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</si>
  <si>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</si>
  <si>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</si>
  <si>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</si>
  <si>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</si>
  <si>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</si>
  <si>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</si>
  <si>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</si>
  <si>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</si>
  <si>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</si>
  <si>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</si>
  <si>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</si>
  <si>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</si>
  <si>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</si>
  <si>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</si>
  <si>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</si>
  <si>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</si>
  <si>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</si>
  <si>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</si>
  <si>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</si>
  <si>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</si>
  <si>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</si>
  <si>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</si>
  <si>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</si>
  <si>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</si>
  <si>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</si>
  <si>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</si>
  <si>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</si>
  <si>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</si>
  <si>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</si>
  <si>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</si>
  <si>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</si>
  <si>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</si>
  <si>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</si>
  <si>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</si>
  <si>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</si>
  <si>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</si>
  <si>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</si>
  <si>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</si>
  <si>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</si>
  <si>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</si>
  <si>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</si>
  <si>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</si>
  <si>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</si>
  <si>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</si>
  <si>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</si>
  <si>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</si>
  <si>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</si>
  <si>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</si>
  <si>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</si>
  <si>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</si>
  <si>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</si>
  <si>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</si>
  <si>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</si>
  <si>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</si>
  <si>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</si>
  <si>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</si>
  <si>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</si>
  <si>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</si>
  <si>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</si>
  <si>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</si>
  <si>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</si>
  <si>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</si>
  <si>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</si>
  <si>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</si>
  <si>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</si>
  <si>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</si>
  <si>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</si>
  <si>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</si>
  <si>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</si>
  <si>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</si>
  <si>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</si>
  <si>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</si>
  <si>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</si>
  <si>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</si>
  <si>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</si>
  <si>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</si>
  <si>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</si>
  <si>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</si>
  <si>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</si>
  <si>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</si>
  <si>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</si>
  <si>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</si>
  <si>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</si>
  <si>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</si>
  <si>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</si>
  <si>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</si>
  <si>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</si>
  <si>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</si>
  <si>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</si>
  <si>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</si>
  <si>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</si>
  <si>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</si>
  <si>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</si>
  <si>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</si>
  <si>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</si>
  <si>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</si>
  <si>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</si>
  <si>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</si>
  <si>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</si>
  <si>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</si>
  <si>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</si>
  <si>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</si>
  <si>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</si>
  <si>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</si>
  <si>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</si>
  <si>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</si>
  <si>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</si>
  <si>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</si>
  <si>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</si>
  <si>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</si>
  <si>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</si>
  <si>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</si>
  <si>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</si>
  <si>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</si>
  <si>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</si>
  <si>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</si>
  <si>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</si>
  <si>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</si>
  <si>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</si>
  <si>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</si>
  <si>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</si>
  <si>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</si>
  <si>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</si>
  <si>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</si>
  <si>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</si>
  <si>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</si>
  <si>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</si>
  <si>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</si>
  <si>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</si>
  <si>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</si>
  <si>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</si>
  <si>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</si>
  <si>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</si>
  <si>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</si>
  <si>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</si>
  <si>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</si>
  <si>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</si>
  <si>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</si>
  <si>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</si>
  <si>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</si>
  <si>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</si>
  <si>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</si>
  <si>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</si>
  <si>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</si>
  <si>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</si>
  <si>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</si>
  <si>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</si>
  <si>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</si>
  <si>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</si>
  <si>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</si>
  <si>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</si>
  <si>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</si>
  <si>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</si>
  <si>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</si>
  <si>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</si>
  <si>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</si>
  <si>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</si>
  <si>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</si>
  <si>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</si>
  <si>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</si>
  <si>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</si>
  <si>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</si>
  <si>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</si>
  <si>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</si>
  <si>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</si>
  <si>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</si>
  <si>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</si>
  <si>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</si>
  <si>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</si>
  <si>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</si>
  <si>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</si>
  <si>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</si>
  <si>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</si>
  <si>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</si>
  <si>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</si>
  <si>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</si>
  <si>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</si>
  <si>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</si>
  <si>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</si>
  <si>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</si>
  <si>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</si>
  <si>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</si>
  <si>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</si>
  <si>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</si>
  <si>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</si>
  <si>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</si>
  <si>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</si>
  <si>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</si>
  <si>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</si>
  <si>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</si>
  <si>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</si>
  <si>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</si>
  <si>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</si>
  <si>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</si>
  <si>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</si>
  <si>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</si>
  <si>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</si>
  <si>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</si>
  <si>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</si>
  <si>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</si>
  <si>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</si>
  <si>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</si>
  <si>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</si>
  <si>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</si>
  <si>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</si>
  <si>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</si>
  <si>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</si>
  <si>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</si>
  <si>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</si>
  <si>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</si>
  <si>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</si>
  <si>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</si>
  <si>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</si>
  <si>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</si>
  <si>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</si>
  <si>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</si>
  <si>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</si>
  <si>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</si>
  <si>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</si>
  <si>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</si>
  <si>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</si>
  <si>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</si>
  <si>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</si>
  <si>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</si>
  <si>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</si>
  <si>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</si>
  <si>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</si>
  <si>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</si>
  <si>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</si>
  <si>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</si>
  <si>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</si>
  <si>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</si>
  <si>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</si>
  <si>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</si>
  <si>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</si>
  <si>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</si>
  <si>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</si>
  <si>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</si>
  <si>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</si>
  <si>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</si>
  <si>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</si>
  <si>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</si>
  <si>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</si>
  <si>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</si>
  <si>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</si>
  <si>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</si>
  <si>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</si>
  <si>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</si>
  <si>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</si>
  <si>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</si>
  <si>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</si>
  <si>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</si>
  <si>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</si>
  <si>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</si>
  <si>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</si>
  <si>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</si>
  <si>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</si>
  <si>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</si>
  <si>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</si>
  <si>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</si>
  <si>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</si>
  <si>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</si>
  <si>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</si>
  <si>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</si>
  <si>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</si>
  <si>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</si>
  <si>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</si>
  <si>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</si>
  <si>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</si>
  <si>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</si>
  <si>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</si>
  <si>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</si>
  <si>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</si>
  <si>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</si>
  <si>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</si>
  <si>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</si>
  <si>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</si>
  <si>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</si>
  <si>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</si>
  <si>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</si>
  <si>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</si>
  <si>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</si>
  <si>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</si>
  <si>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</si>
  <si>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</si>
  <si>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</si>
  <si>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</si>
  <si>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</si>
  <si>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</si>
  <si>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</si>
  <si>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</si>
  <si>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</si>
  <si>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</si>
  <si>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</si>
  <si>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</si>
  <si>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</si>
  <si>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</si>
  <si>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</si>
  <si>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</si>
  <si>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</si>
  <si>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</si>
  <si>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</si>
  <si>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</si>
  <si>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</si>
  <si>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</si>
  <si>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</si>
  <si>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</si>
  <si>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</si>
  <si>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</si>
  <si>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</si>
  <si>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</si>
  <si>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</si>
  <si>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</si>
  <si>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</si>
  <si>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</si>
  <si>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</si>
  <si>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</si>
  <si>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</si>
  <si>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</si>
  <si>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</si>
  <si>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</si>
  <si>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</si>
  <si>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</si>
  <si>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</si>
  <si>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</si>
  <si>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</si>
  <si>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</si>
  <si>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</si>
  <si>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</si>
  <si>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</si>
  <si>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</si>
  <si>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</si>
  <si>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</si>
  <si>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</si>
  <si>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</si>
  <si>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</si>
  <si>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</si>
  <si>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</si>
  <si>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</si>
  <si>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</si>
  <si>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</si>
  <si>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</si>
  <si>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</si>
  <si>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</si>
  <si>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</si>
  <si>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</si>
  <si>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</si>
  <si>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</si>
  <si>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</si>
  <si>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</si>
  <si>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</si>
  <si>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</si>
  <si>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</si>
  <si>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</si>
  <si>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</si>
  <si>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</si>
  <si>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</si>
  <si>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</si>
  <si>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</si>
  <si>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</si>
  <si>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</si>
  <si>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</si>
  <si>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</si>
  <si>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</si>
  <si>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</si>
  <si>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</si>
  <si>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</si>
  <si>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</si>
  <si>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</si>
  <si>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</si>
  <si>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</si>
  <si>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</si>
  <si>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</si>
  <si>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</si>
  <si>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</si>
  <si>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</si>
  <si>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</si>
  <si>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</si>
  <si>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</si>
  <si>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</si>
  <si>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</si>
  <si>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</si>
  <si>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</si>
  <si>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</si>
  <si>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</si>
  <si>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</si>
  <si>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</si>
  <si>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</si>
  <si>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</si>
  <si>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</si>
  <si>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</si>
  <si>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</si>
  <si>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</si>
  <si>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</si>
  <si>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</si>
  <si>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</si>
  <si>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</si>
  <si>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</si>
  <si>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</si>
  <si>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</si>
  <si>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</si>
  <si>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</si>
  <si>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</si>
  <si>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</si>
  <si>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</si>
  <si>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</si>
  <si>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</si>
  <si>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</si>
  <si>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</si>
  <si>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</si>
  <si>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</si>
  <si>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</si>
  <si>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</si>
  <si>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</si>
  <si>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</si>
  <si>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</si>
  <si>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</si>
  <si>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</si>
  <si>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</si>
  <si>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</si>
  <si>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</si>
  <si>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</si>
  <si>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</si>
  <si>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</si>
  <si>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</si>
  <si>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</si>
  <si>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</si>
  <si>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</si>
  <si>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</si>
  <si>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</si>
  <si>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</si>
  <si>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</si>
  <si>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</si>
  <si>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</si>
  <si>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</si>
  <si>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</si>
  <si>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</si>
  <si>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</si>
  <si>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</si>
  <si>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</si>
  <si>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</si>
  <si>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</si>
  <si>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</si>
  <si>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</si>
  <si>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</si>
  <si>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</si>
  <si>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</si>
  <si>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</si>
  <si>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</si>
  <si>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</si>
  <si>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</si>
  <si>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</si>
  <si>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</si>
  <si>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</si>
  <si>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</si>
  <si>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</si>
  <si>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</si>
  <si>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</si>
  <si>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</si>
  <si>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</si>
  <si>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</si>
  <si>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</si>
  <si>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</si>
  <si>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</si>
  <si>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</si>
  <si>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</si>
  <si>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</si>
  <si>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</si>
  <si>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</si>
  <si>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</si>
  <si>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</si>
  <si>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</si>
  <si>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</si>
  <si>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</si>
  <si>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</si>
  <si>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</si>
  <si>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</si>
  <si>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</si>
  <si>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</si>
  <si>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</si>
  <si>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</si>
  <si>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</si>
  <si>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</si>
  <si>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</si>
  <si>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</si>
  <si>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</si>
  <si>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</si>
  <si>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</si>
  <si>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</si>
  <si>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</si>
  <si>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</si>
  <si>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</si>
  <si>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</si>
  <si>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</si>
  <si>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</si>
  <si>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</si>
  <si>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</si>
  <si>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</si>
  <si>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</si>
  <si>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</si>
  <si>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</si>
  <si>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</si>
  <si>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</si>
  <si>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</si>
  <si>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</si>
  <si>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</si>
  <si>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</si>
  <si>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</si>
  <si>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</si>
  <si>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</si>
  <si>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</si>
  <si>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</si>
  <si>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</si>
  <si>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</si>
  <si>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</si>
  <si>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</si>
  <si>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</si>
  <si>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</si>
  <si>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</si>
  <si>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</si>
  <si>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</si>
  <si>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</si>
  <si>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</si>
  <si>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</si>
  <si>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</si>
  <si>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</si>
  <si>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</si>
  <si>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</si>
  <si>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</si>
  <si>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</si>
  <si>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</si>
  <si>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</si>
  <si>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</si>
  <si>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</si>
  <si>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</si>
  <si>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</si>
  <si>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</si>
  <si>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</si>
  <si>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</si>
  <si>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</si>
  <si>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</si>
  <si>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</si>
  <si>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</si>
  <si>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</si>
  <si>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</si>
  <si>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</si>
  <si>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</si>
  <si>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</si>
  <si>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</si>
  <si>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</si>
  <si>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</si>
  <si>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</si>
  <si>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</si>
  <si>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</si>
  <si>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</si>
  <si>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</si>
  <si>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</si>
  <si>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</si>
  <si>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</si>
  <si>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</si>
  <si>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</si>
  <si>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</si>
  <si>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</si>
  <si>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</si>
  <si>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</si>
  <si>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</si>
  <si>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</si>
  <si>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</si>
  <si>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</si>
  <si>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</si>
  <si>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</si>
  <si>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</si>
  <si>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</si>
  <si>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</si>
  <si>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</si>
  <si>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</si>
  <si>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</si>
  <si>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</si>
  <si>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</si>
  <si>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</si>
  <si>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</si>
  <si>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</si>
  <si>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</si>
  <si>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</si>
  <si>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</si>
  <si>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</si>
  <si>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</si>
  <si>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</si>
  <si>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</si>
  <si>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</si>
  <si>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</si>
  <si>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</si>
  <si>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</si>
  <si>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</si>
  <si>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</si>
  <si>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</si>
  <si>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</si>
  <si>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</si>
  <si>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</si>
  <si>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</si>
  <si>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</si>
  <si>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</si>
  <si>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</si>
  <si>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</si>
  <si>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</si>
  <si>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</si>
  <si>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</si>
  <si>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</si>
  <si>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</si>
  <si>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</si>
  <si>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</si>
  <si>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</si>
  <si>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</si>
  <si>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</si>
  <si>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</si>
  <si>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</si>
  <si>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</si>
  <si>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</si>
  <si>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</si>
  <si>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</si>
  <si>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</si>
  <si>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</si>
  <si>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</si>
  <si>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</si>
  <si>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</si>
  <si>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</si>
  <si>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</si>
  <si>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</si>
  <si>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</si>
  <si>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</si>
  <si>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</si>
  <si>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</si>
  <si>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</si>
  <si>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</si>
  <si>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</si>
  <si>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</si>
  <si>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</si>
  <si>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</si>
  <si>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</si>
  <si>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</si>
  <si>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</si>
  <si>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</si>
  <si>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</si>
  <si>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</si>
  <si>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</si>
  <si>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</si>
  <si>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</si>
  <si>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</si>
  <si>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</si>
  <si>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</si>
  <si>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</si>
  <si>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</si>
  <si>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</si>
  <si>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</si>
  <si>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</si>
  <si>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</si>
  <si>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</si>
  <si>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</si>
  <si>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</si>
  <si>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</si>
  <si>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</si>
  <si>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</si>
  <si>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</si>
  <si>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</si>
  <si>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</si>
  <si>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</si>
  <si>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</si>
  <si>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</si>
  <si>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</si>
  <si>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</si>
  <si>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</si>
  <si>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</si>
  <si>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</si>
  <si>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</si>
  <si>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</si>
  <si>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</si>
  <si>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</si>
  <si>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</si>
  <si>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</si>
  <si>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</si>
  <si>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</si>
  <si>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</si>
  <si>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</si>
  <si>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</si>
  <si>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</si>
  <si>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</si>
  <si>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</si>
  <si>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</si>
  <si>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</si>
  <si>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</si>
  <si>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</si>
  <si>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</si>
  <si>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</si>
  <si>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</si>
  <si>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</si>
  <si>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</si>
  <si>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</si>
  <si>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</si>
  <si>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</si>
  <si>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</si>
  <si>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</si>
  <si>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</si>
  <si>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</si>
  <si>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</si>
  <si>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</si>
  <si>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</si>
  <si>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</si>
  <si>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</si>
  <si>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</si>
  <si>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</si>
  <si>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</si>
  <si>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</si>
  <si>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</si>
  <si>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</si>
  <si>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</si>
  <si>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</si>
  <si>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</si>
  <si>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</si>
  <si>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</si>
  <si>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</si>
  <si>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</si>
  <si>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</si>
  <si>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</si>
  <si>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</si>
  <si>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</si>
  <si>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</si>
  <si>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</si>
  <si>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</si>
  <si>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</si>
  <si>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</si>
  <si>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</si>
  <si>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</si>
  <si>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</si>
  <si>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</si>
  <si>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</si>
  <si>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</si>
  <si>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</si>
  <si>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</si>
  <si>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</si>
  <si>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</si>
  <si>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</si>
  <si>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</si>
  <si>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</si>
  <si>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</si>
  <si>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</si>
  <si>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</si>
  <si>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</si>
  <si>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</si>
  <si>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</si>
  <si>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</si>
  <si>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</si>
  <si>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</si>
  <si>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</si>
  <si>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</si>
  <si>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</si>
  <si>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</si>
  <si>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</si>
  <si>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</si>
  <si>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</si>
  <si>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</si>
  <si>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</si>
  <si>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</si>
  <si>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</si>
  <si>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</si>
  <si>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</si>
  <si>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</si>
  <si>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</si>
  <si>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</si>
  <si>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</si>
  <si>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</si>
  <si>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</si>
  <si>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</si>
  <si>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</si>
  <si>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</si>
  <si>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</si>
  <si>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</si>
  <si>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</si>
  <si>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</si>
  <si>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</si>
  <si>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</si>
  <si>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</si>
  <si>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</si>
  <si>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</si>
  <si>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</si>
  <si>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</si>
  <si>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</si>
  <si>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</si>
  <si>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</si>
  <si>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</si>
  <si>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</si>
  <si>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</si>
  <si>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</si>
  <si>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</si>
  <si>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</si>
  <si>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</si>
  <si>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</si>
  <si>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</si>
  <si>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</si>
  <si>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</si>
  <si>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</si>
  <si>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</si>
  <si>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</si>
  <si>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</si>
  <si>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</si>
  <si>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</si>
  <si>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</si>
  <si>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</si>
  <si>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</si>
  <si>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</si>
  <si>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</si>
  <si>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</si>
  <si>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</si>
  <si>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</si>
  <si>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</si>
  <si>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</si>
  <si>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</si>
  <si>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</si>
  <si>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</si>
  <si>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</si>
  <si>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</si>
  <si>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</si>
  <si>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</si>
  <si>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</si>
  <si>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</si>
  <si>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</si>
  <si>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</si>
  <si>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</si>
  <si>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</si>
  <si>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</si>
  <si>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</si>
  <si>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</si>
  <si>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</si>
  <si>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</si>
  <si>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</si>
  <si>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</si>
  <si>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</si>
  <si>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</si>
  <si>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</si>
  <si>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</si>
  <si>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</si>
  <si>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</si>
  <si>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</si>
  <si>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</si>
  <si>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</si>
  <si>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</si>
  <si>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</si>
  <si>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</si>
  <si>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</si>
  <si>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</si>
  <si>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</si>
  <si>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</si>
  <si>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</si>
  <si>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</si>
  <si>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</si>
  <si>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</si>
  <si>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</si>
  <si>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</si>
  <si>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</si>
  <si>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</si>
  <si>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</si>
  <si>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</si>
  <si>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</si>
  <si>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</si>
  <si>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</si>
  <si>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</si>
  <si>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</si>
  <si>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</si>
  <si>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</si>
  <si>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</si>
  <si>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</si>
  <si>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</si>
  <si>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</si>
  <si>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</si>
  <si>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</si>
  <si>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</si>
  <si>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</si>
  <si>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</si>
  <si>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</si>
  <si>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</si>
  <si>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</si>
  <si>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</si>
  <si>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</si>
  <si>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</si>
  <si>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</si>
  <si>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</si>
  <si>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</si>
  <si>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</si>
  <si>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</si>
  <si>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</si>
  <si>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</si>
  <si>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</si>
  <si>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</si>
  <si>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</si>
  <si>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</si>
  <si>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</si>
  <si>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</si>
  <si>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</si>
  <si>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</si>
  <si>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</si>
  <si>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</si>
  <si>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</si>
  <si>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</si>
  <si>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</si>
  <si>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</si>
  <si>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</si>
  <si>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</si>
  <si>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</si>
  <si>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</si>
  <si>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</si>
  <si>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</si>
  <si>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</si>
  <si>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</si>
  <si>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</si>
  <si>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</si>
  <si>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</si>
  <si>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</si>
  <si>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</si>
  <si>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</si>
  <si>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</si>
  <si>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</si>
  <si>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</si>
  <si>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</si>
  <si>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</si>
  <si>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</si>
  <si>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</si>
  <si>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</si>
  <si>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</si>
  <si>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</si>
  <si>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</si>
  <si>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</si>
  <si>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</si>
  <si>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</si>
  <si>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</si>
  <si>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</si>
  <si>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</si>
  <si>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</si>
  <si>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</si>
  <si>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</si>
  <si>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</si>
  <si>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</si>
  <si>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</si>
  <si>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</si>
  <si>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</si>
  <si>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</si>
  <si>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</si>
  <si>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</si>
  <si>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</si>
  <si>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</si>
  <si>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</si>
  <si>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</si>
  <si>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</si>
  <si>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</si>
  <si>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</si>
  <si>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</si>
  <si>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</si>
  <si>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</si>
  <si>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</si>
  <si>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</si>
  <si>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</si>
  <si>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</si>
  <si>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</si>
  <si>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</si>
  <si>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</si>
  <si>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</si>
  <si>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</si>
  <si>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</si>
  <si>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</si>
  <si>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</si>
  <si>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</si>
  <si>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</si>
  <si>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</si>
  <si>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</si>
  <si>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</si>
  <si>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</si>
  <si>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</si>
  <si>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</si>
  <si>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</si>
  <si>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</si>
  <si>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</si>
  <si>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</si>
  <si>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</si>
  <si>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</si>
  <si>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</si>
  <si>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</si>
  <si>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</si>
  <si>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</si>
  <si>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</si>
  <si>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</si>
  <si>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</si>
  <si>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</si>
  <si>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</si>
  <si>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</si>
  <si>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</si>
  <si>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</si>
  <si>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</si>
  <si>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</si>
  <si>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</si>
  <si>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</si>
  <si>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</si>
  <si>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</si>
  <si>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</si>
  <si>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</si>
  <si>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</si>
  <si>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</si>
  <si>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</si>
  <si>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</si>
  <si>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</si>
  <si>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</si>
  <si>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</si>
  <si>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</si>
  <si>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</si>
  <si>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</si>
  <si>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</si>
  <si>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</si>
  <si>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</si>
  <si>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</si>
  <si>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</si>
  <si>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</si>
  <si>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</si>
  <si>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</si>
  <si>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</si>
  <si>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</si>
  <si>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</si>
  <si>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</si>
  <si>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</si>
  <si>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</si>
  <si>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</si>
  <si>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</si>
  <si>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</si>
  <si>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</si>
  <si>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</si>
  <si>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</si>
  <si>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</si>
  <si>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</si>
  <si>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</si>
  <si>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</si>
  <si>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</si>
  <si>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</si>
  <si>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</si>
  <si>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</si>
  <si>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</si>
  <si>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</si>
  <si>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</si>
  <si>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</si>
  <si>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</si>
  <si>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</si>
  <si>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</si>
  <si>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</si>
  <si>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</si>
  <si>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</si>
  <si>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</si>
  <si>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</si>
  <si>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</si>
  <si>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</si>
  <si>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</si>
  <si>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</si>
  <si>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</si>
  <si>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</si>
  <si>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</si>
  <si>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</si>
  <si>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</si>
  <si>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</si>
  <si>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</si>
  <si>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</si>
  <si>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</si>
  <si>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</si>
  <si>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</si>
  <si>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</si>
  <si>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</si>
  <si>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</si>
  <si>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</si>
  <si>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</si>
  <si>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</si>
  <si>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</si>
  <si>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</si>
  <si>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</si>
  <si>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</si>
  <si>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</si>
  <si>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</si>
  <si>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</si>
  <si>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</si>
  <si>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</si>
  <si>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</si>
  <si>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</si>
  <si>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</si>
  <si>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</si>
  <si>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</si>
  <si>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</si>
  <si>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</si>
  <si>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</si>
  <si>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</si>
  <si>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</si>
  <si>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</si>
  <si>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</si>
  <si>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</si>
  <si>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</si>
  <si>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</si>
  <si>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</si>
  <si>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</si>
  <si>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</si>
  <si>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</si>
  <si>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</si>
  <si>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</si>
  <si>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</si>
  <si>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</si>
  <si>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</si>
  <si>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</si>
  <si>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</si>
  <si>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</si>
  <si>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</si>
  <si>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</si>
  <si>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</si>
  <si>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</si>
  <si>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</si>
  <si>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</si>
  <si>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</si>
  <si>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</si>
  <si>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</si>
  <si>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</si>
  <si>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</si>
  <si>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</si>
  <si>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</si>
  <si>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</si>
  <si>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</si>
  <si>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</si>
  <si>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</si>
  <si>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</si>
  <si>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</si>
  <si>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</si>
  <si>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</si>
  <si>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</si>
  <si>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</si>
  <si>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</si>
  <si>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</si>
  <si>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</si>
  <si>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</si>
  <si>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</si>
  <si>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</si>
  <si>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</si>
  <si>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</si>
  <si>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</si>
  <si>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</si>
  <si>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</si>
  <si>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</si>
  <si>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</si>
  <si>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</si>
  <si>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</si>
  <si>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</si>
  <si>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</si>
  <si>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</si>
  <si>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</si>
  <si>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</si>
  <si>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</si>
  <si>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</si>
  <si>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</si>
  <si>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</si>
  <si>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</si>
  <si>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</si>
  <si>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</si>
  <si>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</si>
  <si>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</si>
  <si>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</si>
  <si>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</si>
  <si>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</si>
  <si>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</si>
  <si>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</si>
  <si>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</si>
  <si>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</si>
  <si>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</si>
  <si>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</si>
  <si>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</si>
  <si>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</si>
  <si>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</si>
  <si>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</si>
  <si>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</si>
  <si>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</si>
  <si>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</si>
  <si>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</si>
  <si>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</si>
  <si>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</si>
  <si>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</si>
  <si>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</si>
  <si>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</si>
  <si>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</si>
  <si>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</si>
  <si>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</si>
  <si>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</si>
  <si>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</si>
  <si>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</si>
  <si>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</si>
  <si>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</si>
  <si>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</si>
  <si>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</si>
  <si>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</si>
  <si>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</si>
  <si>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</si>
  <si>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</si>
  <si>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</si>
  <si>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</si>
  <si>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</si>
  <si>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</si>
  <si>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</si>
  <si>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</si>
  <si>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</si>
  <si>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</si>
  <si>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</si>
  <si>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</si>
  <si>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</si>
  <si>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</si>
  <si>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</si>
  <si>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</si>
  <si>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</si>
  <si>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</si>
  <si>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</si>
  <si>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</si>
  <si>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</si>
  <si>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</si>
  <si>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</si>
  <si>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</si>
  <si>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</si>
  <si>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</si>
  <si>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</si>
  <si>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</si>
  <si>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</si>
  <si>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</si>
  <si>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</si>
  <si>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</si>
  <si>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</si>
  <si>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</si>
  <si>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</si>
  <si>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</si>
  <si>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</si>
  <si>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</si>
  <si>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</si>
  <si>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</si>
  <si>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</si>
  <si>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</si>
  <si>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</si>
  <si>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</si>
  <si>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</si>
  <si>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</si>
  <si>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</si>
  <si>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</si>
  <si>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</si>
  <si>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</si>
  <si>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</si>
  <si>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</si>
  <si>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</si>
  <si>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</si>
  <si>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</si>
  <si>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</si>
  <si>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</si>
  <si>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</si>
  <si>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</si>
  <si>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</si>
  <si>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</si>
  <si>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</si>
  <si>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</si>
  <si>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</si>
  <si>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</si>
  <si>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</si>
  <si>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</si>
  <si>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</si>
  <si>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</si>
  <si>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</si>
  <si>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</si>
  <si>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</si>
  <si>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</si>
  <si>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</si>
  <si>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</si>
  <si>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</si>
  <si>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</si>
  <si>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</si>
  <si>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</si>
  <si>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</si>
  <si>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</si>
  <si>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</si>
  <si>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</si>
  <si>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</si>
  <si>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</si>
  <si>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</si>
  <si>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</si>
  <si>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</si>
  <si>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</si>
  <si>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</si>
  <si>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</si>
  <si>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</si>
  <si>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</si>
  <si>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</si>
  <si>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</si>
  <si>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</si>
  <si>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</si>
  <si>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</si>
  <si>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</si>
  <si>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</si>
  <si>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</si>
  <si>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</si>
  <si>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</si>
  <si>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</si>
  <si>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</si>
  <si>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</si>
  <si>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</si>
  <si>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</si>
  <si>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</si>
  <si>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</si>
  <si>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</si>
  <si>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</si>
  <si>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</si>
  <si>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</si>
  <si>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</si>
  <si>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</si>
  <si>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</si>
  <si>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</si>
  <si>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</si>
  <si>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</si>
  <si>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</si>
  <si>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</si>
  <si>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</si>
  <si>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</si>
  <si>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</si>
  <si>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</si>
  <si>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</si>
  <si>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</si>
  <si>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</si>
  <si>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</si>
  <si>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</si>
  <si>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</si>
  <si>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</si>
  <si>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</si>
  <si>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</si>
  <si>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</si>
  <si>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</si>
  <si>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</si>
  <si>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</si>
  <si>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</si>
  <si>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</si>
  <si>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</si>
  <si>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</si>
  <si>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</si>
  <si>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</si>
  <si>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</si>
  <si>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</si>
  <si>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</si>
  <si>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</si>
  <si>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</si>
  <si>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</si>
  <si>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</si>
  <si>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</si>
  <si>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</si>
  <si>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</si>
  <si>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</si>
  <si>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</si>
  <si>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</si>
  <si>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</si>
  <si>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</si>
  <si>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</si>
  <si>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</si>
  <si>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</si>
  <si>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</si>
  <si>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</si>
  <si>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</si>
  <si>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</si>
  <si>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</si>
  <si>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</si>
  <si>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</si>
  <si>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</si>
  <si>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</si>
  <si>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</si>
  <si>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</si>
  <si>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</si>
  <si>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</si>
  <si>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</si>
  <si>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</si>
  <si>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</si>
  <si>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</si>
  <si>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</si>
  <si>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</si>
  <si>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</si>
  <si>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</si>
  <si>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</si>
  <si>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</si>
  <si>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</si>
  <si>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</si>
  <si>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</si>
  <si>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</si>
  <si>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</si>
  <si>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</si>
  <si>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</si>
  <si>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</si>
  <si>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</si>
  <si>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</si>
  <si>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</si>
  <si>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</si>
  <si>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</si>
  <si>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</si>
  <si>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</si>
  <si>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</si>
  <si>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</si>
  <si>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</si>
  <si>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</si>
  <si>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</si>
  <si>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</si>
  <si>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</si>
  <si>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</si>
  <si>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</si>
  <si>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</si>
  <si>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</si>
  <si>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</si>
  <si>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</si>
  <si>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</si>
  <si>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</si>
  <si>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</si>
  <si>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</si>
  <si>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</si>
  <si>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</si>
  <si>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</si>
  <si>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</si>
  <si>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</si>
  <si>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</si>
  <si>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</si>
  <si>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</si>
  <si>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</si>
  <si>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</si>
  <si>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</si>
  <si>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</si>
  <si>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</si>
  <si>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</si>
  <si>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</si>
  <si>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</si>
  <si>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</si>
  <si>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</si>
  <si>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</si>
  <si>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</si>
  <si>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</si>
  <si>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</si>
  <si>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</si>
  <si>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</si>
  <si>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</si>
  <si>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</si>
  <si>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</si>
  <si>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</si>
  <si>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</si>
  <si>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</si>
  <si>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</si>
  <si>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</si>
  <si>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</si>
  <si>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</si>
  <si>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</si>
  <si>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</si>
  <si>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</si>
  <si>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</si>
  <si>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</si>
  <si>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</si>
  <si>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</si>
  <si>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</si>
  <si>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</si>
  <si>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</si>
  <si>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</si>
  <si>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</si>
  <si>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</si>
  <si>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</si>
  <si>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</si>
  <si>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</si>
  <si>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</si>
  <si>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</si>
  <si>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</si>
  <si>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</si>
  <si>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</si>
  <si>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</si>
  <si>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</si>
  <si>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</si>
  <si>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</si>
  <si>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</si>
  <si>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</si>
  <si>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</si>
  <si>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</si>
  <si>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</si>
  <si>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</si>
  <si>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</si>
  <si>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</si>
  <si>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</si>
  <si>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</si>
  <si>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</si>
  <si>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</si>
  <si>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</si>
  <si>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</si>
  <si>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</si>
  <si>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</si>
  <si>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</si>
  <si>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</si>
  <si>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</si>
  <si>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</si>
  <si>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</si>
  <si>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</si>
  <si>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</si>
  <si>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</si>
  <si>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</si>
  <si>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</si>
  <si>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</si>
  <si>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</si>
  <si>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</si>
  <si>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</si>
  <si>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</si>
  <si>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</si>
  <si>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</si>
  <si>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</si>
  <si>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</si>
  <si>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</si>
  <si>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</si>
  <si>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</si>
  <si>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</si>
  <si>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</si>
  <si>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</si>
  <si>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</si>
  <si>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</si>
  <si>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</si>
  <si>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</si>
  <si>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</si>
  <si>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</si>
  <si>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</si>
  <si>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</si>
  <si>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</si>
  <si>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</si>
  <si>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</si>
  <si>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</si>
  <si>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</si>
  <si>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</si>
  <si>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</si>
  <si>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</si>
  <si>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</si>
  <si>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</si>
  <si>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</si>
  <si>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</si>
  <si>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</si>
  <si>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</si>
  <si>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</si>
  <si>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</si>
  <si>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</si>
  <si>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</si>
  <si>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</si>
  <si>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</si>
  <si>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</si>
  <si>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</si>
  <si>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</si>
  <si>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</si>
  <si>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</si>
  <si>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</si>
  <si>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</si>
  <si>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</si>
  <si>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</si>
  <si>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</si>
  <si>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</si>
  <si>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</si>
  <si>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</si>
  <si>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</si>
  <si>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</si>
  <si>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</si>
  <si>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</si>
  <si>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</si>
  <si>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</si>
  <si>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</si>
  <si>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</si>
  <si>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</si>
  <si>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</si>
  <si>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</si>
  <si>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</si>
  <si>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</si>
  <si>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</si>
  <si>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</si>
  <si>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</si>
  <si>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</si>
  <si>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</si>
  <si>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</si>
  <si>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</si>
  <si>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</si>
  <si>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</si>
  <si>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</si>
  <si>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</si>
  <si>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</si>
  <si>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</si>
  <si>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</si>
  <si>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</si>
  <si>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</si>
  <si>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</si>
  <si>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</si>
  <si>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</si>
  <si>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</si>
  <si>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</si>
  <si>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</si>
  <si>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</si>
  <si>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</si>
  <si>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</si>
  <si>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</si>
  <si>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</si>
  <si>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</si>
  <si>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</si>
  <si>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</si>
  <si>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</si>
  <si>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</si>
  <si>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</si>
  <si>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</si>
  <si>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</si>
  <si>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</si>
  <si>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</si>
  <si>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</si>
  <si>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</si>
  <si>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</si>
  <si>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</si>
  <si>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</si>
  <si>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</si>
  <si>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</si>
  <si>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</si>
  <si>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</si>
  <si>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</si>
  <si>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</si>
  <si>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</si>
  <si>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</si>
  <si>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</si>
  <si>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</si>
  <si>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</si>
  <si>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</si>
  <si>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</si>
  <si>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</si>
  <si>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</si>
  <si>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</si>
  <si>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</si>
  <si>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</si>
  <si>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</si>
  <si>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</si>
  <si>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</si>
  <si>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</si>
  <si>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</si>
  <si>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</si>
  <si>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</si>
  <si>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</si>
  <si>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</si>
  <si>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</si>
  <si>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</si>
  <si>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</si>
  <si>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</si>
  <si>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</si>
  <si>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</si>
  <si>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</si>
  <si>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</si>
  <si>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</si>
  <si>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</si>
  <si>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</si>
  <si>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</si>
  <si>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</si>
  <si>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</si>
  <si>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</si>
  <si>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</si>
  <si>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</si>
  <si>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</si>
  <si>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</si>
  <si>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</si>
  <si>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</si>
  <si>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</si>
  <si>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</si>
  <si>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</si>
  <si>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</si>
  <si>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</si>
  <si>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</si>
  <si>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</si>
  <si>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</si>
  <si>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</si>
  <si>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</si>
  <si>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</si>
  <si>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</si>
  <si>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</si>
  <si>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</si>
  <si>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</si>
  <si>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</si>
  <si>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</si>
  <si>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</si>
  <si>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</si>
  <si>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</si>
  <si>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</si>
  <si>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</si>
  <si>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</si>
  <si>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</si>
  <si>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</si>
  <si>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</si>
  <si>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</si>
  <si>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</si>
  <si>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</si>
  <si>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</si>
  <si>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</si>
  <si>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</si>
  <si>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</si>
  <si>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</si>
  <si>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</si>
  <si>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</si>
  <si>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</si>
  <si>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</si>
  <si>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</si>
  <si>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</si>
  <si>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</si>
  <si>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</si>
  <si>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</si>
  <si>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</si>
  <si>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</si>
  <si>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</si>
  <si>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</si>
  <si>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</si>
  <si>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</si>
  <si>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</si>
  <si>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</si>
  <si>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</si>
  <si>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</si>
  <si>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</si>
  <si>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</si>
  <si>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</si>
  <si>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</si>
  <si>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</si>
  <si>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</si>
  <si>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</si>
  <si>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</si>
  <si>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</si>
  <si>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</si>
  <si>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</si>
  <si>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</si>
  <si>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</si>
  <si>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</si>
  <si>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</si>
  <si>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</si>
  <si>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</si>
  <si>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</si>
  <si>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</si>
  <si>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</si>
  <si>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</si>
  <si>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</si>
  <si>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</si>
  <si>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</si>
  <si>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</si>
  <si>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</si>
  <si>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</si>
  <si>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</si>
  <si>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</si>
  <si>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</si>
  <si>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</si>
  <si>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</si>
  <si>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</si>
  <si>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</si>
  <si>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</si>
  <si>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</si>
  <si>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</si>
  <si>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</si>
  <si>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</si>
  <si>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</si>
  <si>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</si>
  <si>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</si>
  <si>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</si>
  <si>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</si>
  <si>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</si>
  <si>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</si>
  <si>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</si>
  <si>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</si>
  <si>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</si>
  <si>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</si>
  <si>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</si>
  <si>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</si>
  <si>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</si>
  <si>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</si>
  <si>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</si>
  <si>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</si>
  <si>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</si>
  <si>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</si>
  <si>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</si>
  <si>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</si>
  <si>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</si>
  <si>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</si>
  <si>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</si>
  <si>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</si>
  <si>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</si>
  <si>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</si>
  <si>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</si>
  <si>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</si>
  <si>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</si>
  <si>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</si>
  <si>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</si>
  <si>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</si>
  <si>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</si>
  <si>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</si>
  <si>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</si>
  <si>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</si>
  <si>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</si>
  <si>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</si>
  <si>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</si>
  <si>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28-037-1900-02</t>
  </si>
  <si>
    <t>Henry</t>
  </si>
  <si>
    <t>Colona Grade School District No. 190</t>
  </si>
  <si>
    <t>700 First Street</t>
  </si>
  <si>
    <t>Colona</t>
  </si>
  <si>
    <t>cjohnson@csd190.com</t>
  </si>
  <si>
    <t>Russell J. Rumbold II, CPA</t>
  </si>
  <si>
    <t>rrumbold@gorenzcpa.com</t>
  </si>
  <si>
    <t>Carl Johnson</t>
  </si>
  <si>
    <t>309-792-1239</t>
  </si>
  <si>
    <t>309-792-2249</t>
  </si>
  <si>
    <t>Alternate Revenue Bonds</t>
  </si>
  <si>
    <t>Constellation Energy - Natural Gas</t>
  </si>
  <si>
    <t>AWS Co-op</t>
  </si>
  <si>
    <t>Illinois School District Association</t>
  </si>
  <si>
    <t>Black Hawk Special Education District/Social Worker, Psych</t>
  </si>
  <si>
    <t>Black Hawk Special Education District</t>
  </si>
  <si>
    <t>Regional Office of Education - Paper Purchasing Co-op</t>
  </si>
  <si>
    <t>Silvis, Hampton, Carbon-Cliff Football Co-op</t>
  </si>
  <si>
    <t>Lack of Segregation of Duties</t>
  </si>
  <si>
    <t>Unresolved - See Finding 2019-001</t>
  </si>
  <si>
    <t>2018-001</t>
  </si>
  <si>
    <t>2018-002</t>
  </si>
  <si>
    <t>Unresolved - See Finding 2019-002</t>
  </si>
  <si>
    <t>2018-003</t>
  </si>
  <si>
    <t>Unreconciled Bank Accounts to District Records</t>
  </si>
  <si>
    <t>Resolved</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</si>
  <si>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</si>
  <si>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Two individuals have the primary responsibility for performing most of the accounting and financial duties including key functions of recording, reconciling, and reporting cash transactions.</t>
  </si>
  <si>
    <t xml:space="preserve">Most district accounting and financial records are maintained by two individuals. </t>
  </si>
  <si>
    <t>Certain individuals have the ability to complete and record accounting functions which ideally would be segregated.</t>
  </si>
  <si>
    <t xml:space="preserve">The Board of Education has determined that two individuals is sufficient to perform the required duties. </t>
  </si>
  <si>
    <t xml:space="preserve">The Board should take steps it considers necessary to limit the risks that a lack of segregation of duties presents; such as but not limited to hiring additional staff. </t>
  </si>
  <si>
    <t>For ISBE Review</t>
  </si>
  <si>
    <t xml:space="preserve">Date:   </t>
  </si>
  <si>
    <t>Resolution Criteria Code Number</t>
  </si>
  <si>
    <t xml:space="preserve">Initials: </t>
  </si>
  <si>
    <t>Disposition of Questioned Costs Code Letter</t>
  </si>
  <si>
    <t xml:space="preserve">    sequence of findings.  For example, findings identified and reported in the audit of fiscal year 2019 would be assigned a reference </t>
  </si>
  <si>
    <t xml:space="preserve">    number of 2019-001, 2019-002, etc.  The sheet is formatted so that only the number need be entered (1, 2, etc.).</t>
  </si>
  <si>
    <t>In theory, a properly designed system of internal control staffed with enough people with sufficient training would provide the District with the ability to not only process and record monthly transactions, but also to prepare a complete set of annual financial statements including the implementation of new standards and all related disclosures. In practice, very few local governments have the skill or time required to prepare annual financial statements.</t>
  </si>
  <si>
    <t>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the  financial statements (including footnotes) in a format acceptable by ISBE.</t>
  </si>
  <si>
    <t>The auditor can propose adjustments and assist in assembling or drafting the financial statements, the auditor cannot establish or maintain the District's internal controls, including monitoring ongoing activities.</t>
  </si>
  <si>
    <t xml:space="preserve">Lack of internal controls for full disclosure year end financial statement preparation could result in controls not being effective in preventing or detecting material misstatements particularly in the related footnotes to the financial statements. </t>
  </si>
  <si>
    <t xml:space="preserve">The District has not retained an individual to specifically monitor standards promulgated by the Governmental Accounting Standards Board as they relate to full disclosure financial reporting. Preparation of full disclosure year end financial statements is not an assigned function for District accounting staff. </t>
  </si>
  <si>
    <t>The District should review the additional cost it would incur to prepare the financial statements internally with the corresponding reduction of risk associated with material misstatement of the District's financial statements.</t>
  </si>
  <si>
    <t xml:space="preserve">We are currently confident with the abilities of the accounting staff to prepare interim financial statements.  Management will review, approve, and take responsibility for the financial statements. </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</si>
  <si>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</si>
  <si>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</si>
  <si>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</si>
  <si>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</si>
  <si>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</si>
  <si>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</si>
  <si>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</si>
  <si>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</si>
  <si>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</si>
  <si>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</si>
  <si>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</si>
  <si>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</si>
  <si>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</si>
  <si>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</si>
  <si>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Carl Johnson, Superintendent</t>
  </si>
  <si>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</si>
  <si>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</si>
  <si>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The District will continue to review the financial statements and required footnotes</t>
  </si>
  <si>
    <t>prepared by the external auditors. The District believes this process to be the most</t>
  </si>
  <si>
    <t>economical and appropriate to help ensure complete and proper financial reporting.</t>
  </si>
  <si>
    <t>The Board of Education currently believes the cost of additional staff outweighs any benefits that may be realized.</t>
  </si>
  <si>
    <t>Lacks Sufficient Expertise to Prepare Financial</t>
  </si>
  <si>
    <t>Statements</t>
  </si>
  <si>
    <t>Adverse due to the use of the Regulatory Basis of Accounting</t>
  </si>
  <si>
    <t>Part C - 20 - See Findings 2019-001 and 2019-002</t>
  </si>
  <si>
    <t xml:space="preserve">Life Safety Bond </t>
  </si>
  <si>
    <t>Transportaion - Pupil Transportation Services - Purchase Services</t>
  </si>
  <si>
    <t>Johannes Bus Service Inc</t>
  </si>
  <si>
    <t>40-2550-300</t>
  </si>
  <si>
    <t>Page 10, Line 74 - Miscellaneous Food Income and Reimbursements</t>
  </si>
  <si>
    <t>Page 11, Line 107 - Miscellaneous Revenue, Refunds, and Reimbursements</t>
  </si>
  <si>
    <t>Page 12, Line 168 - Library Grant</t>
  </si>
  <si>
    <t>Alternate Revuene Bonds</t>
  </si>
  <si>
    <t>Page 9, Line 17 - Payments in Lieu of taxes</t>
  </si>
  <si>
    <t>Page 16, Line 83 - Repayment of Early Childhood Grant monies to ISBE</t>
  </si>
  <si>
    <t>See PDF version</t>
  </si>
  <si>
    <t>Colona SD 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</si>
</sst>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7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53" fillId="27" borderId="143" xfId="3" applyFont="1" applyFill="1" applyBorder="1" applyProtection="1"/>
    <xf numFmtId="0" fontId="53" fillId="27" borderId="144" xfId="3" applyFont="1" applyFill="1" applyBorder="1" applyProtection="1"/>
    <xf numFmtId="0" fontId="56" fillId="27" borderId="144" xfId="3" applyFont="1" applyFill="1" applyBorder="1" applyProtection="1"/>
    <xf numFmtId="0" fontId="56" fillId="27" borderId="144" xfId="3" applyFont="1" applyFill="1" applyBorder="1" applyAlignment="1" applyProtection="1">
      <alignment horizontal="center"/>
    </xf>
    <xf numFmtId="0" fontId="56" fillId="27" borderId="145" xfId="3" applyFont="1" applyFill="1" applyBorder="1" applyProtection="1"/>
    <xf numFmtId="0" fontId="61" fillId="27" borderId="5" xfId="3" applyFont="1" applyFill="1" applyBorder="1" applyProtection="1"/>
    <xf numFmtId="0" fontId="61" fillId="27" borderId="165" xfId="3" applyFont="1" applyFill="1" applyBorder="1" applyProtection="1"/>
    <xf numFmtId="14" fontId="56" fillId="27" borderId="9" xfId="3" applyNumberFormat="1" applyFont="1" applyFill="1" applyBorder="1" applyAlignment="1" applyProtection="1">
      <alignment horizontal="center"/>
    </xf>
    <xf numFmtId="14" fontId="56" fillId="27" borderId="0" xfId="3" applyNumberFormat="1" applyFont="1" applyFill="1" applyBorder="1" applyProtection="1"/>
    <xf numFmtId="0" fontId="61" fillId="27" borderId="0" xfId="3" applyFont="1" applyFill="1" applyBorder="1" applyAlignment="1" applyProtection="1">
      <alignment horizontal="left"/>
    </xf>
    <xf numFmtId="0" fontId="54" fillId="27" borderId="0" xfId="3" applyFont="1" applyFill="1" applyBorder="1" applyAlignment="1" applyProtection="1">
      <alignment horizontal="left"/>
    </xf>
    <xf numFmtId="0" fontId="56" fillId="27" borderId="0" xfId="3" applyFont="1" applyFill="1" applyBorder="1" applyProtection="1"/>
    <xf numFmtId="0" fontId="56" fillId="27" borderId="0" xfId="3" applyFont="1" applyFill="1" applyBorder="1" applyAlignment="1" applyProtection="1">
      <alignment horizontal="center"/>
    </xf>
    <xf numFmtId="0" fontId="56" fillId="27" borderId="9" xfId="3" applyFont="1" applyFill="1" applyBorder="1" applyProtection="1"/>
    <xf numFmtId="0" fontId="56" fillId="27" borderId="40" xfId="3" applyFont="1" applyFill="1" applyBorder="1" applyAlignment="1" applyProtection="1">
      <alignment horizontal="center"/>
    </xf>
    <xf numFmtId="0" fontId="56" fillId="27" borderId="147" xfId="3" applyFont="1" applyFill="1" applyBorder="1" applyAlignment="1" applyProtection="1">
      <alignment horizontal="center"/>
    </xf>
    <xf numFmtId="0" fontId="61" fillId="27" borderId="0" xfId="3" applyFont="1" applyFill="1" applyBorder="1" applyProtection="1"/>
    <xf numFmtId="0" fontId="80" fillId="0" borderId="0" xfId="3" applyFont="1" applyBorder="1" applyAlignment="1" applyProtection="1">
      <alignment horizontal="right" vertical="top" textRotation="180"/>
    </xf>
    <xf numFmtId="0" fontId="56" fillId="27" borderId="50" xfId="3" applyFont="1" applyFill="1" applyBorder="1" applyProtection="1"/>
    <xf numFmtId="0" fontId="56" fillId="27" borderId="9" xfId="3" applyFont="1" applyFill="1" applyBorder="1" applyAlignment="1" applyProtection="1">
      <alignment horizontal="center"/>
    </xf>
    <xf numFmtId="0" fontId="56" fillId="27" borderId="59" xfId="3" applyFont="1" applyFill="1" applyBorder="1" applyProtection="1"/>
    <xf numFmtId="49" fontId="53" fillId="0" borderId="0" xfId="3" applyNumberFormat="1" applyFont="1" applyBorder="1" applyAlignment="1" applyProtection="1">
      <alignment horizontal="center" vertical="top"/>
    </xf>
    <xf numFmtId="166" fontId="53" fillId="0" borderId="0" xfId="3" applyNumberFormat="1" applyFont="1" applyBorder="1" applyAlignment="1" applyProtection="1">
      <alignment horizontal="center" vertical="top"/>
    </xf>
    <xf numFmtId="0" fontId="54" fillId="0" borderId="0" xfId="3" applyFont="1" applyAlignment="1" applyProtection="1">
      <alignment horizontal="center"/>
    </xf>
    <xf numFmtId="0" fontId="53" fillId="0" borderId="144" xfId="3" applyFont="1" applyBorder="1" applyProtection="1"/>
    <xf numFmtId="0" fontId="53" fillId="0" borderId="0" xfId="3" applyFont="1" applyFill="1" applyBorder="1" applyAlignment="1" applyProtection="1">
      <alignment horizontal="centerContinuous"/>
    </xf>
    <xf numFmtId="0" fontId="53" fillId="0" borderId="0" xfId="3" applyFont="1" applyBorder="1" applyAlignment="1" applyProtection="1">
      <alignment horizontal="right"/>
    </xf>
    <xf numFmtId="178" fontId="53" fillId="0" borderId="9" xfId="3" applyNumberFormat="1" applyFont="1" applyBorder="1" applyAlignment="1" applyProtection="1">
      <alignment horizontal="left"/>
      <protection locked="0"/>
    </xf>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53" fillId="0" borderId="0" xfId="3" applyFont="1" applyBorder="1" applyAlignment="1" applyProtection="1">
      <alignment horizontal="left"/>
    </xf>
    <xf numFmtId="0" fontId="54" fillId="0" borderId="9" xfId="3" applyFont="1" applyBorder="1" applyProtection="1">
      <protection locked="0"/>
    </xf>
    <xf numFmtId="0" fontId="53" fillId="0" borderId="144" xfId="3" quotePrefix="1" applyFont="1" applyBorder="1" applyAlignment="1" applyProtection="1">
      <alignment horizontal="left"/>
    </xf>
    <xf numFmtId="0" fontId="54" fillId="0" borderId="0" xfId="3" applyFont="1" applyFill="1" applyBorder="1" applyAlignment="1" applyProtection="1"/>
    <xf numFmtId="0" fontId="54" fillId="0" borderId="0" xfId="3" applyFont="1" applyAlignment="1" applyProtection="1"/>
    <xf numFmtId="8" fontId="54" fillId="0" borderId="0" xfId="3" applyNumberFormat="1" applyFont="1" applyAlignment="1" applyProtection="1">
      <alignment horizontal="left"/>
    </xf>
    <xf numFmtId="0" fontId="54" fillId="0" borderId="0" xfId="3" applyFont="1" applyBorder="1" applyAlignment="1" applyProtection="1">
      <alignment horizontal="left"/>
    </xf>
    <xf numFmtId="0" fontId="53" fillId="0" borderId="144" xfId="3" applyFont="1" applyBorder="1" applyAlignment="1" applyProtection="1">
      <alignment horizontal="left"/>
    </xf>
    <xf numFmtId="0" fontId="54" fillId="27" borderId="144" xfId="3" applyFont="1" applyFill="1" applyBorder="1" applyProtection="1"/>
    <xf numFmtId="0" fontId="54" fillId="27" borderId="144" xfId="3" applyFont="1" applyFill="1" applyBorder="1" applyAlignment="1" applyProtection="1">
      <alignment horizontal="center"/>
    </xf>
    <xf numFmtId="0" fontId="54" fillId="27" borderId="145" xfId="3" applyFont="1" applyFill="1" applyBorder="1" applyProtection="1"/>
    <xf numFmtId="0" fontId="54" fillId="27" borderId="5" xfId="3" applyFont="1" applyFill="1" applyBorder="1" applyProtection="1"/>
    <xf numFmtId="0" fontId="54" fillId="27" borderId="165" xfId="3" applyFont="1" applyFill="1" applyBorder="1" applyProtection="1"/>
    <xf numFmtId="14" fontId="54" fillId="27" borderId="9" xfId="3" applyNumberFormat="1" applyFont="1" applyFill="1" applyBorder="1" applyAlignment="1" applyProtection="1">
      <alignment horizontal="center"/>
    </xf>
    <xf numFmtId="14" fontId="54" fillId="27" borderId="0" xfId="3" applyNumberFormat="1" applyFont="1" applyFill="1" applyBorder="1" applyProtection="1"/>
    <xf numFmtId="0" fontId="54" fillId="27" borderId="0" xfId="3" applyFont="1" applyFill="1" applyBorder="1" applyProtection="1"/>
    <xf numFmtId="0" fontId="54" fillId="27" borderId="0" xfId="3" applyFont="1" applyFill="1" applyBorder="1" applyAlignment="1" applyProtection="1">
      <alignment horizontal="center"/>
    </xf>
    <xf numFmtId="0" fontId="54" fillId="27" borderId="9" xfId="3" applyFont="1" applyFill="1" applyBorder="1" applyProtection="1"/>
    <xf numFmtId="0" fontId="54" fillId="27" borderId="40" xfId="3" applyFont="1" applyFill="1" applyBorder="1" applyAlignment="1" applyProtection="1">
      <alignment horizontal="center"/>
    </xf>
    <xf numFmtId="0" fontId="54" fillId="27" borderId="147" xfId="3" applyFont="1" applyFill="1" applyBorder="1" applyAlignment="1" applyProtection="1">
      <alignment horizontal="center"/>
    </xf>
    <xf numFmtId="0" fontId="54" fillId="0" borderId="0" xfId="3" applyFont="1" applyBorder="1" applyAlignment="1" applyProtection="1">
      <alignment horizontal="right" vertical="top" textRotation="180"/>
    </xf>
    <xf numFmtId="0" fontId="54" fillId="27" borderId="50" xfId="3" applyFont="1" applyFill="1" applyBorder="1" applyProtection="1"/>
    <xf numFmtId="0" fontId="54" fillId="27" borderId="9" xfId="3" applyFont="1" applyFill="1" applyBorder="1" applyAlignment="1" applyProtection="1">
      <alignment horizontal="center"/>
    </xf>
    <xf numFmtId="0" fontId="54" fillId="27" borderId="59" xfId="3" applyFont="1" applyFill="1" applyBorder="1" applyProtection="1"/>
    <xf numFmtId="0" fontId="54" fillId="0" borderId="78" xfId="3" applyFont="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53" fillId="0" borderId="0" xfId="3" applyFont="1" applyAlignment="1" applyProtection="1">
      <alignment horizontal="center" vertical="top" textRotation="18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14" fontId="9" fillId="0" borderId="0" xfId="3" quotePrefix="1" applyNumberFormat="1" applyAlignment="1" applyProtection="1">
      <alignment horizontal="left" indent="2"/>
      <protection locked="0"/>
    </xf>
    <xf numFmtId="0" fontId="9" fillId="0" borderId="0" xfId="3" applyBorder="1"/>
    <xf numFmtId="0" fontId="9" fillId="0" borderId="0" xfId="3" applyBorder="1" applyAlignment="1">
      <alignment horizontal="left"/>
    </xf>
    <xf numFmtId="0" fontId="35" fillId="0" borderId="78" xfId="3"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lignment horizontal="center" vertical="center" wrapText="1"/>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xf numFmtId="165" fontId="19" fillId="0" borderId="0" xfId="3" applyNumberFormat="1" applyFont="1" applyAlignment="1">
      <alignment horizontal="center" vertical="center" wrapText="1"/>
    </xf>
    <xf numFmtId="0" fontId="9" fillId="0" borderId="0" xfId="3" quotePrefix="1" applyAlignment="1" applyProtection="1">
      <alignment horizontal="left" vertical="top" wrapText="1"/>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45894</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1082386</xdr:colOff>
          <xdr:row>0</xdr:row>
          <xdr:rowOff>155864</xdr:rowOff>
        </xdr:from>
        <xdr:to>
          <xdr:col>1</xdr:col>
          <xdr:colOff>1993322</xdr:colOff>
          <xdr:row>5</xdr:row>
          <xdr:rowOff>29441</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66" t="s">
        <v>405</v>
      </c>
      <c r="J1" s="2067"/>
      <c r="K1" s="2067"/>
      <c r="L1" s="2067"/>
      <c r="M1" s="2067"/>
      <c r="N1" s="2067"/>
      <c r="O1" s="2067"/>
      <c r="P1" s="2067"/>
      <c r="Q1" s="2067"/>
      <c r="R1" s="2067"/>
      <c r="S1" s="2067"/>
    </row>
    <row r="2" spans="1:28" ht="12" customHeight="1" x14ac:dyDescent="0.2">
      <c r="A2" s="47" t="s">
        <v>1993</v>
      </c>
      <c r="D2" s="48"/>
      <c r="I2" s="2068" t="s">
        <v>979</v>
      </c>
      <c r="J2" s="2067"/>
      <c r="K2" s="2067"/>
      <c r="L2" s="2067"/>
      <c r="M2" s="2067"/>
      <c r="N2" s="2067"/>
      <c r="O2" s="2067"/>
      <c r="P2" s="2067"/>
      <c r="Q2" s="2067"/>
      <c r="R2" s="2067"/>
      <c r="S2" s="2067"/>
    </row>
    <row r="3" spans="1:28" ht="12" customHeight="1" x14ac:dyDescent="0.2">
      <c r="A3" s="155" t="s">
        <v>1945</v>
      </c>
      <c r="B3" s="156"/>
      <c r="C3" s="156"/>
      <c r="D3" s="157"/>
      <c r="I3" s="2068" t="s">
        <v>52</v>
      </c>
      <c r="J3" s="2067"/>
      <c r="K3" s="2067"/>
      <c r="L3" s="2067"/>
      <c r="M3" s="2067"/>
      <c r="N3" s="2067"/>
      <c r="O3" s="2067"/>
      <c r="P3" s="2067"/>
      <c r="Q3" s="2067"/>
      <c r="R3" s="2067"/>
      <c r="S3" s="2067"/>
    </row>
    <row r="4" spans="1:28" ht="12" customHeight="1" x14ac:dyDescent="0.2">
      <c r="A4" s="37"/>
      <c r="I4" s="2068" t="s">
        <v>524</v>
      </c>
      <c r="J4" s="2067"/>
      <c r="K4" s="2067"/>
      <c r="L4" s="2067"/>
      <c r="M4" s="2067"/>
      <c r="N4" s="2067"/>
      <c r="O4" s="2067"/>
      <c r="P4" s="2067"/>
      <c r="Q4" s="2067"/>
      <c r="R4" s="2067"/>
      <c r="S4" s="2067"/>
    </row>
    <row r="5" spans="1:28" ht="14.1" customHeight="1" x14ac:dyDescent="0.2">
      <c r="B5" s="104" t="s">
        <v>2070</v>
      </c>
      <c r="C5" s="26" t="s">
        <v>910</v>
      </c>
      <c r="D5" s="84"/>
      <c r="E5" s="84"/>
      <c r="H5" s="38"/>
      <c r="I5" s="2076" t="s">
        <v>680</v>
      </c>
      <c r="J5" s="2075"/>
      <c r="K5" s="2075"/>
      <c r="L5" s="2075"/>
      <c r="M5" s="2075"/>
      <c r="N5" s="2075"/>
      <c r="O5" s="2075"/>
      <c r="P5" s="2075"/>
      <c r="Q5" s="2075"/>
      <c r="R5" s="2075"/>
      <c r="S5" s="2075"/>
    </row>
    <row r="6" spans="1:28" ht="14.1" customHeight="1" x14ac:dyDescent="0.2">
      <c r="B6" s="104"/>
      <c r="C6" s="26" t="s">
        <v>911</v>
      </c>
      <c r="D6" s="84"/>
      <c r="E6" s="84"/>
      <c r="I6" s="2074" t="s">
        <v>883</v>
      </c>
      <c r="J6" s="2075"/>
      <c r="K6" s="2075"/>
      <c r="L6" s="2075"/>
      <c r="M6" s="2075"/>
      <c r="N6" s="2075"/>
      <c r="O6" s="2075"/>
      <c r="P6" s="2075"/>
      <c r="Q6" s="2075"/>
      <c r="R6" s="2075"/>
      <c r="S6" s="2075"/>
    </row>
    <row r="7" spans="1:28" ht="12.2" customHeight="1" x14ac:dyDescent="0.2">
      <c r="I7" s="2069">
        <v>43646</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674</v>
      </c>
      <c r="J9" s="2072"/>
      <c r="K9" s="2072"/>
      <c r="L9" s="2072"/>
      <c r="M9" s="2072"/>
      <c r="N9" s="2072"/>
      <c r="O9" s="2072"/>
      <c r="P9" s="2072"/>
      <c r="Q9" s="2072"/>
      <c r="R9" s="2072"/>
      <c r="S9" s="2073"/>
      <c r="T9" s="2087" t="s">
        <v>533</v>
      </c>
      <c r="U9" s="2088"/>
      <c r="V9" s="2088"/>
      <c r="W9" s="2088"/>
      <c r="X9" s="2088"/>
      <c r="Y9" s="2088"/>
      <c r="Z9" s="2088"/>
      <c r="AA9" s="2089"/>
    </row>
    <row r="10" spans="1:28" ht="13.5" customHeight="1" x14ac:dyDescent="0.2">
      <c r="A10" s="2094" t="s">
        <v>675</v>
      </c>
      <c r="B10" s="2095"/>
      <c r="C10" s="2095"/>
      <c r="D10" s="2095"/>
      <c r="E10" s="2095"/>
      <c r="F10" s="2095"/>
      <c r="G10" s="2095"/>
      <c r="H10" s="2096"/>
      <c r="I10" s="29"/>
      <c r="J10" s="30"/>
      <c r="K10" s="28"/>
      <c r="R10" s="30"/>
      <c r="S10" s="30"/>
      <c r="T10" s="2090"/>
      <c r="U10" s="2075"/>
      <c r="V10" s="2075"/>
      <c r="W10" s="2075"/>
      <c r="X10" s="2075"/>
      <c r="Y10" s="2075"/>
      <c r="Z10" s="2075"/>
      <c r="AA10" s="2081"/>
    </row>
    <row r="11" spans="1:28" ht="14.25" customHeight="1" x14ac:dyDescent="0.2">
      <c r="A11" s="2097" t="s">
        <v>955</v>
      </c>
      <c r="B11" s="2098"/>
      <c r="C11" s="2098"/>
      <c r="D11" s="2098"/>
      <c r="E11" s="2098"/>
      <c r="F11" s="2098"/>
      <c r="G11" s="2098"/>
      <c r="H11" s="2099"/>
      <c r="I11" s="27"/>
      <c r="J11" s="74"/>
      <c r="K11" s="27"/>
      <c r="O11" s="148" t="s">
        <v>2070</v>
      </c>
      <c r="P11" s="100" t="s">
        <v>201</v>
      </c>
      <c r="Q11" s="30"/>
      <c r="R11" s="28"/>
      <c r="S11" s="27"/>
      <c r="T11" s="2091"/>
      <c r="U11" s="2092"/>
      <c r="V11" s="2092"/>
      <c r="W11" s="2092"/>
      <c r="X11" s="2092"/>
      <c r="Y11" s="2092"/>
      <c r="Z11" s="2092"/>
      <c r="AA11" s="209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01">
        <v>28037190002</v>
      </c>
      <c r="B13" s="2102"/>
      <c r="C13" s="2102"/>
      <c r="D13" s="2102"/>
      <c r="E13" s="2102"/>
      <c r="F13" s="2102"/>
      <c r="G13" s="2102"/>
      <c r="H13" s="2103"/>
      <c r="I13" s="31"/>
      <c r="J13" s="30"/>
      <c r="K13" s="28"/>
      <c r="L13" s="30"/>
      <c r="M13" s="30"/>
      <c r="N13" s="30"/>
      <c r="O13" s="30"/>
      <c r="P13" s="30"/>
      <c r="Q13" s="30"/>
      <c r="R13" s="30"/>
      <c r="S13" s="30"/>
      <c r="T13" s="2106" t="s">
        <v>2072</v>
      </c>
      <c r="U13" s="2107"/>
      <c r="V13" s="2107"/>
      <c r="W13" s="2107"/>
      <c r="X13" s="2107"/>
      <c r="Y13" s="2108"/>
      <c r="Z13" s="2108"/>
      <c r="AA13" s="21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0" t="s">
        <v>2074</v>
      </c>
      <c r="B15" s="2104"/>
      <c r="C15" s="2104"/>
      <c r="D15" s="2104"/>
      <c r="E15" s="2104"/>
      <c r="F15" s="2104"/>
      <c r="G15" s="2104"/>
      <c r="H15" s="2105"/>
      <c r="T15" s="2110" t="s">
        <v>2079</v>
      </c>
      <c r="U15" s="2054"/>
      <c r="V15" s="2054"/>
      <c r="W15" s="2054"/>
      <c r="X15" s="2054"/>
      <c r="Y15" s="2111"/>
      <c r="Z15" s="2111"/>
      <c r="AA15" s="21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0" t="s">
        <v>2156</v>
      </c>
      <c r="B17" s="2061"/>
      <c r="C17" s="2061"/>
      <c r="D17" s="2061"/>
      <c r="E17" s="2061"/>
      <c r="F17" s="2061"/>
      <c r="G17" s="2061"/>
      <c r="H17" s="2086"/>
      <c r="T17" s="2117" t="s">
        <v>2064</v>
      </c>
      <c r="U17" s="2118"/>
      <c r="V17" s="2118"/>
      <c r="W17" s="2118"/>
      <c r="X17" s="2118"/>
      <c r="Y17" s="2118"/>
      <c r="Z17" s="2118"/>
      <c r="AA17" s="2119"/>
    </row>
    <row r="18" spans="1:27" ht="13.5" customHeight="1" x14ac:dyDescent="0.2">
      <c r="A18" s="85" t="s">
        <v>530</v>
      </c>
      <c r="B18" s="76"/>
      <c r="C18" s="72"/>
      <c r="D18" s="76"/>
      <c r="E18" s="76"/>
      <c r="F18" s="76"/>
      <c r="G18" s="76"/>
      <c r="H18" s="56"/>
      <c r="I18" s="2085" t="s">
        <v>676</v>
      </c>
      <c r="J18" s="2036"/>
      <c r="K18" s="2036"/>
      <c r="L18" s="2036"/>
      <c r="M18" s="2036"/>
      <c r="N18" s="2036"/>
      <c r="O18" s="2036"/>
      <c r="P18" s="2036"/>
      <c r="Q18" s="2036"/>
      <c r="R18" s="2036"/>
      <c r="S18" s="2037"/>
      <c r="T18" s="85" t="s">
        <v>711</v>
      </c>
      <c r="U18" s="51"/>
      <c r="V18" s="72"/>
      <c r="W18" s="50"/>
      <c r="X18" s="85" t="s">
        <v>266</v>
      </c>
      <c r="Y18" s="81"/>
      <c r="Z18" s="159" t="s">
        <v>677</v>
      </c>
      <c r="AA18" s="46"/>
    </row>
    <row r="19" spans="1:27" ht="13.5" customHeight="1" x14ac:dyDescent="0.2">
      <c r="A19" s="2100" t="s">
        <v>2076</v>
      </c>
      <c r="B19" s="2046"/>
      <c r="C19" s="2046"/>
      <c r="D19" s="2046"/>
      <c r="E19" s="2046"/>
      <c r="F19" s="2046"/>
      <c r="G19" s="2046"/>
      <c r="H19" s="2026"/>
      <c r="I19" s="30"/>
      <c r="J19" s="99"/>
      <c r="K19" s="40"/>
      <c r="L19" s="38"/>
      <c r="M19" s="112" t="s">
        <v>315</v>
      </c>
      <c r="P19" s="27"/>
      <c r="Q19" s="27"/>
      <c r="R19" s="27"/>
      <c r="S19" s="31"/>
      <c r="T19" s="2100" t="s">
        <v>2065</v>
      </c>
      <c r="U19" s="2025"/>
      <c r="V19" s="2025"/>
      <c r="W19" s="2026"/>
      <c r="X19" s="2115" t="s">
        <v>2066</v>
      </c>
      <c r="Y19" s="2116"/>
      <c r="Z19" s="2113">
        <v>61614</v>
      </c>
      <c r="AA19" s="21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4" t="s">
        <v>2077</v>
      </c>
      <c r="B21" s="2025"/>
      <c r="C21" s="2025"/>
      <c r="D21" s="2025"/>
      <c r="E21" s="2025"/>
      <c r="F21" s="2025"/>
      <c r="G21" s="2025"/>
      <c r="H21" s="2026"/>
      <c r="I21" s="2080" t="s">
        <v>678</v>
      </c>
      <c r="J21" s="2075"/>
      <c r="K21" s="2075"/>
      <c r="L21" s="2075"/>
      <c r="M21" s="2075"/>
      <c r="N21" s="2075"/>
      <c r="O21" s="2075"/>
      <c r="P21" s="2075"/>
      <c r="Q21" s="2075"/>
      <c r="R21" s="2075"/>
      <c r="S21" s="2081"/>
      <c r="T21" s="2124" t="s">
        <v>2067</v>
      </c>
      <c r="U21" s="2125"/>
      <c r="V21" s="2125"/>
      <c r="W21" s="2125"/>
      <c r="X21" s="2130" t="s">
        <v>2068</v>
      </c>
      <c r="Y21" s="2131"/>
      <c r="Z21" s="2131"/>
      <c r="AA21" s="2132"/>
    </row>
    <row r="22" spans="1:27" ht="13.5" customHeight="1" x14ac:dyDescent="0.2">
      <c r="A22" s="87" t="s">
        <v>531</v>
      </c>
      <c r="B22" s="59"/>
      <c r="C22" s="59"/>
      <c r="D22" s="59"/>
      <c r="E22" s="59"/>
      <c r="F22" s="59"/>
      <c r="G22" s="59"/>
      <c r="H22" s="60"/>
      <c r="I22" s="2082" t="s">
        <v>1429</v>
      </c>
      <c r="J22" s="2083"/>
      <c r="K22" s="2083"/>
      <c r="L22" s="2083"/>
      <c r="M22" s="2083"/>
      <c r="N22" s="2083"/>
      <c r="O22" s="2083"/>
      <c r="P22" s="2083"/>
      <c r="Q22" s="2083"/>
      <c r="R22" s="2083"/>
      <c r="S22" s="2084"/>
      <c r="T22" s="85" t="s">
        <v>1516</v>
      </c>
      <c r="U22" s="51"/>
      <c r="V22" s="72"/>
      <c r="W22" s="51"/>
      <c r="X22" s="160" t="s">
        <v>1318</v>
      </c>
      <c r="Z22" s="45"/>
      <c r="AA22" s="46"/>
    </row>
    <row r="23" spans="1:27" ht="13.5" customHeight="1" x14ac:dyDescent="0.2">
      <c r="A23" s="2077" t="s">
        <v>2078</v>
      </c>
      <c r="B23" s="2078"/>
      <c r="C23" s="2078"/>
      <c r="D23" s="2078"/>
      <c r="E23" s="2078"/>
      <c r="F23" s="2078"/>
      <c r="G23" s="2078"/>
      <c r="H23" s="2079"/>
      <c r="T23" s="2060" t="s">
        <v>2069</v>
      </c>
      <c r="U23" s="2123"/>
      <c r="V23" s="2123"/>
      <c r="W23" s="2123"/>
      <c r="X23" s="2127">
        <v>44501</v>
      </c>
      <c r="Y23" s="2128"/>
      <c r="Z23" s="2128"/>
      <c r="AA23" s="2129"/>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2024">
        <v>61241</v>
      </c>
      <c r="B25" s="2025"/>
      <c r="C25" s="2025"/>
      <c r="D25" s="2025"/>
      <c r="E25" s="2025"/>
      <c r="F25" s="2025"/>
      <c r="G25" s="2025"/>
      <c r="H25" s="2026"/>
      <c r="I25" s="113"/>
      <c r="J25" s="2049"/>
      <c r="K25" s="2049"/>
      <c r="L25" s="2049"/>
      <c r="M25" s="2049"/>
      <c r="N25" s="2049"/>
      <c r="O25" s="2049"/>
      <c r="P25" s="2049"/>
      <c r="Q25" s="2049"/>
      <c r="R25" s="2049"/>
      <c r="S25" s="2050"/>
      <c r="T25" s="2120" t="s">
        <v>2080</v>
      </c>
      <c r="U25" s="2121"/>
      <c r="V25" s="2121"/>
      <c r="W25" s="2121"/>
      <c r="X25" s="2121"/>
      <c r="Y25" s="2121"/>
      <c r="Z25" s="2121"/>
      <c r="AA25" s="21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5" t="s">
        <v>1511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6"/>
      <c r="Q35" s="2025"/>
      <c r="R35" s="20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0" t="s">
        <v>2081</v>
      </c>
      <c r="B38" s="2061"/>
      <c r="C38" s="2061"/>
      <c r="D38" s="2061"/>
      <c r="E38" s="2061"/>
      <c r="F38" s="2025"/>
      <c r="G38" s="2025"/>
      <c r="H38" s="2026"/>
      <c r="I38" s="2053"/>
      <c r="J38" s="2054"/>
      <c r="K38" s="2054"/>
      <c r="L38" s="2054"/>
      <c r="M38" s="2054"/>
      <c r="N38" s="2054"/>
      <c r="O38" s="2054"/>
      <c r="P38" s="2055"/>
      <c r="Q38" s="2055"/>
      <c r="R38" s="2055"/>
      <c r="S38" s="2056"/>
      <c r="T38" s="2110"/>
      <c r="U38" s="2054"/>
      <c r="V38" s="2054"/>
      <c r="W38" s="2054"/>
      <c r="X38" s="2055"/>
      <c r="Y38" s="2055"/>
      <c r="Z38" s="2055"/>
      <c r="AA38" s="2056"/>
    </row>
    <row r="39" spans="1:27" ht="12" customHeight="1" x14ac:dyDescent="0.2">
      <c r="A39" s="2030" t="s">
        <v>531</v>
      </c>
      <c r="B39" s="2031"/>
      <c r="C39" s="72"/>
      <c r="D39" s="69"/>
      <c r="E39" s="69"/>
      <c r="F39" s="79"/>
      <c r="G39" s="69"/>
      <c r="H39" s="56"/>
      <c r="I39" s="2030" t="s">
        <v>531</v>
      </c>
      <c r="J39" s="2031"/>
      <c r="K39" s="2031"/>
      <c r="L39" s="2031"/>
      <c r="M39" s="2031"/>
      <c r="N39" s="67"/>
      <c r="O39" s="72"/>
      <c r="P39" s="72"/>
      <c r="Q39" s="78"/>
      <c r="R39" s="72"/>
      <c r="S39" s="56"/>
      <c r="T39" s="72" t="s">
        <v>531</v>
      </c>
      <c r="U39" s="51"/>
      <c r="V39" s="72"/>
      <c r="W39" s="50"/>
      <c r="X39" s="78"/>
      <c r="Y39" s="45"/>
      <c r="Z39" s="45"/>
      <c r="AA39" s="46"/>
    </row>
    <row r="40" spans="1:27" ht="13.5" customHeight="1" x14ac:dyDescent="0.2">
      <c r="A40" s="2038" t="s">
        <v>2078</v>
      </c>
      <c r="B40" s="2039"/>
      <c r="C40" s="2040"/>
      <c r="D40" s="2040"/>
      <c r="E40" s="2040"/>
      <c r="F40" s="2041"/>
      <c r="G40" s="2041"/>
      <c r="H40" s="2042"/>
      <c r="I40" s="2063"/>
      <c r="J40" s="2064"/>
      <c r="K40" s="2064"/>
      <c r="L40" s="2064"/>
      <c r="M40" s="2064"/>
      <c r="N40" s="2064"/>
      <c r="O40" s="2064"/>
      <c r="P40" s="2064"/>
      <c r="Q40" s="2064"/>
      <c r="R40" s="2064"/>
      <c r="S40" s="2065"/>
      <c r="T40" s="2063"/>
      <c r="U40" s="2126"/>
      <c r="V40" s="2064"/>
      <c r="W40" s="2064"/>
      <c r="X40" s="2064"/>
      <c r="Y40" s="2064"/>
      <c r="Z40" s="2064"/>
      <c r="AA40" s="20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2" t="s">
        <v>2082</v>
      </c>
      <c r="B42" s="2044"/>
      <c r="C42" s="2045"/>
      <c r="D42" s="2043" t="s">
        <v>2083</v>
      </c>
      <c r="E42" s="2044"/>
      <c r="F42" s="2044"/>
      <c r="G42" s="2044"/>
      <c r="H42" s="2045"/>
      <c r="I42" s="2027"/>
      <c r="J42" s="2028"/>
      <c r="K42" s="2028"/>
      <c r="L42" s="2028"/>
      <c r="M42" s="2028"/>
      <c r="N42" s="2028"/>
      <c r="O42" s="2029"/>
      <c r="P42" s="2062"/>
      <c r="Q42" s="2028"/>
      <c r="R42" s="2028"/>
      <c r="S42" s="2029"/>
      <c r="T42" s="2027"/>
      <c r="U42" s="2028"/>
      <c r="V42" s="2028"/>
      <c r="W42" s="2029"/>
      <c r="X42" s="2062"/>
      <c r="Y42" s="2028"/>
      <c r="Z42" s="2028"/>
      <c r="AA42" s="202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7"/>
      <c r="B44" s="2058"/>
      <c r="C44" s="2058"/>
      <c r="D44" s="2058"/>
      <c r="E44" s="2058"/>
      <c r="F44" s="2058"/>
      <c r="G44" s="2058"/>
      <c r="H44" s="2059"/>
      <c r="I44" s="2032"/>
      <c r="J44" s="2033"/>
      <c r="K44" s="2033"/>
      <c r="L44" s="2033"/>
      <c r="M44" s="2033"/>
      <c r="N44" s="2033"/>
      <c r="O44" s="2033"/>
      <c r="P44" s="2033"/>
      <c r="Q44" s="2033"/>
      <c r="R44" s="2033"/>
      <c r="S44" s="2034"/>
      <c r="T44" s="2032"/>
      <c r="U44" s="2051"/>
      <c r="V44" s="2051"/>
      <c r="W44" s="2051"/>
      <c r="X44" s="2051"/>
      <c r="Y44" s="2051"/>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66" t="s">
        <v>1802</v>
      </c>
      <c r="B2" s="1525" t="s">
        <v>1951</v>
      </c>
      <c r="C2" s="711" t="s">
        <v>1952</v>
      </c>
      <c r="D2" s="711" t="s">
        <v>1953</v>
      </c>
      <c r="E2" s="711" t="s">
        <v>1954</v>
      </c>
      <c r="F2" s="711" t="s">
        <v>1955</v>
      </c>
    </row>
    <row r="3" spans="1:6" ht="12" customHeight="1" x14ac:dyDescent="0.2">
      <c r="A3" s="2267"/>
      <c r="B3" s="1522"/>
      <c r="C3" s="1523"/>
      <c r="D3" s="1524" t="s">
        <v>256</v>
      </c>
      <c r="E3" s="1523"/>
      <c r="F3" s="1524" t="s">
        <v>257</v>
      </c>
    </row>
    <row r="4" spans="1:6" ht="13.7" customHeight="1" x14ac:dyDescent="0.2">
      <c r="A4" s="712" t="s">
        <v>1155</v>
      </c>
      <c r="B4" s="1746">
        <f>'Revenues 9-14'!C5</f>
        <v>804852</v>
      </c>
      <c r="C4" s="1521">
        <v>428683</v>
      </c>
      <c r="D4" s="1749">
        <f>B4-C4</f>
        <v>376169</v>
      </c>
      <c r="E4" s="1521">
        <v>820487</v>
      </c>
      <c r="F4" s="1749">
        <f>E4-C4</f>
        <v>391804</v>
      </c>
    </row>
    <row r="5" spans="1:6" ht="13.7" customHeight="1" x14ac:dyDescent="0.2">
      <c r="A5" s="712" t="s">
        <v>870</v>
      </c>
      <c r="B5" s="1747">
        <f>'Revenues 9-14'!D5</f>
        <v>220233</v>
      </c>
      <c r="C5" s="582">
        <v>117301</v>
      </c>
      <c r="D5" s="1750">
        <f t="shared" ref="D5:D18" si="0">B5-C5</f>
        <v>102932</v>
      </c>
      <c r="E5" s="582">
        <v>224511</v>
      </c>
      <c r="F5" s="1750">
        <f>E5-C5</f>
        <v>107210</v>
      </c>
    </row>
    <row r="6" spans="1:6" ht="13.7" customHeight="1" x14ac:dyDescent="0.2">
      <c r="A6" s="712" t="s">
        <v>411</v>
      </c>
      <c r="B6" s="1747">
        <f>'Revenues 9-14'!E5</f>
        <v>182407</v>
      </c>
      <c r="C6" s="582">
        <v>96315</v>
      </c>
      <c r="D6" s="1750">
        <f t="shared" si="0"/>
        <v>86092</v>
      </c>
      <c r="E6" s="582">
        <v>184344</v>
      </c>
      <c r="F6" s="1750">
        <f t="shared" ref="F6:F18" si="1">E6-C6</f>
        <v>88029</v>
      </c>
    </row>
    <row r="7" spans="1:6" ht="13.7" customHeight="1" x14ac:dyDescent="0.2">
      <c r="A7" s="712" t="s">
        <v>155</v>
      </c>
      <c r="B7" s="1747">
        <f>'Revenues 9-14'!F5</f>
        <v>48051</v>
      </c>
      <c r="C7" s="582">
        <v>25593</v>
      </c>
      <c r="D7" s="1750">
        <f t="shared" si="0"/>
        <v>22458</v>
      </c>
      <c r="E7" s="582">
        <v>48984</v>
      </c>
      <c r="F7" s="1750">
        <f t="shared" si="1"/>
        <v>23391</v>
      </c>
    </row>
    <row r="8" spans="1:6" ht="13.7" customHeight="1" x14ac:dyDescent="0.2">
      <c r="A8" s="712" t="s">
        <v>1179</v>
      </c>
      <c r="B8" s="1747">
        <f>'Revenues 9-14'!G5</f>
        <v>66902</v>
      </c>
      <c r="C8" s="582">
        <v>38155</v>
      </c>
      <c r="D8" s="1750">
        <f t="shared" si="0"/>
        <v>28747</v>
      </c>
      <c r="E8" s="582">
        <v>73027</v>
      </c>
      <c r="F8" s="1750">
        <f t="shared" si="1"/>
        <v>34872</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20021</v>
      </c>
      <c r="C10" s="582">
        <v>10664</v>
      </c>
      <c r="D10" s="1750">
        <f t="shared" si="0"/>
        <v>9357</v>
      </c>
      <c r="E10" s="582">
        <v>20410</v>
      </c>
      <c r="F10" s="1750">
        <f t="shared" si="1"/>
        <v>9746</v>
      </c>
    </row>
    <row r="11" spans="1:6" x14ac:dyDescent="0.2">
      <c r="A11" s="712" t="s">
        <v>409</v>
      </c>
      <c r="B11" s="1747">
        <f>'Revenues 9-14'!J5</f>
        <v>106722</v>
      </c>
      <c r="C11" s="582">
        <v>56433</v>
      </c>
      <c r="D11" s="1750">
        <f t="shared" si="0"/>
        <v>50289</v>
      </c>
      <c r="E11" s="582">
        <v>108010</v>
      </c>
      <c r="F11" s="1750">
        <f t="shared" si="1"/>
        <v>51577</v>
      </c>
    </row>
    <row r="12" spans="1:6" ht="13.7" customHeight="1" x14ac:dyDescent="0.2">
      <c r="A12" s="712" t="s">
        <v>157</v>
      </c>
      <c r="B12" s="1747">
        <f>'Revenues 9-14'!K5</f>
        <v>20021</v>
      </c>
      <c r="C12" s="582">
        <v>10664</v>
      </c>
      <c r="D12" s="1750">
        <f t="shared" si="0"/>
        <v>9357</v>
      </c>
      <c r="E12" s="582">
        <v>20410</v>
      </c>
      <c r="F12" s="1750">
        <f t="shared" si="1"/>
        <v>9746</v>
      </c>
    </row>
    <row r="13" spans="1:6" ht="13.7" customHeight="1" x14ac:dyDescent="0.2">
      <c r="A13" s="712" t="s">
        <v>936</v>
      </c>
      <c r="B13" s="1747">
        <f>SUM('Revenues 9-14'!C6:D6)</f>
        <v>20021</v>
      </c>
      <c r="C13" s="582">
        <v>10664</v>
      </c>
      <c r="D13" s="1750">
        <f t="shared" si="0"/>
        <v>9357</v>
      </c>
      <c r="E13" s="582">
        <v>20410</v>
      </c>
      <c r="F13" s="1750">
        <f t="shared" si="1"/>
        <v>9746</v>
      </c>
    </row>
    <row r="14" spans="1:6" ht="13.7" customHeight="1" x14ac:dyDescent="0.2">
      <c r="A14" s="712" t="s">
        <v>410</v>
      </c>
      <c r="B14" s="1747">
        <f>SUM('Revenues 9-14'!C7:D7,'Revenues 9-14'!F7:H7)</f>
        <v>8008</v>
      </c>
      <c r="C14" s="582">
        <v>4266</v>
      </c>
      <c r="D14" s="1750">
        <f t="shared" si="0"/>
        <v>3742</v>
      </c>
      <c r="E14" s="582">
        <v>8164</v>
      </c>
      <c r="F14" s="1750">
        <f t="shared" si="1"/>
        <v>3898</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63661</v>
      </c>
      <c r="C16" s="582">
        <v>32930</v>
      </c>
      <c r="D16" s="1750">
        <f t="shared" si="0"/>
        <v>30731</v>
      </c>
      <c r="E16" s="582">
        <v>63026</v>
      </c>
      <c r="F16" s="1750">
        <f t="shared" si="1"/>
        <v>30096</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1560899</v>
      </c>
      <c r="C19" s="1748">
        <f>SUM(C4:C18)</f>
        <v>831668</v>
      </c>
      <c r="D19" s="1748">
        <f>SUM(D4:D18)</f>
        <v>729231</v>
      </c>
      <c r="E19" s="1748">
        <f>SUM(E4:E18)</f>
        <v>1591783</v>
      </c>
      <c r="F19" s="1748">
        <f>SUM(F4:F18)</f>
        <v>760115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8" t="s">
        <v>629</v>
      </c>
      <c r="B1" s="2286"/>
      <c r="C1" s="718"/>
    </row>
    <row r="2" spans="1:7" ht="33.75" x14ac:dyDescent="0.2">
      <c r="A2" s="2293" t="s">
        <v>1802</v>
      </c>
      <c r="B2" s="2294"/>
      <c r="C2" s="1881" t="s">
        <v>1956</v>
      </c>
      <c r="D2" s="720" t="s">
        <v>1957</v>
      </c>
      <c r="E2" s="720" t="s">
        <v>1958</v>
      </c>
      <c r="F2" s="1881" t="s">
        <v>1959</v>
      </c>
    </row>
    <row r="3" spans="1:7" ht="15.75" customHeight="1" x14ac:dyDescent="0.2">
      <c r="A3" s="2295" t="s">
        <v>1114</v>
      </c>
      <c r="B3" s="2296"/>
      <c r="C3" s="2289"/>
      <c r="D3" s="2290"/>
      <c r="E3" s="2290"/>
      <c r="F3" s="2291"/>
    </row>
    <row r="4" spans="1:7" ht="12.75" customHeight="1" thickBot="1" x14ac:dyDescent="0.25">
      <c r="A4" s="2283" t="s">
        <v>630</v>
      </c>
      <c r="B4" s="2284"/>
      <c r="C4" s="578"/>
      <c r="D4" s="578"/>
      <c r="E4" s="578"/>
      <c r="F4" s="1752">
        <f>SUM(C4+D4)-E4</f>
        <v>0</v>
      </c>
    </row>
    <row r="5" spans="1:7" ht="15.75" customHeight="1" thickTop="1" x14ac:dyDescent="0.2">
      <c r="A5" s="2287" t="s">
        <v>1110</v>
      </c>
      <c r="B5" s="2282"/>
      <c r="C5" s="2276"/>
      <c r="D5" s="2277"/>
      <c r="E5" s="2277"/>
      <c r="F5" s="2278"/>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79" t="s">
        <v>631</v>
      </c>
      <c r="B15" s="2280"/>
      <c r="C15" s="1752">
        <f>SUM(C6:C14)</f>
        <v>0</v>
      </c>
      <c r="D15" s="1752">
        <f>SUM(D6:D14)</f>
        <v>0</v>
      </c>
      <c r="E15" s="1752">
        <f>SUM(E6:E14)</f>
        <v>0</v>
      </c>
      <c r="F15" s="1752">
        <f>SUM(F6:F14)</f>
        <v>0</v>
      </c>
      <c r="G15" s="549"/>
    </row>
    <row r="16" spans="1:7" s="202" customFormat="1" ht="15.75" customHeight="1" thickTop="1" x14ac:dyDescent="0.2">
      <c r="A16" s="2292" t="s">
        <v>1111</v>
      </c>
      <c r="B16" s="2282"/>
      <c r="C16" s="2276"/>
      <c r="D16" s="2277"/>
      <c r="E16" s="2277"/>
      <c r="F16" s="2278"/>
    </row>
    <row r="17" spans="1:11" ht="12.75" customHeight="1" thickBot="1" x14ac:dyDescent="0.25">
      <c r="A17" s="2274" t="s">
        <v>64</v>
      </c>
      <c r="B17" s="2275"/>
      <c r="C17" s="723"/>
      <c r="D17" s="582"/>
      <c r="E17" s="723"/>
      <c r="F17" s="1752">
        <f>SUM(C17+D17)-E17</f>
        <v>0</v>
      </c>
    </row>
    <row r="18" spans="1:11" ht="12.75" customHeight="1" thickTop="1" thickBot="1" x14ac:dyDescent="0.25">
      <c r="A18" s="2274" t="s">
        <v>6</v>
      </c>
      <c r="B18" s="2275"/>
      <c r="C18" s="723"/>
      <c r="D18" s="582"/>
      <c r="E18" s="723"/>
      <c r="F18" s="1752">
        <f>SUM(C18+D18)-E18</f>
        <v>0</v>
      </c>
    </row>
    <row r="19" spans="1:11" ht="12.75" customHeight="1" thickTop="1" thickBot="1" x14ac:dyDescent="0.25">
      <c r="A19" s="2274" t="s">
        <v>388</v>
      </c>
      <c r="B19" s="2275"/>
      <c r="C19" s="723"/>
      <c r="D19" s="582"/>
      <c r="E19" s="723"/>
      <c r="F19" s="1752">
        <f>SUM(C19+D19)-E19</f>
        <v>0</v>
      </c>
    </row>
    <row r="20" spans="1:11" ht="12.75" customHeight="1" thickTop="1" thickBot="1" x14ac:dyDescent="0.25">
      <c r="A20" s="2274" t="s">
        <v>448</v>
      </c>
      <c r="B20" s="2275"/>
      <c r="C20" s="723"/>
      <c r="D20" s="582"/>
      <c r="E20" s="723"/>
      <c r="F20" s="1752">
        <f>SUM(C20+D20)-E20</f>
        <v>0</v>
      </c>
    </row>
    <row r="21" spans="1:11" ht="14.25" thickTop="1" thickBot="1" x14ac:dyDescent="0.25">
      <c r="A21" s="2279" t="s">
        <v>632</v>
      </c>
      <c r="B21" s="2280"/>
      <c r="C21" s="1752">
        <f>SUM(C17:C20)</f>
        <v>0</v>
      </c>
      <c r="D21" s="1752">
        <f>SUM(D17:D20)</f>
        <v>0</v>
      </c>
      <c r="E21" s="1752">
        <f>SUM(E17:E20)</f>
        <v>0</v>
      </c>
      <c r="F21" s="1752">
        <f>SUM(F17:F20)</f>
        <v>0</v>
      </c>
      <c r="G21" s="549"/>
    </row>
    <row r="22" spans="1:11" ht="15.75" customHeight="1" thickTop="1" x14ac:dyDescent="0.2">
      <c r="A22" s="2281" t="s">
        <v>1112</v>
      </c>
      <c r="B22" s="2282"/>
      <c r="C22" s="2276"/>
      <c r="D22" s="2277"/>
      <c r="E22" s="2277"/>
      <c r="F22" s="2278"/>
    </row>
    <row r="23" spans="1:11" ht="13.5" thickBot="1" x14ac:dyDescent="0.25">
      <c r="A23" s="2283" t="s">
        <v>633</v>
      </c>
      <c r="B23" s="2284"/>
      <c r="C23" s="578"/>
      <c r="D23" s="578"/>
      <c r="E23" s="578"/>
      <c r="F23" s="1752">
        <f>SUM(C23+D23)-E23</f>
        <v>0</v>
      </c>
      <c r="G23" s="549"/>
    </row>
    <row r="24" spans="1:11" ht="15.75" customHeight="1" thickTop="1" x14ac:dyDescent="0.2">
      <c r="A24" s="2281" t="s">
        <v>1113</v>
      </c>
      <c r="B24" s="2282"/>
      <c r="C24" s="2276"/>
      <c r="D24" s="2277"/>
      <c r="E24" s="2277"/>
      <c r="F24" s="2278"/>
    </row>
    <row r="25" spans="1:11" ht="13.5" thickBot="1" x14ac:dyDescent="0.25">
      <c r="A25" s="2283" t="s">
        <v>634</v>
      </c>
      <c r="B25" s="2284"/>
      <c r="C25" s="578"/>
      <c r="D25" s="578"/>
      <c r="E25" s="578"/>
      <c r="F25" s="1752">
        <f>SUM(C25+D25)-E25</f>
        <v>0</v>
      </c>
      <c r="G25" s="549"/>
    </row>
    <row r="26" spans="1:11" ht="15.75" customHeight="1" thickTop="1" x14ac:dyDescent="0.2">
      <c r="A26" s="2287" t="s">
        <v>657</v>
      </c>
      <c r="B26" s="2282"/>
      <c r="C26" s="724"/>
      <c r="D26" s="724"/>
      <c r="E26" s="724"/>
      <c r="F26" s="725"/>
    </row>
    <row r="27" spans="1:11" ht="13.5" thickBot="1" x14ac:dyDescent="0.25">
      <c r="A27" s="2279" t="s">
        <v>1070</v>
      </c>
      <c r="B27" s="2280"/>
      <c r="C27" s="582"/>
      <c r="D27" s="582"/>
      <c r="E27" s="582"/>
      <c r="F27" s="1752">
        <f>SUM(C27+D27)-E27</f>
        <v>0</v>
      </c>
      <c r="G27" s="549"/>
    </row>
    <row r="28" spans="1:11" ht="7.5" customHeight="1" thickTop="1" x14ac:dyDescent="0.2">
      <c r="A28" s="590"/>
    </row>
    <row r="29" spans="1:11" ht="23.25" customHeight="1" x14ac:dyDescent="0.2">
      <c r="A29" s="2285" t="s">
        <v>582</v>
      </c>
      <c r="B29" s="2286"/>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2145</v>
      </c>
      <c r="B31" s="730">
        <v>42426</v>
      </c>
      <c r="C31" s="731">
        <v>580000</v>
      </c>
      <c r="D31" s="732">
        <v>4</v>
      </c>
      <c r="E31" s="731">
        <v>355000</v>
      </c>
      <c r="F31" s="731"/>
      <c r="G31" s="731"/>
      <c r="H31" s="731">
        <v>175000</v>
      </c>
      <c r="I31" s="1753">
        <f>((E31+F31)-H31)+G31</f>
        <v>180000</v>
      </c>
      <c r="J31" s="731">
        <f>I31-190535</f>
        <v>-10535</v>
      </c>
      <c r="K31" s="733"/>
    </row>
    <row r="32" spans="1:11" ht="12" customHeight="1" x14ac:dyDescent="0.2">
      <c r="A32" s="729" t="s">
        <v>2084</v>
      </c>
      <c r="B32" s="730">
        <v>42062</v>
      </c>
      <c r="C32" s="731">
        <v>440000</v>
      </c>
      <c r="D32" s="732">
        <v>7</v>
      </c>
      <c r="E32" s="731">
        <v>270000</v>
      </c>
      <c r="F32" s="731"/>
      <c r="G32" s="731"/>
      <c r="H32" s="731">
        <v>65000</v>
      </c>
      <c r="I32" s="1753">
        <f>((E32+F32)-H32)+G32</f>
        <v>205000</v>
      </c>
      <c r="J32" s="731">
        <f>I32-76242</f>
        <v>128758</v>
      </c>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1020000</v>
      </c>
      <c r="D49" s="742"/>
      <c r="E49" s="1753">
        <f t="shared" ref="E49:J49" si="2">SUM(E31:E48)</f>
        <v>625000</v>
      </c>
      <c r="F49" s="1753">
        <f t="shared" si="2"/>
        <v>0</v>
      </c>
      <c r="G49" s="1753">
        <f t="shared" si="2"/>
        <v>0</v>
      </c>
      <c r="H49" s="1753">
        <f t="shared" si="2"/>
        <v>240000</v>
      </c>
      <c r="I49" s="1753">
        <f t="shared" si="2"/>
        <v>385000</v>
      </c>
      <c r="J49" s="1753">
        <f t="shared" si="2"/>
        <v>118223</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68" t="s">
        <v>584</v>
      </c>
      <c r="C52" s="2269"/>
      <c r="D52" s="2269"/>
      <c r="E52" s="746" t="s">
        <v>845</v>
      </c>
      <c r="F52" s="2270" t="s">
        <v>2152</v>
      </c>
      <c r="G52" s="2271"/>
      <c r="H52" s="733"/>
      <c r="I52" s="733"/>
      <c r="J52" s="743"/>
    </row>
    <row r="53" spans="1:11" ht="11.25" customHeight="1" x14ac:dyDescent="0.2">
      <c r="A53" s="747" t="s">
        <v>913</v>
      </c>
      <c r="B53" s="748" t="s">
        <v>951</v>
      </c>
      <c r="C53" s="743"/>
      <c r="D53" s="734"/>
      <c r="E53" s="746" t="s">
        <v>497</v>
      </c>
      <c r="F53" s="2272"/>
      <c r="G53" s="2273"/>
      <c r="H53" s="733"/>
      <c r="I53" s="733"/>
      <c r="J53" s="743"/>
    </row>
    <row r="54" spans="1:11" ht="11.25" customHeight="1" x14ac:dyDescent="0.2">
      <c r="A54" s="749" t="s">
        <v>914</v>
      </c>
      <c r="B54" s="744" t="s">
        <v>952</v>
      </c>
      <c r="C54" s="743"/>
      <c r="D54" s="734"/>
      <c r="E54" s="746" t="s">
        <v>498</v>
      </c>
      <c r="F54" s="2272"/>
      <c r="G54" s="227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7" t="s">
        <v>856</v>
      </c>
      <c r="B1" s="2298"/>
      <c r="C1" s="2298"/>
      <c r="D1" s="2298"/>
      <c r="E1" s="2298"/>
      <c r="F1" s="2298"/>
      <c r="G1" s="2299"/>
      <c r="H1" s="1527"/>
      <c r="I1" s="757"/>
      <c r="J1" s="433"/>
    </row>
    <row r="2" spans="1:11" ht="26.25" x14ac:dyDescent="0.2">
      <c r="A2" s="2316" t="s">
        <v>1677</v>
      </c>
      <c r="B2" s="2317"/>
      <c r="C2" s="2317"/>
      <c r="D2" s="2317"/>
      <c r="E2" s="2318"/>
      <c r="F2" s="758" t="s">
        <v>904</v>
      </c>
      <c r="G2" s="759" t="s">
        <v>1674</v>
      </c>
      <c r="H2" s="759" t="s">
        <v>410</v>
      </c>
      <c r="I2" s="759" t="s">
        <v>1158</v>
      </c>
      <c r="J2" s="759" t="s">
        <v>1812</v>
      </c>
      <c r="K2" s="759" t="s">
        <v>138</v>
      </c>
    </row>
    <row r="3" spans="1:11" x14ac:dyDescent="0.2">
      <c r="A3" s="2319" t="s">
        <v>1964</v>
      </c>
      <c r="B3" s="2320"/>
      <c r="C3" s="2320"/>
      <c r="D3" s="2320"/>
      <c r="E3" s="2321"/>
      <c r="F3" s="760"/>
      <c r="G3" s="761"/>
      <c r="H3" s="761"/>
      <c r="I3" s="761"/>
      <c r="J3" s="762">
        <v>263806</v>
      </c>
      <c r="K3" s="762"/>
    </row>
    <row r="4" spans="1:11" x14ac:dyDescent="0.2">
      <c r="A4" s="2322" t="s">
        <v>369</v>
      </c>
      <c r="B4" s="2323"/>
      <c r="C4" s="2323"/>
      <c r="D4" s="2323"/>
      <c r="E4" s="2269"/>
      <c r="F4" s="763"/>
      <c r="G4" s="764"/>
      <c r="H4" s="765"/>
      <c r="I4" s="764"/>
      <c r="J4" s="766"/>
      <c r="K4" s="766"/>
    </row>
    <row r="5" spans="1:11" x14ac:dyDescent="0.2">
      <c r="A5" s="2300" t="s">
        <v>1069</v>
      </c>
      <c r="B5" s="2301"/>
      <c r="C5" s="2301"/>
      <c r="D5" s="2301"/>
      <c r="E5" s="2302"/>
      <c r="F5" s="767" t="s">
        <v>848</v>
      </c>
      <c r="G5" s="768"/>
      <c r="H5" s="761">
        <v>8008</v>
      </c>
      <c r="I5" s="769"/>
      <c r="J5" s="770"/>
      <c r="K5" s="770"/>
    </row>
    <row r="6" spans="1:11" x14ac:dyDescent="0.2">
      <c r="A6" s="771" t="s">
        <v>720</v>
      </c>
      <c r="B6" s="772"/>
      <c r="C6" s="772"/>
      <c r="D6" s="772"/>
      <c r="E6" s="773"/>
      <c r="F6" s="774" t="s">
        <v>849</v>
      </c>
      <c r="G6" s="761"/>
      <c r="H6" s="761">
        <v>5</v>
      </c>
      <c r="I6" s="761"/>
      <c r="J6" s="762">
        <f>1020.91+4290.71+1</f>
        <v>5312.62</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f>79366.63+117417.06</f>
        <v>196783.69</v>
      </c>
      <c r="K8" s="766"/>
    </row>
    <row r="9" spans="1:11" x14ac:dyDescent="0.2">
      <c r="A9" s="775" t="s">
        <v>138</v>
      </c>
      <c r="B9" s="776"/>
      <c r="C9" s="776"/>
      <c r="D9" s="776"/>
      <c r="E9" s="777"/>
      <c r="F9" s="774" t="s">
        <v>853</v>
      </c>
      <c r="G9" s="779"/>
      <c r="H9" s="768"/>
      <c r="I9" s="768"/>
      <c r="J9" s="778"/>
      <c r="K9" s="762"/>
    </row>
    <row r="10" spans="1:11" x14ac:dyDescent="0.2">
      <c r="A10" s="2300" t="s">
        <v>1813</v>
      </c>
      <c r="B10" s="2301"/>
      <c r="C10" s="2301"/>
      <c r="D10" s="2301"/>
      <c r="E10" s="2303"/>
      <c r="F10" s="780" t="s">
        <v>862</v>
      </c>
      <c r="G10" s="779"/>
      <c r="H10" s="781"/>
      <c r="I10" s="761"/>
      <c r="J10" s="762"/>
      <c r="K10" s="762"/>
    </row>
    <row r="11" spans="1:11" x14ac:dyDescent="0.2">
      <c r="A11" s="2300" t="s">
        <v>160</v>
      </c>
      <c r="B11" s="2301"/>
      <c r="C11" s="2301"/>
      <c r="D11" s="2301"/>
      <c r="E11" s="2302"/>
      <c r="F11" s="767" t="s">
        <v>852</v>
      </c>
      <c r="G11" s="768"/>
      <c r="H11" s="761"/>
      <c r="I11" s="761"/>
      <c r="J11" s="762"/>
      <c r="K11" s="770"/>
    </row>
    <row r="12" spans="1:11" ht="13.5" thickBot="1" x14ac:dyDescent="0.25">
      <c r="A12" s="2327" t="s">
        <v>905</v>
      </c>
      <c r="B12" s="2328"/>
      <c r="C12" s="2328"/>
      <c r="D12" s="2328"/>
      <c r="E12" s="2329"/>
      <c r="F12" s="1754"/>
      <c r="G12" s="1755">
        <f>SUM(G5:G11)</f>
        <v>0</v>
      </c>
      <c r="H12" s="1755">
        <f>SUM(H5:H11)</f>
        <v>8013</v>
      </c>
      <c r="I12" s="1755">
        <f>SUM(I5:I11)</f>
        <v>0</v>
      </c>
      <c r="J12" s="1755">
        <f>SUM(J5:J11)</f>
        <v>202096.31</v>
      </c>
      <c r="K12" s="1755">
        <f>SUM(K5:K11)</f>
        <v>0</v>
      </c>
    </row>
    <row r="13" spans="1:11" ht="13.5" thickTop="1" x14ac:dyDescent="0.2">
      <c r="A13" s="2324" t="s">
        <v>370</v>
      </c>
      <c r="B13" s="2325"/>
      <c r="C13" s="2325"/>
      <c r="D13" s="2325"/>
      <c r="E13" s="2326"/>
      <c r="F13" s="782"/>
      <c r="G13" s="783"/>
      <c r="H13" s="784"/>
      <c r="I13" s="785"/>
      <c r="J13" s="785"/>
      <c r="K13" s="785"/>
    </row>
    <row r="14" spans="1:11" x14ac:dyDescent="0.2">
      <c r="A14" s="2307" t="s">
        <v>456</v>
      </c>
      <c r="B14" s="2307"/>
      <c r="C14" s="2307"/>
      <c r="D14" s="2307"/>
      <c r="E14" s="2308"/>
      <c r="F14" s="786" t="s">
        <v>854</v>
      </c>
      <c r="G14" s="779"/>
      <c r="H14" s="761">
        <v>8013</v>
      </c>
      <c r="I14" s="768"/>
      <c r="J14" s="770"/>
      <c r="K14" s="762"/>
    </row>
    <row r="15" spans="1:11" x14ac:dyDescent="0.2">
      <c r="A15" s="2301" t="s">
        <v>4</v>
      </c>
      <c r="B15" s="2301"/>
      <c r="C15" s="2301"/>
      <c r="D15" s="2301"/>
      <c r="E15" s="2302"/>
      <c r="F15" s="786" t="s">
        <v>855</v>
      </c>
      <c r="G15" s="768"/>
      <c r="H15" s="761"/>
      <c r="I15" s="761"/>
      <c r="J15" s="762">
        <v>24053.88</v>
      </c>
      <c r="K15" s="762"/>
    </row>
    <row r="16" spans="1:11" x14ac:dyDescent="0.2">
      <c r="A16" s="2301" t="s">
        <v>298</v>
      </c>
      <c r="B16" s="2301"/>
      <c r="C16" s="2301"/>
      <c r="D16" s="2301"/>
      <c r="E16" s="2302"/>
      <c r="F16" s="786" t="s">
        <v>923</v>
      </c>
      <c r="G16" s="769"/>
      <c r="H16" s="764"/>
      <c r="I16" s="764"/>
      <c r="J16" s="766"/>
      <c r="K16" s="766"/>
    </row>
    <row r="17" spans="1:11" x14ac:dyDescent="0.2">
      <c r="A17" s="2332" t="s">
        <v>935</v>
      </c>
      <c r="B17" s="2332"/>
      <c r="C17" s="2332"/>
      <c r="D17" s="2332"/>
      <c r="E17" s="2333"/>
      <c r="F17" s="787"/>
      <c r="G17" s="788"/>
      <c r="H17" s="789"/>
      <c r="I17" s="789"/>
      <c r="J17" s="790"/>
      <c r="K17" s="791"/>
    </row>
    <row r="18" spans="1:11" x14ac:dyDescent="0.2">
      <c r="A18" s="2311" t="s">
        <v>368</v>
      </c>
      <c r="B18" s="2312"/>
      <c r="C18" s="2312"/>
      <c r="D18" s="2312"/>
      <c r="E18" s="2313"/>
      <c r="F18" s="786" t="s">
        <v>932</v>
      </c>
      <c r="G18" s="779"/>
      <c r="H18" s="779"/>
      <c r="I18" s="779"/>
      <c r="J18" s="762">
        <f>500+7475</f>
        <v>7975</v>
      </c>
      <c r="K18" s="792"/>
    </row>
    <row r="19" spans="1:11" ht="21.75" customHeight="1" x14ac:dyDescent="0.2">
      <c r="A19" s="2309" t="s">
        <v>1809</v>
      </c>
      <c r="B19" s="2309"/>
      <c r="C19" s="2309"/>
      <c r="D19" s="2309"/>
      <c r="E19" s="2310"/>
      <c r="F19" s="786" t="s">
        <v>933</v>
      </c>
      <c r="G19" s="779"/>
      <c r="H19" s="779"/>
      <c r="I19" s="779"/>
      <c r="J19" s="762">
        <v>65000</v>
      </c>
      <c r="K19" s="792"/>
    </row>
    <row r="20" spans="1:11" x14ac:dyDescent="0.2">
      <c r="A20" s="2311" t="s">
        <v>1814</v>
      </c>
      <c r="B20" s="2312"/>
      <c r="C20" s="2312"/>
      <c r="D20" s="2312"/>
      <c r="E20" s="2313"/>
      <c r="F20" s="786" t="s">
        <v>934</v>
      </c>
      <c r="G20" s="779"/>
      <c r="H20" s="779"/>
      <c r="I20" s="779"/>
      <c r="J20" s="762"/>
      <c r="K20" s="792"/>
    </row>
    <row r="21" spans="1:11" ht="13.5" thickBot="1" x14ac:dyDescent="0.25">
      <c r="A21" s="2330" t="s">
        <v>638</v>
      </c>
      <c r="B21" s="2330"/>
      <c r="C21" s="2330"/>
      <c r="D21" s="2330"/>
      <c r="E21" s="2330"/>
      <c r="F21" s="1756"/>
      <c r="G21" s="789"/>
      <c r="H21" s="793"/>
      <c r="I21" s="793"/>
      <c r="J21" s="1757">
        <f>SUM(J18:J20)</f>
        <v>72975</v>
      </c>
      <c r="K21" s="790"/>
    </row>
    <row r="22" spans="1:11" ht="13.5" thickTop="1" x14ac:dyDescent="0.2">
      <c r="A22" s="2301" t="s">
        <v>1815</v>
      </c>
      <c r="B22" s="2301"/>
      <c r="C22" s="2301"/>
      <c r="D22" s="2301"/>
      <c r="E22" s="2302"/>
      <c r="F22" s="786" t="s">
        <v>862</v>
      </c>
      <c r="G22" s="779"/>
      <c r="H22" s="761"/>
      <c r="I22" s="761"/>
      <c r="J22" s="794"/>
      <c r="K22" s="762"/>
    </row>
    <row r="23" spans="1:11" ht="13.5" thickBot="1" x14ac:dyDescent="0.25">
      <c r="A23" s="2331" t="s">
        <v>906</v>
      </c>
      <c r="B23" s="2330"/>
      <c r="C23" s="2330"/>
      <c r="D23" s="2330"/>
      <c r="E23" s="2330"/>
      <c r="F23" s="1758"/>
      <c r="G23" s="1755">
        <f>SUM(G14:G16,G21,G22)</f>
        <v>0</v>
      </c>
      <c r="H23" s="1755">
        <f>SUM(H14:H16,H21,H22)</f>
        <v>8013</v>
      </c>
      <c r="I23" s="1755">
        <f>SUM(I14:I16,I21,I22)</f>
        <v>0</v>
      </c>
      <c r="J23" s="1755">
        <f>SUM(J14:J16,J21,J22)</f>
        <v>97028.88</v>
      </c>
      <c r="K23" s="1755">
        <f>SUM(K14:K16,K21,K22)</f>
        <v>0</v>
      </c>
    </row>
    <row r="24" spans="1:11" ht="14.25" thickTop="1" thickBot="1" x14ac:dyDescent="0.25">
      <c r="A24" s="2331" t="s">
        <v>1965</v>
      </c>
      <c r="B24" s="2330"/>
      <c r="C24" s="2330"/>
      <c r="D24" s="2330"/>
      <c r="E24" s="2330"/>
      <c r="F24" s="1759"/>
      <c r="G24" s="1760">
        <f>SUM(G3,G12)-G23</f>
        <v>0</v>
      </c>
      <c r="H24" s="1760">
        <f>SUM(H3,H12)-H23</f>
        <v>0</v>
      </c>
      <c r="I24" s="1760">
        <f>SUM(I3,I12)-I23</f>
        <v>0</v>
      </c>
      <c r="J24" s="1760">
        <f>SUM(J3,J12)-J23</f>
        <v>368873.43</v>
      </c>
      <c r="K24" s="1760">
        <f>SUM(K3,K12)-K23</f>
        <v>0</v>
      </c>
    </row>
    <row r="25" spans="1:11" ht="13.5" thickTop="1" x14ac:dyDescent="0.2">
      <c r="A25" s="795" t="s">
        <v>420</v>
      </c>
      <c r="B25" s="796"/>
      <c r="C25" s="796"/>
      <c r="D25" s="796"/>
      <c r="E25" s="797"/>
      <c r="F25" s="798">
        <v>714</v>
      </c>
      <c r="G25" s="799"/>
      <c r="H25" s="799"/>
      <c r="I25" s="799"/>
      <c r="J25" s="794">
        <v>368873</v>
      </c>
      <c r="K25" s="794"/>
    </row>
    <row r="26" spans="1:11" ht="13.5" thickBot="1" x14ac:dyDescent="0.25">
      <c r="A26" s="795" t="s">
        <v>342</v>
      </c>
      <c r="B26" s="796"/>
      <c r="C26" s="796"/>
      <c r="D26" s="796"/>
      <c r="E26" s="797"/>
      <c r="F26" s="798">
        <v>730</v>
      </c>
      <c r="G26" s="1755">
        <f>G24-G25</f>
        <v>0</v>
      </c>
      <c r="H26" s="1755">
        <f>H24-H25</f>
        <v>0</v>
      </c>
      <c r="I26" s="1755">
        <f>I24-I25</f>
        <v>0</v>
      </c>
      <c r="J26" s="1755">
        <f>J24-J25</f>
        <v>0.42999999999301508</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04"/>
      <c r="I31" s="2305"/>
      <c r="J31" s="2305"/>
      <c r="K31" s="2305"/>
    </row>
    <row r="32" spans="1:11" x14ac:dyDescent="0.2">
      <c r="A32" s="806"/>
      <c r="B32" s="237"/>
      <c r="C32" s="237"/>
      <c r="D32" s="237"/>
      <c r="E32" s="802"/>
      <c r="F32" s="808" t="s">
        <v>540</v>
      </c>
      <c r="G32" s="761"/>
      <c r="H32" s="2306"/>
      <c r="I32" s="2305"/>
      <c r="J32" s="2305"/>
      <c r="K32" s="2305"/>
    </row>
    <row r="33" spans="1:11" ht="1.5" customHeight="1" x14ac:dyDescent="0.2">
      <c r="A33" s="809" t="s">
        <v>1169</v>
      </c>
      <c r="B33" s="364"/>
      <c r="C33" s="364"/>
      <c r="D33" s="364"/>
      <c r="E33" s="364"/>
      <c r="F33" s="364"/>
      <c r="G33" s="810"/>
      <c r="H33" s="2306"/>
      <c r="I33" s="2305"/>
      <c r="J33" s="2305"/>
      <c r="K33" s="2305"/>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01" t="s">
        <v>541</v>
      </c>
      <c r="B41" s="2314"/>
      <c r="C41" s="2314"/>
      <c r="D41" s="2314"/>
      <c r="E41" s="2314"/>
      <c r="F41" s="2315"/>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1909</v>
      </c>
      <c r="B1" s="2337"/>
      <c r="C1" s="2338"/>
      <c r="D1" s="823"/>
      <c r="E1" s="824"/>
      <c r="F1" s="824"/>
      <c r="G1" s="825"/>
      <c r="H1" s="826"/>
      <c r="I1" s="827"/>
      <c r="J1" s="2334"/>
      <c r="K1" s="2335"/>
      <c r="L1" s="2335"/>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86633</v>
      </c>
      <c r="D5" s="838">
        <v>165436</v>
      </c>
      <c r="E5" s="838">
        <v>0</v>
      </c>
      <c r="F5" s="1757">
        <f>(C5+D5)-E5</f>
        <v>252069</v>
      </c>
      <c r="G5" s="834"/>
      <c r="H5" s="839"/>
      <c r="I5" s="839"/>
      <c r="J5" s="839"/>
      <c r="K5" s="790"/>
      <c r="L5" s="1766">
        <f>F5-K5</f>
        <v>252069</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6298620</v>
      </c>
      <c r="D8" s="841">
        <v>33558</v>
      </c>
      <c r="E8" s="841">
        <v>0</v>
      </c>
      <c r="F8" s="1757">
        <f>(C8+D8)-E8</f>
        <v>6332178</v>
      </c>
      <c r="G8" s="840">
        <v>50</v>
      </c>
      <c r="H8" s="762">
        <v>2551792</v>
      </c>
      <c r="I8" s="762">
        <v>117388</v>
      </c>
      <c r="J8" s="762">
        <v>0</v>
      </c>
      <c r="K8" s="1766">
        <f>(H8+I8)-J8</f>
        <v>2669180</v>
      </c>
      <c r="L8" s="1766">
        <f>F8-K8</f>
        <v>3662998</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316837</v>
      </c>
      <c r="D10" s="843">
        <v>0</v>
      </c>
      <c r="E10" s="843">
        <v>0</v>
      </c>
      <c r="F10" s="1761">
        <f>(C10+D10)-E10</f>
        <v>316837</v>
      </c>
      <c r="G10" s="840">
        <v>20</v>
      </c>
      <c r="H10" s="844">
        <v>172456</v>
      </c>
      <c r="I10" s="844">
        <v>11374</v>
      </c>
      <c r="J10" s="844">
        <v>0</v>
      </c>
      <c r="K10" s="1766">
        <f>(H10+I10)-J10</f>
        <v>183830</v>
      </c>
      <c r="L10" s="1766">
        <f>F10-K10</f>
        <v>133007</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504373</v>
      </c>
      <c r="D12" s="841">
        <v>78328</v>
      </c>
      <c r="E12" s="841">
        <v>76951</v>
      </c>
      <c r="F12" s="1757">
        <f>(C12+D12)-E12</f>
        <v>505750</v>
      </c>
      <c r="G12" s="840">
        <v>10</v>
      </c>
      <c r="H12" s="762">
        <v>303264</v>
      </c>
      <c r="I12" s="762">
        <v>50575</v>
      </c>
      <c r="J12" s="762">
        <v>76951</v>
      </c>
      <c r="K12" s="1766">
        <f>(H12+I12)-J12</f>
        <v>276888</v>
      </c>
      <c r="L12" s="1766">
        <f>F12-K12</f>
        <v>228862</v>
      </c>
    </row>
    <row r="13" spans="1:14" ht="14.25" thickTop="1" thickBot="1" x14ac:dyDescent="0.25">
      <c r="A13" s="845" t="s">
        <v>1122</v>
      </c>
      <c r="B13" s="837">
        <v>252</v>
      </c>
      <c r="C13" s="841">
        <v>28104</v>
      </c>
      <c r="D13" s="841">
        <v>0</v>
      </c>
      <c r="E13" s="841">
        <v>0</v>
      </c>
      <c r="F13" s="1757">
        <f>(C13+D13)-E13</f>
        <v>28104</v>
      </c>
      <c r="G13" s="840">
        <v>5</v>
      </c>
      <c r="H13" s="762">
        <v>22484</v>
      </c>
      <c r="I13" s="762">
        <v>5620</v>
      </c>
      <c r="J13" s="762">
        <v>0</v>
      </c>
      <c r="K13" s="1766">
        <f>(H13+I13)-J13</f>
        <v>28104</v>
      </c>
      <c r="L13" s="1766">
        <f>F13-K13</f>
        <v>0</v>
      </c>
    </row>
    <row r="14" spans="1:14" ht="14.25" thickTop="1" thickBot="1" x14ac:dyDescent="0.25">
      <c r="A14" s="845" t="s">
        <v>1123</v>
      </c>
      <c r="B14" s="837">
        <v>253</v>
      </c>
      <c r="C14" s="762">
        <v>1149</v>
      </c>
      <c r="D14" s="762">
        <v>0</v>
      </c>
      <c r="E14" s="762">
        <v>0</v>
      </c>
      <c r="F14" s="1757">
        <f>(C14+D14)-E14</f>
        <v>1149</v>
      </c>
      <c r="G14" s="840">
        <v>3</v>
      </c>
      <c r="H14" s="762">
        <v>1149</v>
      </c>
      <c r="I14" s="762">
        <v>0</v>
      </c>
      <c r="J14" s="762">
        <v>0</v>
      </c>
      <c r="K14" s="1766">
        <f>(H14+I14)-J14</f>
        <v>1149</v>
      </c>
      <c r="L14" s="1766">
        <f>F14-K14</f>
        <v>0</v>
      </c>
    </row>
    <row r="15" spans="1:14" ht="15" customHeight="1" thickTop="1" thickBot="1" x14ac:dyDescent="0.25">
      <c r="A15" s="1628" t="s">
        <v>528</v>
      </c>
      <c r="B15" s="1627">
        <v>260</v>
      </c>
      <c r="C15" s="841">
        <v>0</v>
      </c>
      <c r="D15" s="841">
        <v>14900</v>
      </c>
      <c r="E15" s="841">
        <v>0</v>
      </c>
      <c r="F15" s="1757">
        <f>(C15+D15)-E15</f>
        <v>14900</v>
      </c>
      <c r="G15" s="846" t="s">
        <v>862</v>
      </c>
      <c r="H15" s="778"/>
      <c r="I15" s="778"/>
      <c r="J15" s="778"/>
      <c r="K15" s="778"/>
      <c r="L15" s="1766">
        <f>F15-K15</f>
        <v>14900</v>
      </c>
    </row>
    <row r="16" spans="1:14" ht="15" customHeight="1" thickTop="1" thickBot="1" x14ac:dyDescent="0.25">
      <c r="A16" s="1762" t="s">
        <v>643</v>
      </c>
      <c r="B16" s="1763">
        <v>200</v>
      </c>
      <c r="C16" s="1757">
        <f>SUM(C3,C5:C6,C8:C10,C12:C15)</f>
        <v>7235716</v>
      </c>
      <c r="D16" s="1757">
        <f>SUM(D3,D5:D6,D8:D10,D12:D15)</f>
        <v>292222</v>
      </c>
      <c r="E16" s="1757">
        <f>SUM(E3,E5:E6,E8:E10,E12:E15)</f>
        <v>76951</v>
      </c>
      <c r="F16" s="1757">
        <f>SUM(F3,F5:F6,F8:F10,F12:F15)</f>
        <v>7450987</v>
      </c>
      <c r="G16" s="840"/>
      <c r="H16" s="1757">
        <f>SUM(H3,H6,H8:H10,H12:H14,)</f>
        <v>3051145</v>
      </c>
      <c r="I16" s="1757">
        <f>SUM(I3,I6,I8:I10,I12:I14,)</f>
        <v>184957</v>
      </c>
      <c r="J16" s="1757">
        <f>SUM(J3,J6,J8:J10,J12:J14,)</f>
        <v>76951</v>
      </c>
      <c r="K16" s="1757">
        <f>(H16+I16)-J16</f>
        <v>3159151</v>
      </c>
      <c r="L16" s="1757">
        <f>F16-K16</f>
        <v>4291836</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184957</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J30" sqref="J30"/>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42" t="s">
        <v>1975</v>
      </c>
      <c r="B1" s="2343"/>
      <c r="C1" s="2343"/>
      <c r="D1" s="2343"/>
      <c r="E1" s="2343"/>
      <c r="F1" s="2344"/>
      <c r="G1" s="852"/>
    </row>
    <row r="2" spans="1:7" ht="15" customHeight="1" thickBot="1" x14ac:dyDescent="0.25">
      <c r="A2" s="2345" t="s">
        <v>477</v>
      </c>
      <c r="B2" s="2346"/>
      <c r="C2" s="2346"/>
      <c r="D2" s="2346"/>
      <c r="E2" s="2346"/>
      <c r="F2" s="234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48"/>
      <c r="B5" s="2349"/>
      <c r="C5" s="2349"/>
      <c r="D5" s="2349"/>
      <c r="E5" s="2349"/>
      <c r="F5" s="2349"/>
    </row>
    <row r="6" spans="1:7" ht="13.5" customHeight="1" thickBot="1" x14ac:dyDescent="0.25">
      <c r="A6" s="2339" t="s">
        <v>1104</v>
      </c>
      <c r="B6" s="2340"/>
      <c r="C6" s="2340"/>
      <c r="D6" s="2340"/>
      <c r="E6" s="2340"/>
      <c r="F6" s="234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3216473</v>
      </c>
      <c r="G8" s="862"/>
    </row>
    <row r="9" spans="1:7" x14ac:dyDescent="0.2">
      <c r="A9" s="866" t="s">
        <v>460</v>
      </c>
      <c r="B9" s="867" t="s">
        <v>1877</v>
      </c>
      <c r="C9" s="868"/>
      <c r="D9" s="866" t="s">
        <v>501</v>
      </c>
      <c r="E9" s="865"/>
      <c r="F9" s="1906">
        <f>'Expenditures 15-22'!K151</f>
        <v>395434</v>
      </c>
      <c r="G9" s="869"/>
    </row>
    <row r="10" spans="1:7" x14ac:dyDescent="0.2">
      <c r="A10" s="866" t="s">
        <v>499</v>
      </c>
      <c r="B10" s="867" t="s">
        <v>1878</v>
      </c>
      <c r="C10" s="868"/>
      <c r="D10" s="866" t="s">
        <v>501</v>
      </c>
      <c r="E10" s="865"/>
      <c r="F10" s="1906">
        <f>'Expenditures 15-22'!K174</f>
        <v>258597</v>
      </c>
      <c r="G10" s="869"/>
    </row>
    <row r="11" spans="1:7" x14ac:dyDescent="0.2">
      <c r="A11" s="866" t="s">
        <v>461</v>
      </c>
      <c r="B11" s="867" t="s">
        <v>1879</v>
      </c>
      <c r="C11" s="868"/>
      <c r="D11" s="866" t="s">
        <v>501</v>
      </c>
      <c r="E11" s="865"/>
      <c r="F11" s="1906">
        <f>'Expenditures 15-22'!K210</f>
        <v>68102</v>
      </c>
      <c r="G11" s="869"/>
    </row>
    <row r="12" spans="1:7" x14ac:dyDescent="0.2">
      <c r="A12" s="866" t="s">
        <v>462</v>
      </c>
      <c r="B12" s="867" t="s">
        <v>1880</v>
      </c>
      <c r="C12" s="868"/>
      <c r="D12" s="866" t="s">
        <v>501</v>
      </c>
      <c r="E12" s="865"/>
      <c r="F12" s="1906">
        <f>'Expenditures 15-22'!K295</f>
        <v>126018</v>
      </c>
      <c r="G12" s="869"/>
    </row>
    <row r="13" spans="1:7" x14ac:dyDescent="0.2">
      <c r="A13" s="866" t="s">
        <v>106</v>
      </c>
      <c r="B13" s="867" t="s">
        <v>1881</v>
      </c>
      <c r="C13" s="868"/>
      <c r="D13" s="866" t="s">
        <v>501</v>
      </c>
      <c r="E13" s="865"/>
      <c r="F13" s="1906">
        <f>'Expenditures 15-22'!K342</f>
        <v>95730</v>
      </c>
      <c r="G13" s="870"/>
    </row>
    <row r="14" spans="1:7" ht="12" customHeight="1" thickBot="1" x14ac:dyDescent="0.25">
      <c r="A14" s="1767"/>
      <c r="B14" s="1768"/>
      <c r="C14" s="1769"/>
      <c r="D14" s="1770" t="s">
        <v>501</v>
      </c>
      <c r="E14" s="1771" t="s">
        <v>958</v>
      </c>
      <c r="F14" s="1772">
        <f>SUM(F8:F13)</f>
        <v>4160354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104387</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244476</v>
      </c>
      <c r="G53" s="862"/>
    </row>
    <row r="54" spans="1:7" x14ac:dyDescent="0.2">
      <c r="A54" s="866" t="s">
        <v>459</v>
      </c>
      <c r="B54" s="866" t="s">
        <v>1476</v>
      </c>
      <c r="C54" s="886" t="s">
        <v>982</v>
      </c>
      <c r="D54" s="882" t="s">
        <v>1095</v>
      </c>
      <c r="E54" s="865"/>
      <c r="F54" s="1910">
        <f>'Expenditures 15-22'!G114</f>
        <v>60940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182824</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240000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5079</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837706</v>
      </c>
      <c r="G76" s="862"/>
    </row>
    <row r="77" spans="1:8" s="890" customFormat="1" ht="12" customHeight="1" thickTop="1" thickBot="1" x14ac:dyDescent="0.25">
      <c r="A77" s="1776"/>
      <c r="B77" s="1773"/>
      <c r="C77" s="1769"/>
      <c r="D77" s="1774" t="s">
        <v>1900</v>
      </c>
      <c r="E77" s="1771"/>
      <c r="F77" s="1777">
        <f>(F14-F76)</f>
        <v>3322648</v>
      </c>
      <c r="G77" s="866"/>
    </row>
    <row r="78" spans="1:8" s="890" customFormat="1" ht="12" customHeight="1" thickTop="1" x14ac:dyDescent="0.2">
      <c r="A78" s="1778"/>
      <c r="B78" s="1773"/>
      <c r="C78" s="1769"/>
      <c r="D78" s="1774" t="s">
        <v>2062</v>
      </c>
      <c r="E78" s="1771"/>
      <c r="F78" s="895">
        <v>392.8</v>
      </c>
      <c r="G78" s="896"/>
      <c r="H78" s="866"/>
    </row>
    <row r="79" spans="1:8" s="890" customFormat="1" ht="12" customHeight="1" thickBot="1" x14ac:dyDescent="0.25">
      <c r="A79" s="1779"/>
      <c r="B79" s="1773"/>
      <c r="C79" s="1769"/>
      <c r="D79" s="1774" t="s">
        <v>1901</v>
      </c>
      <c r="E79" s="1771" t="s">
        <v>958</v>
      </c>
      <c r="F79" s="1780">
        <f>IF(F78&gt;0,F77/F78," Complete Line 78")</f>
        <v>8458.8798370672102</v>
      </c>
      <c r="G79" s="866"/>
    </row>
    <row r="80" spans="1:8" s="890" customFormat="1" ht="8.25" customHeight="1" thickTop="1" x14ac:dyDescent="0.2">
      <c r="A80" s="897"/>
      <c r="B80" s="866"/>
      <c r="C80" s="868"/>
      <c r="D80" s="898"/>
      <c r="E80" s="865"/>
      <c r="F80" s="899"/>
      <c r="G80" s="866"/>
    </row>
    <row r="81" spans="1:7" s="890" customFormat="1" ht="12" thickBot="1" x14ac:dyDescent="0.25">
      <c r="A81" s="2339" t="s">
        <v>1105</v>
      </c>
      <c r="B81" s="2340"/>
      <c r="C81" s="2340"/>
      <c r="D81" s="2340"/>
      <c r="E81" s="2340"/>
      <c r="F81" s="234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55961</v>
      </c>
      <c r="G94" s="909"/>
    </row>
    <row r="95" spans="1:7" x14ac:dyDescent="0.2">
      <c r="A95" s="905" t="s">
        <v>140</v>
      </c>
      <c r="B95" s="905" t="s">
        <v>175</v>
      </c>
      <c r="C95" s="907">
        <v>1700</v>
      </c>
      <c r="D95" s="915" t="str">
        <f>'Revenues 9-14'!A82</f>
        <v>Total District/School Activity Income</v>
      </c>
      <c r="E95" s="903"/>
      <c r="F95" s="1786">
        <f>SUM('Revenues 9-14'!C82,'Revenues 9-14'!D82)</f>
        <v>8974</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9100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73258</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6667</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3446</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29375</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191992</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114334</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140606</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4491</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42813</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134490.04</v>
      </c>
      <c r="G171" s="924"/>
    </row>
    <row r="172" spans="1:7" x14ac:dyDescent="0.2">
      <c r="A172" s="1915" t="s">
        <v>664</v>
      </c>
      <c r="B172" s="1916" t="s">
        <v>1920</v>
      </c>
      <c r="C172" s="1917">
        <v>3300</v>
      </c>
      <c r="D172" s="1918" t="s">
        <v>1923</v>
      </c>
      <c r="E172" s="903"/>
      <c r="F172" s="1903">
        <v>7.18</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816264.22000000009</v>
      </c>
    </row>
    <row r="175" spans="1:7" ht="12" customHeight="1" x14ac:dyDescent="0.2">
      <c r="A175" s="1767"/>
      <c r="B175" s="1781"/>
      <c r="C175" s="1782"/>
      <c r="D175" s="1783" t="s">
        <v>2057</v>
      </c>
      <c r="E175" s="1784"/>
      <c r="F175" s="1786">
        <f>'PCTC-OEPP 27-28'!F77-F174</f>
        <v>2506383.7799999998</v>
      </c>
    </row>
    <row r="176" spans="1:7" ht="12" customHeight="1" x14ac:dyDescent="0.2">
      <c r="A176" s="1767"/>
      <c r="B176" s="1781"/>
      <c r="C176" s="1782"/>
      <c r="D176" s="1783" t="s">
        <v>1817</v>
      </c>
      <c r="E176" s="1784"/>
      <c r="F176" s="1786">
        <f>'Cap Outlay Deprec 26'!I18</f>
        <v>184957</v>
      </c>
    </row>
    <row r="177" spans="1:7" ht="12" customHeight="1" x14ac:dyDescent="0.2">
      <c r="A177" s="1767"/>
      <c r="B177" s="1781"/>
      <c r="C177" s="1782"/>
      <c r="D177" s="1783" t="s">
        <v>2058</v>
      </c>
      <c r="E177" s="1784"/>
      <c r="F177" s="1786">
        <f>F175+F176</f>
        <v>2691340.78</v>
      </c>
    </row>
    <row r="178" spans="1:7" ht="12" customHeight="1" x14ac:dyDescent="0.2">
      <c r="A178" s="1767"/>
      <c r="B178" s="1787"/>
      <c r="C178" s="1782"/>
      <c r="D178" s="1783" t="str">
        <f>D78</f>
        <v>9 Month ADA from District Average Daily Attendance/Prior General State Aid Inquiry 2018-2019</v>
      </c>
      <c r="E178" s="1784"/>
      <c r="F178" s="1788">
        <f>'PCTC-OEPP 27-28'!F78</f>
        <v>392.8</v>
      </c>
      <c r="G178" s="927"/>
    </row>
    <row r="179" spans="1:7" ht="12" customHeight="1" thickBot="1" x14ac:dyDescent="0.25">
      <c r="A179" s="1767"/>
      <c r="B179" s="1787"/>
      <c r="C179" s="1782"/>
      <c r="D179" s="1783" t="s">
        <v>2059</v>
      </c>
      <c r="E179" s="1784" t="s">
        <v>1545</v>
      </c>
      <c r="F179" s="1789">
        <f>F177/F178</f>
        <v>6851.6822301425655</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J30" sqref="J30"/>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53" t="s">
        <v>1818</v>
      </c>
      <c r="B4" s="2354"/>
      <c r="C4" s="2354"/>
      <c r="D4" s="2354"/>
      <c r="E4" s="2354"/>
      <c r="F4" s="2354"/>
      <c r="G4" s="2355"/>
    </row>
    <row r="5" spans="1:7" x14ac:dyDescent="0.25">
      <c r="A5" s="2356"/>
      <c r="B5" s="2357"/>
      <c r="C5" s="2357"/>
      <c r="D5" s="2357"/>
      <c r="E5" s="2357"/>
      <c r="F5" s="2357"/>
      <c r="G5" s="2358"/>
    </row>
    <row r="6" spans="1:7" ht="18.75" x14ac:dyDescent="0.25">
      <c r="A6" s="1531" t="s">
        <v>1819</v>
      </c>
      <c r="B6" s="1532"/>
      <c r="C6" s="1532"/>
      <c r="D6" s="1532"/>
      <c r="E6" s="1532"/>
      <c r="F6" s="1532"/>
      <c r="G6" s="1533"/>
    </row>
    <row r="7" spans="1:7" ht="30.75" customHeight="1" x14ac:dyDescent="0.25">
      <c r="A7" s="2359" t="s">
        <v>1932</v>
      </c>
      <c r="B7" s="2360"/>
      <c r="C7" s="2360"/>
      <c r="D7" s="2360"/>
      <c r="E7" s="2360"/>
      <c r="F7" s="2360"/>
      <c r="G7" s="2361"/>
    </row>
    <row r="8" spans="1:7" ht="15.75" customHeight="1" x14ac:dyDescent="0.25">
      <c r="A8" s="2362" t="s">
        <v>1907</v>
      </c>
      <c r="B8" s="2363"/>
      <c r="C8" s="2363"/>
      <c r="D8" s="2363"/>
      <c r="E8" s="2363"/>
      <c r="F8" s="2363"/>
      <c r="G8" s="2364"/>
    </row>
    <row r="9" spans="1:7" ht="35.25" customHeight="1" x14ac:dyDescent="0.25">
      <c r="A9" s="2359" t="s">
        <v>1935</v>
      </c>
      <c r="B9" s="2360"/>
      <c r="C9" s="2360"/>
      <c r="D9" s="2360"/>
      <c r="E9" s="2360"/>
      <c r="F9" s="2360"/>
      <c r="G9" s="2361"/>
    </row>
    <row r="10" spans="1:7" ht="15" customHeight="1" x14ac:dyDescent="0.25">
      <c r="A10" s="1534" t="s">
        <v>1820</v>
      </c>
      <c r="B10" s="1535"/>
      <c r="C10" s="1535"/>
      <c r="D10" s="1535"/>
      <c r="E10" s="1535"/>
      <c r="F10" s="1535"/>
      <c r="G10" s="1536"/>
    </row>
    <row r="11" spans="1:7" ht="17.25" customHeight="1" x14ac:dyDescent="0.25">
      <c r="A11" s="2359" t="s">
        <v>1934</v>
      </c>
      <c r="B11" s="2360"/>
      <c r="C11" s="2360"/>
      <c r="D11" s="2360"/>
      <c r="E11" s="2360"/>
      <c r="F11" s="2360"/>
      <c r="G11" s="2361"/>
    </row>
    <row r="12" spans="1:7" ht="15" customHeight="1" x14ac:dyDescent="0.25">
      <c r="A12" s="1534" t="s">
        <v>1825</v>
      </c>
      <c r="B12" s="1535"/>
      <c r="C12" s="1535"/>
      <c r="D12" s="1535"/>
      <c r="E12" s="1535"/>
      <c r="F12" s="1535"/>
      <c r="G12" s="1536"/>
    </row>
    <row r="13" spans="1:7" ht="32.25" customHeight="1" x14ac:dyDescent="0.25">
      <c r="A13" s="2350" t="s">
        <v>1976</v>
      </c>
      <c r="B13" s="2351"/>
      <c r="C13" s="2351"/>
      <c r="D13" s="2351"/>
      <c r="E13" s="2351"/>
      <c r="F13" s="2351"/>
      <c r="G13" s="2352"/>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ht="30" x14ac:dyDescent="0.25">
      <c r="A17" s="2021" t="s">
        <v>2146</v>
      </c>
      <c r="B17" s="2022" t="s">
        <v>2148</v>
      </c>
      <c r="C17" s="2023" t="s">
        <v>2147</v>
      </c>
      <c r="D17" s="1841">
        <v>67969.19</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42969.19</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67969.19</v>
      </c>
      <c r="E141" s="1538">
        <f t="shared" si="0"/>
        <v>25000</v>
      </c>
      <c r="F141" s="1930">
        <f>SUM(F17:F140)</f>
        <v>25000</v>
      </c>
      <c r="G141" s="1792">
        <f>SUM(G17:G140)</f>
        <v>42969.19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65" t="s">
        <v>1679</v>
      </c>
      <c r="B5" s="2366"/>
      <c r="C5" s="2366"/>
      <c r="D5" s="2366"/>
      <c r="E5" s="2366"/>
      <c r="F5" s="2366"/>
      <c r="G5" s="2367"/>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158192</v>
      </c>
      <c r="F10" s="971"/>
      <c r="G10" s="972"/>
      <c r="H10" s="162"/>
      <c r="I10" s="162"/>
    </row>
    <row r="11" spans="1:9" s="665" customFormat="1" ht="22.5" customHeight="1" x14ac:dyDescent="0.2">
      <c r="A11" s="2370" t="s">
        <v>1977</v>
      </c>
      <c r="B11" s="2371"/>
      <c r="C11" s="2371"/>
      <c r="D11" s="2372"/>
      <c r="E11" s="974">
        <v>24124.52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2091067</v>
      </c>
      <c r="F19" s="1796"/>
      <c r="G19" s="1798">
        <f>'Expenditures 15-22'!K33-SUM('Expenditures 15-22'!G33,'Expenditures 15-22'!I33)+'Expenditures 15-22'!D229</f>
        <v>2091067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24827</v>
      </c>
      <c r="F21" s="1799"/>
      <c r="G21" s="1802">
        <f>'Expenditures 15-22'!K42-SUM('Expenditures 15-22'!G42,'Expenditures 15-22'!I42)+'Expenditures 15-22'!K120-SUM('Expenditures 15-22'!G120,'Expenditures 15-22'!I120)+'Expenditures 15-22'!K180-SUM('Expenditures 15-22'!G180,'Expenditures 15-22'!I180)+'Expenditures 15-22'!D238</f>
        <v>24827</v>
      </c>
      <c r="H21" s="984"/>
      <c r="I21" s="162"/>
    </row>
    <row r="22" spans="1:9" s="665" customFormat="1" ht="12" customHeight="1" x14ac:dyDescent="0.2">
      <c r="A22" s="991" t="s">
        <v>564</v>
      </c>
      <c r="B22" s="992"/>
      <c r="C22" s="990">
        <v>2200</v>
      </c>
      <c r="D22" s="1799"/>
      <c r="E22" s="1801">
        <f>'Expenditures 15-22'!K47-SUM('Expenditures 15-22'!G47,'Expenditures 15-22'!I47)+'Expenditures 15-22'!D243</f>
        <v>21689</v>
      </c>
      <c r="F22" s="1799"/>
      <c r="G22" s="1802">
        <f>'Expenditures 15-22'!K47-SUM('Expenditures 15-22'!G47,'Expenditures 15-22'!I47)+'Expenditures 15-22'!D243</f>
        <v>21689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365631</v>
      </c>
      <c r="F23" s="1799"/>
      <c r="G23" s="1801">
        <f>'Expenditures 15-22'!K53-SUM('Expenditures 15-22'!G53,'Expenditures 15-22'!I53)+'Expenditures 15-22'!D257+'Expenditures 15-22'!K330-SUM('Expenditures 15-22'!G330,'Expenditures 15-22'!I330)</f>
        <v>365631</v>
      </c>
      <c r="H23" s="984"/>
      <c r="I23" s="162"/>
    </row>
    <row r="24" spans="1:9" s="665" customFormat="1" ht="12" customHeight="1" x14ac:dyDescent="0.2">
      <c r="A24" s="991" t="s">
        <v>566</v>
      </c>
      <c r="B24" s="992"/>
      <c r="C24" s="990">
        <v>2400</v>
      </c>
      <c r="D24" s="1799"/>
      <c r="E24" s="1801">
        <f>'Expenditures 15-22'!K57-SUM('Expenditures 15-22'!G57,'Expenditures 15-22'!I57)+'Expenditures 15-22'!D261</f>
        <v>162222</v>
      </c>
      <c r="F24" s="1799"/>
      <c r="G24" s="1802">
        <f>'Expenditures 15-22'!K57-SUM('Expenditures 15-22'!G57,'Expenditures 15-22'!I57)+'Expenditures 15-22'!D261</f>
        <v>162222</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56453</v>
      </c>
      <c r="E27" s="1801">
        <f>E8</f>
        <v>0</v>
      </c>
      <c r="F27" s="1801">
        <f>'Expenditures 15-22'!K60-SUM('Expenditures 15-22'!G60,'Expenditures 15-22'!I60)+'Expenditures 15-22'!D264-E8</f>
        <v>56453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350516</v>
      </c>
      <c r="F28" s="1803">
        <f>'Expenditures 15-22'!K61-SUM('Expenditures 15-22'!G61,'Expenditures 15-22'!I61)+'Expenditures 15-22'!K124-SUM('Expenditures 15-22'!G124,'Expenditures 15-22'!I124)+'Expenditures 15-22'!D266-E9</f>
        <v>350516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70492</v>
      </c>
      <c r="F29" s="1799"/>
      <c r="G29" s="1802">
        <f>'Expenditures 15-22'!K62-SUM('Expenditures 15-22'!G62,'Expenditures 15-22'!I62)+'Expenditures 15-22'!K125-SUM('Expenditures 15-22'!G125,'Expenditures 15-22'!I125)+'Expenditures 15-22'!K182-SUM('Expenditures 15-22'!G182,'Expenditures 15-22'!I182)+'Expenditures 15-22'!D267</f>
        <v>70492</v>
      </c>
      <c r="H29" s="982"/>
    </row>
    <row r="30" spans="1:9" ht="12" customHeight="1" x14ac:dyDescent="0.2">
      <c r="A30" s="991" t="s">
        <v>100</v>
      </c>
      <c r="B30" s="994"/>
      <c r="C30" s="990">
        <v>2560</v>
      </c>
      <c r="D30" s="1799"/>
      <c r="E30" s="1801">
        <f>'Expenditures 15-22'!K63-SUM('Expenditures 15-22'!G63,'Expenditures 15-22'!I63)+'Expenditures 15-22'!D268-E10</f>
        <v>109899</v>
      </c>
      <c r="F30" s="1799"/>
      <c r="G30" s="1801">
        <f>'Expenditures 15-22'!K63-SUM('Expenditures 15-22'!G63,'Expenditures 15-22'!I63)+'Expenditures 15-22'!D268-E10</f>
        <v>109899</v>
      </c>
    </row>
    <row r="31" spans="1:9" ht="12" customHeight="1" x14ac:dyDescent="0.2">
      <c r="A31" s="991" t="s">
        <v>101</v>
      </c>
      <c r="B31" s="994"/>
      <c r="C31" s="990">
        <v>2570</v>
      </c>
      <c r="D31" s="1801">
        <f>'Expenditures 15-22'!K64-SUM('Expenditures 15-22'!G64,'Expenditures 15-22'!I64)+'Expenditures 15-22'!D269-E12</f>
        <v>2529</v>
      </c>
      <c r="E31" s="1801">
        <f>E12</f>
        <v>0</v>
      </c>
      <c r="F31" s="1801">
        <f>'Expenditures 15-22'!K64-SUM('Expenditures 15-22'!G64,'Expenditures 15-22'!I64)+'Expenditures 15-22'!D269-E12</f>
        <v>2529</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-42969.19</v>
      </c>
      <c r="F40" s="1799"/>
      <c r="G40" s="1803">
        <f>-'Contracts Paid in CY 29'!G141</f>
        <v>-42969.19</v>
      </c>
    </row>
    <row r="41" spans="1:7" ht="12" customHeight="1" x14ac:dyDescent="0.2">
      <c r="A41" s="995" t="s">
        <v>156</v>
      </c>
      <c r="B41" s="996"/>
      <c r="C41" s="997"/>
      <c r="D41" s="1803">
        <f>SUM(D19:D39)</f>
        <v>58982</v>
      </c>
      <c r="E41" s="1803">
        <f>SUM(E19:E40)</f>
        <v>3153373.81</v>
      </c>
      <c r="F41" s="1803">
        <f>SUM(F19:F39)</f>
        <v>409498</v>
      </c>
      <c r="G41" s="1803">
        <f>SUM(G19:G40)</f>
        <v>2802857.81</v>
      </c>
    </row>
    <row r="42" spans="1:7" x14ac:dyDescent="0.2">
      <c r="A42" s="984"/>
      <c r="B42" s="162"/>
      <c r="C42" s="998"/>
      <c r="D42" s="2368" t="s">
        <v>522</v>
      </c>
      <c r="E42" s="2369"/>
      <c r="F42" s="999" t="s">
        <v>523</v>
      </c>
      <c r="G42" s="1000"/>
    </row>
    <row r="43" spans="1:7" ht="12" customHeight="1" x14ac:dyDescent="0.2">
      <c r="A43" s="984"/>
      <c r="B43" s="162"/>
      <c r="C43" s="998"/>
      <c r="D43" s="1804" t="s">
        <v>473</v>
      </c>
      <c r="E43" s="1805">
        <f>D41</f>
        <v>58982</v>
      </c>
      <c r="F43" s="1804" t="s">
        <v>473</v>
      </c>
      <c r="G43" s="1805">
        <f>F41</f>
        <v>409498</v>
      </c>
    </row>
    <row r="44" spans="1:7" ht="12" customHeight="1" x14ac:dyDescent="0.2">
      <c r="A44" s="984"/>
      <c r="B44" s="162"/>
      <c r="C44" s="998"/>
      <c r="D44" s="1804" t="s">
        <v>474</v>
      </c>
      <c r="E44" s="1805">
        <f>E41</f>
        <v>3153373.81</v>
      </c>
      <c r="F44" s="1804" t="s">
        <v>474</v>
      </c>
      <c r="G44" s="1805">
        <f>G41</f>
        <v>2802857.81</v>
      </c>
    </row>
    <row r="45" spans="1:7" ht="12" customHeight="1" x14ac:dyDescent="0.2">
      <c r="A45" s="984"/>
      <c r="B45" s="162"/>
      <c r="C45" s="162"/>
      <c r="D45" s="1806" t="s">
        <v>1006</v>
      </c>
      <c r="E45" s="1807">
        <f>(E43/E44)</f>
        <v>1.8704411070123019E-2</v>
      </c>
      <c r="F45" s="1806" t="s">
        <v>1006</v>
      </c>
      <c r="G45" s="1807">
        <f>(G43/G44)</f>
        <v>0.14610016909848167</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J30" sqref="J30"/>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87" t="s">
        <v>1379</v>
      </c>
      <c r="B1" s="2387"/>
      <c r="C1" s="2387"/>
      <c r="D1" s="2387"/>
      <c r="E1" s="2387"/>
      <c r="F1" s="2387"/>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88" t="s">
        <v>1546</v>
      </c>
      <c r="B5" s="2389"/>
      <c r="C5" s="2390"/>
      <c r="D5" s="2390"/>
      <c r="E5" s="2390"/>
      <c r="F5" s="2390"/>
    </row>
    <row r="6" spans="1:10" ht="12" customHeight="1" x14ac:dyDescent="0.25">
      <c r="A6" s="1847"/>
      <c r="B6" s="1848"/>
      <c r="C6" s="2391" t="str">
        <f>COVER!A17</f>
        <v>Colona SD 190</v>
      </c>
      <c r="D6" s="2391"/>
      <c r="E6" s="2391"/>
      <c r="F6" s="1849"/>
    </row>
    <row r="7" spans="1:10" ht="11.25" customHeight="1" thickBot="1" x14ac:dyDescent="0.3">
      <c r="A7" s="1847"/>
      <c r="B7" s="1848"/>
      <c r="C7" s="2392">
        <f>COVER!A13</f>
        <v>28037190002</v>
      </c>
      <c r="D7" s="2392"/>
      <c r="E7" s="2392"/>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2085</v>
      </c>
      <c r="H15" s="1875">
        <f t="shared" si="0"/>
        <v>5</v>
      </c>
      <c r="I15" s="1875">
        <f t="shared" si="1"/>
        <v>5</v>
      </c>
      <c r="J15" s="1875">
        <f t="shared" si="2"/>
        <v>0</v>
      </c>
    </row>
    <row r="16" spans="1:10" ht="12" customHeight="1" x14ac:dyDescent="0.2">
      <c r="A16" s="1860" t="s">
        <v>1388</v>
      </c>
      <c r="B16" s="1861"/>
      <c r="C16" s="1862" t="s">
        <v>2070</v>
      </c>
      <c r="D16" s="1862" t="s">
        <v>2070</v>
      </c>
      <c r="E16" s="1865"/>
      <c r="F16" s="1864" t="s">
        <v>2086</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2070</v>
      </c>
      <c r="D19" s="1862" t="s">
        <v>2070</v>
      </c>
      <c r="E19" s="1865"/>
      <c r="F19" s="1864" t="s">
        <v>2087</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2070</v>
      </c>
      <c r="D25" s="1862" t="s">
        <v>2070</v>
      </c>
      <c r="E25" s="1865"/>
      <c r="F25" s="1864" t="s">
        <v>2088</v>
      </c>
      <c r="H25" s="1875">
        <f t="shared" si="0"/>
        <v>5</v>
      </c>
      <c r="I25" s="1875">
        <f t="shared" si="1"/>
        <v>5</v>
      </c>
      <c r="J25" s="1875">
        <f t="shared" si="2"/>
        <v>0</v>
      </c>
    </row>
    <row r="26" spans="1:12" ht="12" customHeight="1" x14ac:dyDescent="0.2">
      <c r="A26" s="1860" t="s">
        <v>1534</v>
      </c>
      <c r="B26" s="1861"/>
      <c r="C26" s="1862" t="s">
        <v>2070</v>
      </c>
      <c r="D26" s="1862" t="s">
        <v>2070</v>
      </c>
      <c r="E26" s="1865"/>
      <c r="F26" s="1864" t="s">
        <v>2089</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2090</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2070</v>
      </c>
      <c r="D32" s="1862" t="s">
        <v>2070</v>
      </c>
      <c r="E32" s="1865"/>
      <c r="F32" s="1864" t="s">
        <v>2091</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35</v>
      </c>
      <c r="J34" s="1875">
        <f>SUM(J11:J32)</f>
        <v>0</v>
      </c>
      <c r="K34" s="1875">
        <f>SUM(H34:J34)</f>
        <v>70</v>
      </c>
    </row>
    <row r="35" spans="1:11" ht="12" customHeight="1" x14ac:dyDescent="0.2">
      <c r="A35" s="1868" t="s">
        <v>1392</v>
      </c>
      <c r="B35" s="1869"/>
      <c r="C35" s="2393"/>
      <c r="D35" s="2393"/>
      <c r="E35" s="2393"/>
      <c r="F35" s="2394"/>
    </row>
    <row r="36" spans="1:11" ht="12" customHeight="1" x14ac:dyDescent="0.2">
      <c r="A36" s="2376"/>
      <c r="B36" s="2377"/>
      <c r="C36" s="2377"/>
      <c r="D36" s="2377"/>
      <c r="E36" s="2377"/>
      <c r="F36" s="2378"/>
    </row>
    <row r="37" spans="1:11" ht="12" customHeight="1" x14ac:dyDescent="0.2">
      <c r="A37" s="2376"/>
      <c r="B37" s="2377"/>
      <c r="C37" s="2377"/>
      <c r="D37" s="2377"/>
      <c r="E37" s="2377"/>
      <c r="F37" s="2378"/>
    </row>
    <row r="38" spans="1:11" ht="12" customHeight="1" x14ac:dyDescent="0.2">
      <c r="A38" s="2379"/>
      <c r="B38" s="2380"/>
      <c r="C38" s="2380"/>
      <c r="D38" s="2380"/>
      <c r="E38" s="2380"/>
      <c r="F38" s="2381"/>
    </row>
    <row r="39" spans="1:11" ht="4.5" hidden="1" customHeight="1" x14ac:dyDescent="0.2">
      <c r="A39" s="1870"/>
      <c r="B39" s="1870"/>
      <c r="C39" s="1870"/>
      <c r="D39" s="1870"/>
      <c r="E39" s="1870"/>
      <c r="F39" s="1870"/>
    </row>
    <row r="40" spans="1:11" s="1867" customFormat="1" ht="12" customHeight="1" x14ac:dyDescent="0.25">
      <c r="A40" s="1871" t="s">
        <v>1391</v>
      </c>
      <c r="B40" s="1872"/>
      <c r="C40" s="2382"/>
      <c r="D40" s="2382"/>
      <c r="E40" s="2382"/>
      <c r="F40" s="2383"/>
      <c r="H40" s="1876"/>
      <c r="I40" s="1876"/>
      <c r="J40" s="1876"/>
      <c r="K40" s="1876"/>
    </row>
    <row r="41" spans="1:11" s="1867" customFormat="1" ht="12" customHeight="1" x14ac:dyDescent="0.25">
      <c r="A41" s="2384"/>
      <c r="B41" s="2385"/>
      <c r="C41" s="2385"/>
      <c r="D41" s="2385"/>
      <c r="E41" s="2385"/>
      <c r="F41" s="2386"/>
      <c r="H41" s="1876"/>
      <c r="I41" s="1876"/>
      <c r="J41" s="1876"/>
      <c r="K41" s="1876"/>
    </row>
    <row r="42" spans="1:11" s="1867" customFormat="1" ht="12" customHeight="1" x14ac:dyDescent="0.25">
      <c r="A42" s="2384"/>
      <c r="B42" s="2385"/>
      <c r="C42" s="2385"/>
      <c r="D42" s="2385"/>
      <c r="E42" s="2385"/>
      <c r="F42" s="2386"/>
      <c r="H42" s="1876"/>
      <c r="I42" s="1876"/>
      <c r="J42" s="1876"/>
      <c r="K42" s="1876"/>
    </row>
    <row r="43" spans="1:11" s="1867" customFormat="1" ht="15" x14ac:dyDescent="0.25">
      <c r="A43" s="2373"/>
      <c r="B43" s="2374"/>
      <c r="C43" s="2374"/>
      <c r="D43" s="2374"/>
      <c r="E43" s="2374"/>
      <c r="F43" s="2375"/>
      <c r="H43" s="1876"/>
      <c r="I43" s="1876"/>
      <c r="J43" s="1876"/>
      <c r="K43" s="1876"/>
    </row>
    <row r="44" spans="1:11" s="1867" customFormat="1" ht="12" hidden="1" customHeight="1" x14ac:dyDescent="0.25">
      <c r="A44" s="2373"/>
      <c r="B44" s="2374"/>
      <c r="C44" s="2374"/>
      <c r="D44" s="2374"/>
      <c r="E44" s="2374"/>
      <c r="F44" s="2375"/>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400" t="str">
        <f>COVER!A17</f>
        <v>Colona SD 190</v>
      </c>
      <c r="J6" s="2401"/>
      <c r="Q6" s="1661"/>
    </row>
    <row r="7" spans="1:17" x14ac:dyDescent="0.2">
      <c r="A7" s="2402" t="s">
        <v>869</v>
      </c>
      <c r="B7" s="2403"/>
      <c r="C7" s="2403"/>
      <c r="D7" s="2403"/>
      <c r="E7" s="2404"/>
      <c r="F7" s="1014"/>
      <c r="G7" s="1006"/>
      <c r="H7" s="1013" t="s">
        <v>372</v>
      </c>
      <c r="I7" s="2405">
        <f>COVER!A13</f>
        <v>28037190002</v>
      </c>
      <c r="J7" s="2405"/>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06" t="s">
        <v>481</v>
      </c>
      <c r="B11" s="2407"/>
      <c r="C11" s="240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220283</v>
      </c>
      <c r="F12" s="1036"/>
      <c r="G12" s="1808">
        <f t="shared" ref="G12:G18" si="0">SUM(E12:F12)</f>
        <v>220283</v>
      </c>
      <c r="H12" s="1037">
        <v>230055</v>
      </c>
      <c r="I12" s="1036"/>
      <c r="J12" s="1808">
        <f t="shared" ref="J12:J18" si="1">SUM(H12:I12)</f>
        <v>230055</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2529</v>
      </c>
      <c r="F16" s="1036"/>
      <c r="G16" s="1808">
        <f t="shared" si="0"/>
        <v>2529</v>
      </c>
      <c r="H16" s="1037">
        <v>2600</v>
      </c>
      <c r="I16" s="1036"/>
      <c r="J16" s="1808">
        <f t="shared" si="1"/>
        <v>2600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09" t="s">
        <v>7</v>
      </c>
      <c r="C18" s="2410"/>
      <c r="D18" s="2411"/>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222812</v>
      </c>
      <c r="F19" s="1810">
        <f t="shared" si="2"/>
        <v>0</v>
      </c>
      <c r="G19" s="1810">
        <f t="shared" si="2"/>
        <v>222812</v>
      </c>
      <c r="H19" s="1810">
        <f t="shared" si="2"/>
        <v>232655</v>
      </c>
      <c r="I19" s="1810">
        <f t="shared" si="2"/>
        <v>0</v>
      </c>
      <c r="J19" s="1810">
        <f t="shared" si="2"/>
        <v>232655</v>
      </c>
    </row>
    <row r="20" spans="1:10" ht="13.5" thickTop="1" x14ac:dyDescent="0.2">
      <c r="A20" s="1032">
        <v>9</v>
      </c>
      <c r="B20" s="2412" t="s">
        <v>1981</v>
      </c>
      <c r="C20" s="2412"/>
      <c r="D20" s="2413"/>
      <c r="E20" s="1043"/>
      <c r="F20" s="1043"/>
      <c r="G20" s="1043"/>
      <c r="H20" s="1043"/>
      <c r="I20" s="1043"/>
      <c r="J20" s="1811">
        <f>IF(AND(G19&gt;0,J19&gt;0),(((J19-G19)/G19)),"Enter Budget Data")</f>
        <v>4.4176256216002727E-2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418"/>
      <c r="D26" s="2418"/>
      <c r="E26" s="1047"/>
      <c r="F26" s="2417"/>
      <c r="G26" s="2417"/>
    </row>
    <row r="27" spans="1:10" x14ac:dyDescent="0.2">
      <c r="B27" s="1044"/>
      <c r="C27" s="1048" t="s">
        <v>1033</v>
      </c>
      <c r="D27" s="1049"/>
      <c r="E27" s="1050"/>
      <c r="F27" s="2414" t="s">
        <v>1509</v>
      </c>
      <c r="G27" s="2414"/>
    </row>
    <row r="28" spans="1:10" ht="28.5" customHeight="1" x14ac:dyDescent="0.2">
      <c r="B28" s="1044"/>
      <c r="C28" s="2416"/>
      <c r="D28" s="2416"/>
      <c r="E28" s="1051"/>
      <c r="F28" s="2416"/>
      <c r="G28" s="2416"/>
    </row>
    <row r="29" spans="1:10" x14ac:dyDescent="0.2">
      <c r="B29" s="1044"/>
      <c r="C29" s="1052" t="s">
        <v>1561</v>
      </c>
      <c r="E29" s="1053"/>
      <c r="F29" s="2415" t="s">
        <v>1510</v>
      </c>
      <c r="G29" s="241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97" t="s">
        <v>132</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59"/>
    </row>
    <row r="36" spans="1:10" ht="13.5" customHeight="1" x14ac:dyDescent="0.2">
      <c r="B36" s="1058"/>
      <c r="C36" s="2399" t="s">
        <v>1983</v>
      </c>
      <c r="D36" s="2398"/>
      <c r="E36" s="2398"/>
      <c r="F36" s="2398"/>
      <c r="G36" s="2398"/>
      <c r="H36" s="2398"/>
      <c r="I36" s="2398"/>
      <c r="J36" s="1060"/>
    </row>
    <row r="37" spans="1:10" ht="22.5" customHeight="1" x14ac:dyDescent="0.2">
      <c r="C37" s="2398"/>
      <c r="D37" s="2398"/>
      <c r="E37" s="2398"/>
      <c r="F37" s="2398"/>
      <c r="G37" s="2398"/>
      <c r="H37" s="2398"/>
      <c r="I37" s="2398"/>
      <c r="J37" s="1060"/>
    </row>
    <row r="38" spans="1:10" ht="7.5" customHeight="1" x14ac:dyDescent="0.2">
      <c r="C38" s="1059"/>
      <c r="D38" s="1061"/>
      <c r="E38" s="1062"/>
      <c r="F38" s="1063"/>
      <c r="G38" s="1062"/>
    </row>
    <row r="39" spans="1:10" ht="13.5" customHeight="1" x14ac:dyDescent="0.2">
      <c r="B39" s="1058"/>
      <c r="C39" s="2395" t="s">
        <v>882</v>
      </c>
      <c r="D39" s="2396"/>
      <c r="E39" s="2396"/>
      <c r="F39" s="2396"/>
      <c r="G39" s="2396"/>
      <c r="H39" s="2396"/>
      <c r="I39" s="239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2153</v>
      </c>
    </row>
    <row r="6" spans="1:2" x14ac:dyDescent="0.2">
      <c r="A6" s="1065">
        <v>2</v>
      </c>
      <c r="B6" s="329" t="s">
        <v>2149</v>
      </c>
    </row>
    <row r="7" spans="1:2" x14ac:dyDescent="0.2">
      <c r="A7" s="1065">
        <v>3</v>
      </c>
      <c r="B7" s="329" t="s">
        <v>2150</v>
      </c>
    </row>
    <row r="8" spans="1:2" x14ac:dyDescent="0.2">
      <c r="A8" s="1065">
        <v>4</v>
      </c>
      <c r="B8" s="329" t="s">
        <v>2151</v>
      </c>
    </row>
    <row r="9" spans="1:2" x14ac:dyDescent="0.2">
      <c r="A9" s="1065">
        <v>5</v>
      </c>
      <c r="B9" s="329" t="s">
        <v>2154</v>
      </c>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Colona SD 190</v>
      </c>
    </row>
    <row r="65" spans="2:2" x14ac:dyDescent="0.2">
      <c r="B65" s="1067">
        <f>COVER!A13</f>
        <v>28037190002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6" t="s">
        <v>1065</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691</v>
      </c>
      <c r="B40" s="2133"/>
      <c r="C40" s="2133"/>
      <c r="D40" s="2133"/>
      <c r="E40" s="2133"/>
    </row>
    <row r="41" spans="1:5" x14ac:dyDescent="0.2">
      <c r="A41" s="2134" t="s">
        <v>1608</v>
      </c>
      <c r="B41" s="2134"/>
      <c r="C41" s="2134"/>
      <c r="D41" s="2134"/>
      <c r="E41" s="2134"/>
    </row>
    <row r="42" spans="1:5" ht="12.75" customHeight="1" x14ac:dyDescent="0.2">
      <c r="A42" s="2135" t="s">
        <v>1022</v>
      </c>
      <c r="B42" s="2135"/>
      <c r="C42" s="2135"/>
      <c r="D42" s="2135"/>
      <c r="E42" s="213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19" t="s">
        <v>1685</v>
      </c>
      <c r="B18" s="241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9937" r:id="rId4"/>
      </mc:Fallback>
    </mc:AlternateContent>
    <mc:AlternateContent xmlns:mc="http://schemas.openxmlformats.org/markup-compatibility/2006">
      <mc:Choice Requires="x14">
        <oleObject progId="Acrobat Document" dvAspect="DVASPECT_ICON" shapeId="39938" r:id="rId6">
          <objectPr defaultSize="0" r:id="rId7">
            <anchor moveWithCells="1">
              <from>
                <xdr:col>1</xdr:col>
                <xdr:colOff>1085850</xdr:colOff>
                <xdr:row>0</xdr:row>
                <xdr:rowOff>152400</xdr:rowOff>
              </from>
              <to>
                <xdr:col>1</xdr:col>
                <xdr:colOff>1990725</xdr:colOff>
                <xdr:row>5</xdr:row>
                <xdr:rowOff>28575</xdr:rowOff>
              </to>
            </anchor>
          </objectPr>
        </oleObject>
      </mc:Choice>
      <mc:Fallback>
        <oleObject progId="Acrobat Document" dvAspect="DVASPECT_ICON" shapeId="3993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1690</v>
      </c>
      <c r="B1" s="2421"/>
      <c r="C1" s="2421"/>
      <c r="D1" s="2421"/>
      <c r="E1" s="2421"/>
      <c r="F1" s="2422"/>
    </row>
    <row r="2" spans="1:8" ht="45" customHeight="1" x14ac:dyDescent="0.2">
      <c r="A2" s="2430" t="s">
        <v>1987</v>
      </c>
      <c r="B2" s="2431"/>
      <c r="C2" s="2431"/>
      <c r="D2" s="2431"/>
      <c r="E2" s="2431"/>
      <c r="F2" s="2432"/>
      <c r="G2" s="1071"/>
      <c r="H2" s="1071"/>
    </row>
    <row r="3" spans="1:8" ht="57" customHeight="1" x14ac:dyDescent="0.2">
      <c r="A3" s="2433" t="s">
        <v>1686</v>
      </c>
      <c r="B3" s="2434"/>
      <c r="C3" s="2434"/>
      <c r="D3" s="2434"/>
      <c r="E3" s="2434"/>
      <c r="F3" s="2435"/>
      <c r="G3" s="1071"/>
      <c r="H3" s="1071"/>
    </row>
    <row r="4" spans="1:8" ht="14.25" customHeight="1" x14ac:dyDescent="0.2">
      <c r="A4" s="2439" t="s">
        <v>1988</v>
      </c>
      <c r="B4" s="2440"/>
      <c r="C4" s="2440"/>
      <c r="D4" s="2440"/>
      <c r="E4" s="2440"/>
      <c r="F4" s="2441"/>
      <c r="G4" s="1071"/>
      <c r="H4" s="1071"/>
    </row>
    <row r="5" spans="1:8" ht="14.25" customHeight="1" x14ac:dyDescent="0.2">
      <c r="A5" s="2442" t="s">
        <v>1984</v>
      </c>
      <c r="B5" s="2443"/>
      <c r="C5" s="2443"/>
      <c r="D5" s="2443"/>
      <c r="E5" s="2443"/>
      <c r="F5" s="2444"/>
      <c r="G5" s="1071"/>
      <c r="H5" s="1071"/>
    </row>
    <row r="6" spans="1:8" s="1072" customFormat="1" ht="41.25" customHeight="1" x14ac:dyDescent="0.2">
      <c r="A6" s="2436" t="s">
        <v>1691</v>
      </c>
      <c r="B6" s="2437"/>
      <c r="C6" s="2437"/>
      <c r="D6" s="2437"/>
      <c r="E6" s="2437"/>
      <c r="F6" s="243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3887733</v>
      </c>
      <c r="C8" s="1812">
        <f>'Acct Summary 7-8'!D8</f>
        <v>250362</v>
      </c>
      <c r="D8" s="1812">
        <f>'Acct Summary 7-8'!F8</f>
        <v>83004</v>
      </c>
      <c r="E8" s="1812">
        <f>'Acct Summary 7-8'!I8</f>
        <v>28172</v>
      </c>
      <c r="F8" s="1812">
        <f>SUM(B8:E8)</f>
        <v>4249271</v>
      </c>
    </row>
    <row r="9" spans="1:8" s="1076" customFormat="1" ht="14.25" customHeight="1" thickBot="1" x14ac:dyDescent="0.25">
      <c r="A9" s="1075" t="s">
        <v>1369</v>
      </c>
      <c r="B9" s="1813">
        <f>'Acct Summary 7-8'!C17</f>
        <v>3216473</v>
      </c>
      <c r="C9" s="1813">
        <f>'Acct Summary 7-8'!D17</f>
        <v>395434</v>
      </c>
      <c r="D9" s="1813">
        <f>'Acct Summary 7-8'!F17</f>
        <v>68102</v>
      </c>
      <c r="E9" s="1812"/>
      <c r="F9" s="1812">
        <f>SUM(B9:E9)</f>
        <v>3680009</v>
      </c>
    </row>
    <row r="10" spans="1:8" s="1076" customFormat="1" ht="14.25" thickTop="1" thickBot="1" x14ac:dyDescent="0.25">
      <c r="A10" s="1077" t="s">
        <v>1370</v>
      </c>
      <c r="B10" s="1814">
        <f>(B8-B9)</f>
        <v>671260</v>
      </c>
      <c r="C10" s="1814">
        <f>(C8-C9)</f>
        <v>-145072</v>
      </c>
      <c r="D10" s="1814">
        <f>(D8-D9)</f>
        <v>14902</v>
      </c>
      <c r="E10" s="1813">
        <f>(E8-E9)</f>
        <v>28172</v>
      </c>
      <c r="F10" s="1815">
        <f>SUM(F8-F9)</f>
        <v>569262</v>
      </c>
    </row>
    <row r="11" spans="1:8" s="1076" customFormat="1" ht="14.25" thickTop="1" thickBot="1" x14ac:dyDescent="0.25">
      <c r="A11" s="1078" t="s">
        <v>1985</v>
      </c>
      <c r="B11" s="1816">
        <f>'Acct Summary 7-8'!C81</f>
        <v>2974128</v>
      </c>
      <c r="C11" s="1816">
        <f>'Acct Summary 7-8'!D81</f>
        <v>346293</v>
      </c>
      <c r="D11" s="1816">
        <f>'Acct Summary 7-8'!F81</f>
        <v>120609</v>
      </c>
      <c r="E11" s="1816">
        <f>'Acct Summary 7-8'!I81</f>
        <v>234778</v>
      </c>
      <c r="F11" s="1817">
        <f>SUM(B11:E11)</f>
        <v>3675808</v>
      </c>
    </row>
    <row r="12" spans="1:8" ht="16.5" customHeight="1" thickTop="1" x14ac:dyDescent="0.2">
      <c r="A12" s="1079"/>
      <c r="B12" s="1080"/>
      <c r="C12" s="2424" t="str">
        <f>IF(AND(F10&lt;0,F11&gt;=0,ABS(F10*3)&gt;ABS(F11)),A16,IF(AND(F10&lt;0,F11&gt;0,ABS(F10*3)&lt;=ABS(F11)),A17,IF(AND(F10&lt;0,F11&lt;0),A16,IF(F11=0,A19,A18))))</f>
        <v>Balanced - no deficit reduction plan is required.</v>
      </c>
      <c r="D12" s="2425"/>
      <c r="E12" s="2425"/>
      <c r="F12" s="2426"/>
    </row>
    <row r="13" spans="1:8" ht="19.5" customHeight="1" x14ac:dyDescent="0.2">
      <c r="A13" s="1081"/>
      <c r="B13" s="1082"/>
      <c r="C13" s="2424"/>
      <c r="D13" s="2425"/>
      <c r="E13" s="2425"/>
      <c r="F13" s="2426"/>
      <c r="H13" s="1071"/>
    </row>
    <row r="14" spans="1:8" ht="19.5" customHeight="1" x14ac:dyDescent="0.2">
      <c r="A14" s="1081"/>
      <c r="B14" s="1082"/>
      <c r="C14" s="2424"/>
      <c r="D14" s="2425"/>
      <c r="E14" s="2425"/>
      <c r="F14" s="2426"/>
      <c r="H14" s="1071"/>
    </row>
    <row r="15" spans="1:8" ht="17.25" customHeight="1" x14ac:dyDescent="0.2">
      <c r="A15" s="1081"/>
      <c r="B15" s="1082"/>
      <c r="C15" s="2427"/>
      <c r="D15" s="2428"/>
      <c r="E15" s="2428"/>
      <c r="F15" s="2429"/>
      <c r="H15" s="1071"/>
    </row>
    <row r="16" spans="1:8" s="310" customFormat="1" ht="51.75" hidden="1" customHeight="1" x14ac:dyDescent="0.2">
      <c r="A16" s="2423" t="s">
        <v>1687</v>
      </c>
      <c r="B16" s="2423"/>
      <c r="C16" s="2423"/>
      <c r="D16" s="2423"/>
      <c r="E16" s="2423"/>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45" t="s">
        <v>665</v>
      </c>
      <c r="B3" s="2446"/>
      <c r="C3" s="2446"/>
      <c r="D3" s="2447"/>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56" t="s">
        <v>1504</v>
      </c>
      <c r="D7" s="2457"/>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48" t="s">
        <v>1008</v>
      </c>
      <c r="B15" s="2449"/>
      <c r="C15" s="2449"/>
      <c r="D15" s="2450"/>
    </row>
    <row r="16" spans="1:4" s="665" customFormat="1" ht="24" customHeight="1" x14ac:dyDescent="0.2">
      <c r="A16" s="2451" t="s">
        <v>663</v>
      </c>
      <c r="B16" s="2452"/>
      <c r="C16" s="2452"/>
      <c r="D16" s="2453"/>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60" t="s">
        <v>314</v>
      </c>
      <c r="D21" s="2461"/>
    </row>
    <row r="22" spans="1:10" ht="12.75" x14ac:dyDescent="0.2">
      <c r="A22" s="1136"/>
      <c r="B22" s="1137">
        <v>2</v>
      </c>
      <c r="C22" s="2458" t="s">
        <v>1524</v>
      </c>
      <c r="D22" s="245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62" t="s">
        <v>536</v>
      </c>
      <c r="D43" s="246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54" t="s">
        <v>784</v>
      </c>
      <c r="D56" s="245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454" t="s">
        <v>1696</v>
      </c>
      <c r="D70" s="245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28037190002</v>
      </c>
    </row>
    <row r="3" spans="1:2" x14ac:dyDescent="0.2">
      <c r="A3" t="s">
        <v>956</v>
      </c>
      <c r="B3" s="138" t="str">
        <f>COVER!A15</f>
        <v>Henry</v>
      </c>
    </row>
    <row r="4" spans="1:2" x14ac:dyDescent="0.2">
      <c r="A4" t="s">
        <v>1007</v>
      </c>
      <c r="B4" s="138" t="str">
        <f>COVER!A17</f>
        <v>Colona SD 190</v>
      </c>
    </row>
    <row r="5" spans="1:2" x14ac:dyDescent="0.2">
      <c r="A5" t="s">
        <v>704</v>
      </c>
      <c r="B5" s="138" t="str">
        <f>COVER!A38</f>
        <v>Carl Johnson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2974128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2877729</v>
      </c>
      <c r="D92" s="2" t="str">
        <f t="shared" si="0"/>
        <v>Error?</v>
      </c>
    </row>
    <row r="93" spans="1:4" x14ac:dyDescent="0.2">
      <c r="A93" s="5">
        <v>32</v>
      </c>
      <c r="B93" s="138">
        <f>'Assets-Liab 5-6'!C41</f>
        <v>2974128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346293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346293</v>
      </c>
      <c r="D123" s="2" t="str">
        <f t="shared" si="0"/>
        <v>Error?</v>
      </c>
    </row>
    <row r="124" spans="1:4" x14ac:dyDescent="0.2">
      <c r="A124" s="5">
        <v>63</v>
      </c>
      <c r="B124" s="138">
        <f>'Assets-Liab 5-6'!D41</f>
        <v>346293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266777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190535</v>
      </c>
      <c r="D140" s="2" t="str">
        <f t="shared" si="1"/>
        <v>Error?</v>
      </c>
    </row>
    <row r="141" spans="1:4" x14ac:dyDescent="0.2">
      <c r="A141" s="5">
        <v>80</v>
      </c>
      <c r="B141" s="138">
        <f>'Assets-Liab 5-6'!E41</f>
        <v>266777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120609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120609</v>
      </c>
      <c r="D170" s="2" t="str">
        <f t="shared" si="1"/>
        <v>Error?</v>
      </c>
    </row>
    <row r="171" spans="1:4" x14ac:dyDescent="0.2">
      <c r="A171" s="5">
        <v>110</v>
      </c>
      <c r="B171" s="138">
        <f>'Assets-Liab 5-6'!F41</f>
        <v>120609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241834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174483</v>
      </c>
      <c r="D189" s="2" t="str">
        <f t="shared" si="1"/>
        <v>Error?</v>
      </c>
    </row>
    <row r="190" spans="1:4" x14ac:dyDescent="0.2">
      <c r="A190" s="5">
        <v>129</v>
      </c>
      <c r="B190" s="138">
        <f>'Assets-Liab 5-6'!G41</f>
        <v>241834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292631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292631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252069</v>
      </c>
      <c r="D273" s="2" t="str">
        <f t="shared" si="3"/>
        <v>Error?</v>
      </c>
    </row>
    <row r="274" spans="1:4" x14ac:dyDescent="0.2">
      <c r="A274" s="5">
        <v>213</v>
      </c>
      <c r="B274" s="138">
        <f>'Assets-Liab 5-6'!M17</f>
        <v>6332178</v>
      </c>
      <c r="D274" s="2" t="str">
        <f t="shared" si="3"/>
        <v>Error?</v>
      </c>
    </row>
    <row r="275" spans="1:4" x14ac:dyDescent="0.2">
      <c r="A275" s="5">
        <v>214</v>
      </c>
      <c r="B275" s="138">
        <f>'Assets-Liab 5-6'!M18</f>
        <v>316837</v>
      </c>
      <c r="D275" s="2" t="str">
        <f t="shared" si="3"/>
        <v>Error?</v>
      </c>
    </row>
    <row r="276" spans="1:4" x14ac:dyDescent="0.2">
      <c r="A276" s="5">
        <v>215</v>
      </c>
      <c r="B276" s="138">
        <f>'Assets-Liab 5-6'!M19</f>
        <v>535003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7450987</v>
      </c>
      <c r="C279" s="2" t="s">
        <v>573</v>
      </c>
      <c r="D279" s="2" t="str">
        <f t="shared" si="3"/>
        <v>Error?</v>
      </c>
    </row>
    <row r="280" spans="1:4" x14ac:dyDescent="0.2">
      <c r="A280" s="5">
        <v>219</v>
      </c>
      <c r="B280" s="138">
        <f>'Assets-Liab 5-6'!M40</f>
        <v>7450987</v>
      </c>
      <c r="D280" s="2" t="str">
        <f t="shared" si="3"/>
        <v>Error?</v>
      </c>
    </row>
    <row r="281" spans="1:4" x14ac:dyDescent="0.2">
      <c r="A281" s="5">
        <v>220</v>
      </c>
      <c r="B281" s="138">
        <f>'Assets-Liab 5-6'!M41</f>
        <v>7450987</v>
      </c>
      <c r="C281" s="2" t="s">
        <v>573</v>
      </c>
      <c r="D281" s="2" t="str">
        <f t="shared" si="3"/>
        <v>Error?</v>
      </c>
    </row>
    <row r="282" spans="1:4" x14ac:dyDescent="0.2">
      <c r="A282" s="5">
        <v>221</v>
      </c>
      <c r="B282" s="138">
        <f>'Assets-Liab 5-6'!N21</f>
        <v>266777</v>
      </c>
      <c r="D282" s="2" t="str">
        <f t="shared" si="3"/>
        <v>Error?</v>
      </c>
    </row>
    <row r="283" spans="1:4" x14ac:dyDescent="0.2">
      <c r="A283" s="5">
        <v>222</v>
      </c>
      <c r="B283" s="138">
        <f>'Assets-Liab 5-6'!N22</f>
        <v>118223</v>
      </c>
      <c r="D283" s="2" t="str">
        <f t="shared" si="3"/>
        <v>Error?</v>
      </c>
    </row>
    <row r="284" spans="1:4" x14ac:dyDescent="0.2">
      <c r="A284" s="5">
        <v>223</v>
      </c>
      <c r="B284" s="138">
        <f>'Assets-Liab 5-6'!N23</f>
        <v>385000</v>
      </c>
      <c r="C284" s="2" t="s">
        <v>573</v>
      </c>
      <c r="D284" s="2" t="str">
        <f t="shared" si="3"/>
        <v>Error?</v>
      </c>
    </row>
    <row r="285" spans="1:4" x14ac:dyDescent="0.2">
      <c r="A285" s="5">
        <v>224</v>
      </c>
      <c r="B285" s="138">
        <f>'Assets-Liab 5-6'!N36</f>
        <v>385000</v>
      </c>
      <c r="D285" s="2" t="str">
        <f t="shared" si="3"/>
        <v>Error?</v>
      </c>
    </row>
    <row r="286" spans="1:4" x14ac:dyDescent="0.2">
      <c r="A286" s="10">
        <v>225</v>
      </c>
      <c r="D286" s="2" t="str">
        <f t="shared" si="3"/>
        <v>OK</v>
      </c>
    </row>
    <row r="287" spans="1:4" x14ac:dyDescent="0.2">
      <c r="A287" s="5">
        <v>226</v>
      </c>
      <c r="B287" s="138">
        <f>'Assets-Liab 5-6'!N37</f>
        <v>385000</v>
      </c>
      <c r="C287" s="2" t="s">
        <v>573</v>
      </c>
      <c r="D287" s="2" t="str">
        <f t="shared" si="3"/>
        <v>Error?</v>
      </c>
    </row>
    <row r="288" spans="1:4" x14ac:dyDescent="0.2">
      <c r="A288" s="5">
        <v>227</v>
      </c>
      <c r="B288" s="138">
        <f>'Assets-Liab 5-6'!N41</f>
        <v>385000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1208219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30294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1680646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13864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4065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17929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12786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12786</v>
      </c>
      <c r="C731" s="2" t="s">
        <v>573</v>
      </c>
      <c r="D731" s="2" t="str">
        <f t="shared" si="10"/>
        <v>Error?</v>
      </c>
    </row>
    <row r="732" spans="1:4" x14ac:dyDescent="0.2">
      <c r="A732" s="5">
        <v>671</v>
      </c>
      <c r="B732" s="138">
        <f>'Expenditures 15-22'!C49</f>
        <v>1788</v>
      </c>
      <c r="D732" s="2" t="str">
        <f t="shared" si="10"/>
        <v>Error?</v>
      </c>
    </row>
    <row r="733" spans="1:4" x14ac:dyDescent="0.2">
      <c r="A733" s="5">
        <v>672</v>
      </c>
      <c r="B733" s="138">
        <f>'Expenditures 15-22'!C50</f>
        <v>167744</v>
      </c>
      <c r="D733" s="2" t="str">
        <f t="shared" si="10"/>
        <v>Error?</v>
      </c>
    </row>
    <row r="734" spans="1:4" x14ac:dyDescent="0.2">
      <c r="A734" s="5">
        <v>673</v>
      </c>
      <c r="B734" s="138">
        <f>'Expenditures 15-22'!C53</f>
        <v>169532</v>
      </c>
      <c r="C734" s="2" t="s">
        <v>573</v>
      </c>
      <c r="D734" s="2" t="str">
        <f t="shared" si="10"/>
        <v>Error?</v>
      </c>
    </row>
    <row r="735" spans="1:4" x14ac:dyDescent="0.2">
      <c r="A735" s="5">
        <v>674</v>
      </c>
      <c r="B735" s="138">
        <f>'Expenditures 15-22'!C55</f>
        <v>124661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124661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40719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78649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119368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444276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2124922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208049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239637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956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962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v>
      </c>
      <c r="C789" s="2" t="s">
        <v>573</v>
      </c>
      <c r="D789" s="2" t="str">
        <f t="shared" si="11"/>
        <v>Error?</v>
      </c>
    </row>
    <row r="790" spans="1:4" x14ac:dyDescent="0.2">
      <c r="A790" s="5">
        <v>729</v>
      </c>
      <c r="B790" s="138">
        <f>'Expenditures 15-22'!D49</f>
        <v>3254</v>
      </c>
      <c r="D790" s="2" t="str">
        <f t="shared" si="11"/>
        <v>Error?</v>
      </c>
    </row>
    <row r="791" spans="1:4" x14ac:dyDescent="0.2">
      <c r="A791" s="5">
        <v>730</v>
      </c>
      <c r="B791" s="138">
        <f>'Expenditures 15-22'!D50</f>
        <v>44379</v>
      </c>
      <c r="D791" s="2" t="str">
        <f t="shared" si="11"/>
        <v>Error?</v>
      </c>
    </row>
    <row r="792" spans="1:4" x14ac:dyDescent="0.2">
      <c r="A792" s="5">
        <v>731</v>
      </c>
      <c r="B792" s="138">
        <f>'Expenditures 15-22'!D53</f>
        <v>47633</v>
      </c>
      <c r="C792" s="2" t="s">
        <v>573</v>
      </c>
      <c r="D792" s="2" t="str">
        <f t="shared" si="11"/>
        <v>Error?</v>
      </c>
    </row>
    <row r="793" spans="1:4" x14ac:dyDescent="0.2">
      <c r="A793" s="5">
        <v>732</v>
      </c>
      <c r="B793" s="138">
        <f>'Expenditures 15-22'!D55</f>
        <v>29381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29381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12800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13352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91334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330971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12457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2385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19939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686</v>
      </c>
      <c r="D844" s="2" t="str">
        <f t="shared" si="12"/>
        <v>Error?</v>
      </c>
    </row>
    <row r="845" spans="1:4" x14ac:dyDescent="0.2">
      <c r="A845" s="5">
        <v>784</v>
      </c>
      <c r="B845" s="138">
        <f>'Expenditures 15-22'!E45</f>
        <v>1099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1785</v>
      </c>
      <c r="C847" s="2" t="s">
        <v>573</v>
      </c>
      <c r="D847" s="2" t="str">
        <f t="shared" si="12"/>
        <v>Error?</v>
      </c>
    </row>
    <row r="848" spans="1:4" x14ac:dyDescent="0.2">
      <c r="A848" s="5">
        <v>787</v>
      </c>
      <c r="B848" s="138">
        <f>'Expenditures 15-22'!E49</f>
        <v>26071</v>
      </c>
      <c r="D848" s="2" t="str">
        <f t="shared" si="12"/>
        <v>Error?</v>
      </c>
    </row>
    <row r="849" spans="1:4" x14ac:dyDescent="0.2">
      <c r="A849" s="5">
        <v>788</v>
      </c>
      <c r="B849" s="138">
        <f>'Expenditures 15-22'!E50</f>
        <v>2379</v>
      </c>
      <c r="D849" s="2" t="str">
        <f t="shared" si="12"/>
        <v>Error?</v>
      </c>
    </row>
    <row r="850" spans="1:4" x14ac:dyDescent="0.2">
      <c r="A850" s="5">
        <v>789</v>
      </c>
      <c r="B850" s="138">
        <f>'Expenditures 15-22'!E53</f>
        <v>28450</v>
      </c>
      <c r="C850" s="2" t="s">
        <v>573</v>
      </c>
      <c r="D850" s="2" t="str">
        <f t="shared" si="12"/>
        <v>Error?</v>
      </c>
    </row>
    <row r="851" spans="1:4" x14ac:dyDescent="0.2">
      <c r="A851" s="5">
        <v>790</v>
      </c>
      <c r="B851" s="138">
        <f>'Expenditures 15-22'!E55</f>
        <v>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66408</v>
      </c>
      <c r="D856" s="2" t="str">
        <f t="shared" si="12"/>
        <v>Error?</v>
      </c>
    </row>
    <row r="857" spans="1:4" x14ac:dyDescent="0.2">
      <c r="A857" s="5">
        <v>796</v>
      </c>
      <c r="B857" s="138">
        <f>'Expenditures 15-22'!E62</f>
        <v>2390</v>
      </c>
      <c r="D857" s="2" t="str">
        <f t="shared" si="12"/>
        <v>Error?</v>
      </c>
    </row>
    <row r="858" spans="1:4" x14ac:dyDescent="0.2">
      <c r="A858" s="5">
        <v>797</v>
      </c>
      <c r="B858" s="138">
        <f>'Expenditures 15-22'!E63</f>
        <v>994</v>
      </c>
      <c r="D858" s="2" t="str">
        <f t="shared" si="12"/>
        <v>Error?</v>
      </c>
    </row>
    <row r="859" spans="1:4" x14ac:dyDescent="0.2">
      <c r="A859" s="5">
        <v>798</v>
      </c>
      <c r="B859" s="138">
        <f>'Expenditures 15-22'!E64</f>
        <v>2529</v>
      </c>
      <c r="D859" s="2" t="str">
        <f t="shared" si="12"/>
        <v>Error?</v>
      </c>
    </row>
    <row r="860" spans="1:4" x14ac:dyDescent="0.2">
      <c r="A860" s="10">
        <v>799</v>
      </c>
      <c r="D860" s="2" t="str">
        <f t="shared" si="12"/>
        <v>OK</v>
      </c>
    </row>
    <row r="861" spans="1:4" x14ac:dyDescent="0.2">
      <c r="A861" s="5">
        <v>800</v>
      </c>
      <c r="B861" s="138">
        <f>'Expenditures 15-22'!E65</f>
        <v>72321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102625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272565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33011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2110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82953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924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924</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5000</v>
      </c>
      <c r="D904" s="2" t="str">
        <f t="shared" si="13"/>
        <v>Error?</v>
      </c>
    </row>
    <row r="905" spans="1:4" x14ac:dyDescent="0.2">
      <c r="A905" s="5">
        <v>844</v>
      </c>
      <c r="B905" s="138">
        <f>'Expenditures 15-22'!F47</f>
        <v>5000</v>
      </c>
      <c r="C905" s="2" t="s">
        <v>573</v>
      </c>
      <c r="D905" s="2" t="str">
        <f t="shared" si="13"/>
        <v>Error?</v>
      </c>
    </row>
    <row r="906" spans="1:4" x14ac:dyDescent="0.2">
      <c r="A906" s="5">
        <v>845</v>
      </c>
      <c r="B906" s="138">
        <f>'Expenditures 15-22'!F49</f>
        <v>2796</v>
      </c>
      <c r="D906" s="2" t="str">
        <f t="shared" si="13"/>
        <v>Error?</v>
      </c>
    </row>
    <row r="907" spans="1:4" x14ac:dyDescent="0.2">
      <c r="A907" s="5">
        <v>846</v>
      </c>
      <c r="B907" s="138">
        <f>'Expenditures 15-22'!F50</f>
        <v>4962</v>
      </c>
      <c r="D907" s="2" t="str">
        <f t="shared" si="13"/>
        <v>Error?</v>
      </c>
    </row>
    <row r="908" spans="1:4" x14ac:dyDescent="0.2">
      <c r="A908" s="5">
        <v>847</v>
      </c>
      <c r="B908" s="138">
        <f>'Expenditures 15-22'!F53</f>
        <v>7758</v>
      </c>
      <c r="C908" s="2" t="s">
        <v>573</v>
      </c>
      <c r="D908" s="2" t="str">
        <f t="shared" si="13"/>
        <v>Error?</v>
      </c>
    </row>
    <row r="909" spans="1:4" x14ac:dyDescent="0.2">
      <c r="A909" s="5">
        <v>848</v>
      </c>
      <c r="B909" s="138">
        <f>'Expenditures 15-22'!F55</f>
        <v>815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815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7044</v>
      </c>
      <c r="D913" s="2" t="str">
        <f t="shared" si="13"/>
        <v>Error?</v>
      </c>
    </row>
    <row r="914" spans="1:4" x14ac:dyDescent="0.2">
      <c r="A914" s="5">
        <v>853</v>
      </c>
      <c r="B914" s="138">
        <f>'Expenditures 15-22'!F61</f>
        <v>49748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160827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217619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232116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315069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60940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60940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60940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6076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6076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7956</v>
      </c>
      <c r="D1022" s="2" t="str">
        <f t="shared" si="14"/>
        <v>Error?</v>
      </c>
    </row>
    <row r="1023" spans="1:4" x14ac:dyDescent="0.2">
      <c r="A1023" s="5">
        <v>962</v>
      </c>
      <c r="B1023" s="138">
        <f>'Expenditures 15-22'!H50</f>
        <v>819</v>
      </c>
      <c r="D1023" s="2" t="str">
        <f t="shared" ref="D1023:D1086" si="15">IF(ISBLANK(B1023),"OK",IF(A1023-B1023=0,"OK","Error?"))</f>
        <v>Error?</v>
      </c>
    </row>
    <row r="1024" spans="1:4" x14ac:dyDescent="0.2">
      <c r="A1024" s="5">
        <v>963</v>
      </c>
      <c r="B1024" s="138">
        <f>'Expenditures 15-22'!H53</f>
        <v>8775</v>
      </c>
      <c r="C1024" s="2" t="s">
        <v>573</v>
      </c>
      <c r="D1024" s="2" t="str">
        <f t="shared" si="15"/>
        <v>Error?</v>
      </c>
    </row>
    <row r="1025" spans="1:4" x14ac:dyDescent="0.2">
      <c r="A1025" s="5">
        <v>964</v>
      </c>
      <c r="B1025" s="138">
        <f>'Expenditures 15-22'!H55</f>
        <v>790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1890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11455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94475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112006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1528752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37030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2090191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14794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5021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19815</v>
      </c>
      <c r="C1115" s="2" t="s">
        <v>573</v>
      </c>
      <c r="D1115" s="2" t="str">
        <f t="shared" si="16"/>
        <v>Error?</v>
      </c>
    </row>
    <row r="1116" spans="1:4" x14ac:dyDescent="0.2">
      <c r="A1116" s="5">
        <v>1055</v>
      </c>
      <c r="B1116" s="138">
        <f>'Expenditures 15-22'!K44</f>
        <v>686</v>
      </c>
      <c r="C1116" s="2" t="s">
        <v>573</v>
      </c>
      <c r="D1116" s="2" t="str">
        <f t="shared" si="16"/>
        <v>Error?</v>
      </c>
    </row>
    <row r="1117" spans="1:4" x14ac:dyDescent="0.2">
      <c r="A1117" s="5">
        <v>1056</v>
      </c>
      <c r="B1117" s="138">
        <f>'Expenditures 15-22'!K45</f>
        <v>13891</v>
      </c>
      <c r="C1117" s="2" t="s">
        <v>573</v>
      </c>
      <c r="D1117" s="2" t="str">
        <f t="shared" si="16"/>
        <v>Error?</v>
      </c>
    </row>
    <row r="1118" spans="1:4" x14ac:dyDescent="0.2">
      <c r="A1118" s="5">
        <v>1057</v>
      </c>
      <c r="B1118" s="138">
        <f>'Expenditures 15-22'!K46</f>
        <v>5000</v>
      </c>
      <c r="C1118" s="2" t="s">
        <v>573</v>
      </c>
      <c r="D1118" s="2" t="str">
        <f t="shared" si="16"/>
        <v>Error?</v>
      </c>
    </row>
    <row r="1119" spans="1:4" x14ac:dyDescent="0.2">
      <c r="A1119" s="5">
        <v>1058</v>
      </c>
      <c r="B1119" s="138">
        <f>'Expenditures 15-22'!K47</f>
        <v>19577</v>
      </c>
      <c r="C1119" s="2" t="s">
        <v>573</v>
      </c>
      <c r="D1119" s="2" t="str">
        <f t="shared" si="16"/>
        <v>Error?</v>
      </c>
    </row>
    <row r="1120" spans="1:4" x14ac:dyDescent="0.2">
      <c r="A1120" s="5">
        <v>1059</v>
      </c>
      <c r="B1120" s="138">
        <f>'Expenditures 15-22'!K49</f>
        <v>41865</v>
      </c>
      <c r="C1120" s="2" t="s">
        <v>573</v>
      </c>
      <c r="D1120" s="2" t="str">
        <f t="shared" si="16"/>
        <v>Error?</v>
      </c>
    </row>
    <row r="1121" spans="1:4" x14ac:dyDescent="0.2">
      <c r="A1121" s="5">
        <v>1060</v>
      </c>
      <c r="B1121" s="138">
        <f>'Expenditures 15-22'!K50</f>
        <v>220283</v>
      </c>
      <c r="C1121" s="2" t="s">
        <v>573</v>
      </c>
      <c r="D1121" s="2" t="str">
        <f t="shared" si="16"/>
        <v>Error?</v>
      </c>
    </row>
    <row r="1122" spans="1:4" x14ac:dyDescent="0.2">
      <c r="A1122" s="5">
        <v>1061</v>
      </c>
      <c r="B1122" s="138">
        <f>'Expenditures 15-22'!K53</f>
        <v>262148</v>
      </c>
      <c r="C1122" s="2" t="s">
        <v>573</v>
      </c>
      <c r="D1122" s="2" t="str">
        <f t="shared" si="16"/>
        <v>Error?</v>
      </c>
    </row>
    <row r="1123" spans="1:4" x14ac:dyDescent="0.2">
      <c r="A1123" s="5">
        <v>1062</v>
      </c>
      <c r="B1123" s="138">
        <f>'Expenditures 15-22'!K55</f>
        <v>155716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155716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48315</v>
      </c>
      <c r="C1127" s="2" t="s">
        <v>573</v>
      </c>
      <c r="D1127" s="2" t="str">
        <f t="shared" si="16"/>
        <v>Error?</v>
      </c>
    </row>
    <row r="1128" spans="1:4" x14ac:dyDescent="0.2">
      <c r="A1128" s="5">
        <v>1067</v>
      </c>
      <c r="B1128" s="138">
        <f>'Expenditures 15-22'!K61</f>
        <v>116156</v>
      </c>
      <c r="C1128" s="2" t="s">
        <v>573</v>
      </c>
      <c r="D1128" s="2" t="str">
        <f t="shared" si="16"/>
        <v>Error?</v>
      </c>
    </row>
    <row r="1129" spans="1:4" x14ac:dyDescent="0.2">
      <c r="A1129" s="5">
        <v>1068</v>
      </c>
      <c r="B1129" s="138">
        <f>'Expenditures 15-22'!K62</f>
        <v>2390</v>
      </c>
      <c r="C1129" s="2" t="s">
        <v>573</v>
      </c>
      <c r="D1129" s="2" t="str">
        <f t="shared" si="16"/>
        <v>Error?</v>
      </c>
    </row>
    <row r="1130" spans="1:4" x14ac:dyDescent="0.2">
      <c r="A1130" s="5">
        <v>1069</v>
      </c>
      <c r="B1130" s="138">
        <f>'Expenditures 15-22'!K63</f>
        <v>255160</v>
      </c>
      <c r="C1130" s="2" t="s">
        <v>573</v>
      </c>
      <c r="D1130" s="2" t="str">
        <f t="shared" si="16"/>
        <v>Error?</v>
      </c>
    </row>
    <row r="1131" spans="1:4" x14ac:dyDescent="0.2">
      <c r="A1131" s="5">
        <v>1070</v>
      </c>
      <c r="B1131" s="138">
        <f>'Expenditures 15-22'!K64</f>
        <v>2529</v>
      </c>
      <c r="C1131" s="2" t="s">
        <v>573</v>
      </c>
      <c r="D1131" s="2" t="str">
        <f t="shared" si="16"/>
        <v>Error?</v>
      </c>
    </row>
    <row r="1132" spans="1:4" x14ac:dyDescent="0.2">
      <c r="A1132" s="10">
        <v>1071</v>
      </c>
      <c r="D1132" s="2" t="str">
        <f t="shared" si="16"/>
        <v>OK</v>
      </c>
    </row>
    <row r="1133" spans="1:4" x14ac:dyDescent="0.2">
      <c r="A1133" s="5">
        <v>1072</v>
      </c>
      <c r="B1133" s="138">
        <f>'Expenditures 15-22'!K65</f>
        <v>424550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881806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244476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3216473</v>
      </c>
      <c r="C1152" s="2" t="s">
        <v>573</v>
      </c>
      <c r="D1152" s="2" t="str">
        <f t="shared" si="17"/>
        <v>Error?</v>
      </c>
    </row>
    <row r="1153" spans="1:4" x14ac:dyDescent="0.2">
      <c r="A1153" s="5">
        <v>1092</v>
      </c>
      <c r="B1153" s="138">
        <f>'Expenditures 15-22'!K115</f>
        <v>671260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148853</v>
      </c>
      <c r="D1221" s="2" t="str">
        <f t="shared" si="18"/>
        <v>Error?</v>
      </c>
    </row>
    <row r="1222" spans="1:4" x14ac:dyDescent="0.2">
      <c r="A1222" s="10">
        <v>1161</v>
      </c>
      <c r="D1222" s="2" t="str">
        <f t="shared" si="18"/>
        <v>OK</v>
      </c>
    </row>
    <row r="1223" spans="1:4" x14ac:dyDescent="0.2">
      <c r="A1223" s="5">
        <v>1162</v>
      </c>
      <c r="B1223" s="138">
        <f>'Expenditures 15-22'!C127</f>
        <v>148853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148853</v>
      </c>
      <c r="C1225" s="2" t="s">
        <v>573</v>
      </c>
      <c r="D1225" s="2" t="str">
        <f t="shared" si="18"/>
        <v>Error?</v>
      </c>
    </row>
    <row r="1226" spans="1:4" x14ac:dyDescent="0.2">
      <c r="A1226" s="5">
        <v>1165</v>
      </c>
      <c r="B1226" s="138">
        <f>'Expenditures 15-22'!C151</f>
        <v>148853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4919</v>
      </c>
      <c r="D1229" s="2" t="str">
        <f t="shared" si="18"/>
        <v>Error?</v>
      </c>
    </row>
    <row r="1230" spans="1:4" x14ac:dyDescent="0.2">
      <c r="A1230" s="10">
        <v>1169</v>
      </c>
      <c r="D1230" s="2" t="str">
        <f t="shared" si="18"/>
        <v>OK</v>
      </c>
    </row>
    <row r="1231" spans="1:4" x14ac:dyDescent="0.2">
      <c r="A1231" s="5">
        <v>1170</v>
      </c>
      <c r="B1231" s="138">
        <f>'Expenditures 15-22'!D127</f>
        <v>4919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4919</v>
      </c>
      <c r="C1233" s="2" t="s">
        <v>573</v>
      </c>
      <c r="D1233" s="2" t="str">
        <f t="shared" si="18"/>
        <v>Error?</v>
      </c>
    </row>
    <row r="1234" spans="1:4" x14ac:dyDescent="0.2">
      <c r="A1234" s="5">
        <v>1173</v>
      </c>
      <c r="B1234" s="138">
        <f>'Expenditures 15-22'!D151</f>
        <v>4919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21213</v>
      </c>
      <c r="D1237" s="2" t="str">
        <f t="shared" si="18"/>
        <v>Error?</v>
      </c>
    </row>
    <row r="1238" spans="1:4" x14ac:dyDescent="0.2">
      <c r="A1238" s="10">
        <v>1177</v>
      </c>
      <c r="D1238" s="2" t="str">
        <f t="shared" si="18"/>
        <v>OK</v>
      </c>
    </row>
    <row r="1239" spans="1:4" x14ac:dyDescent="0.2">
      <c r="A1239" s="5">
        <v>1178</v>
      </c>
      <c r="B1239" s="138">
        <f>'Expenditures 15-22'!E127</f>
        <v>21213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21213</v>
      </c>
      <c r="C1241" s="2" t="s">
        <v>573</v>
      </c>
      <c r="D1241" s="2" t="str">
        <f t="shared" si="18"/>
        <v>Error?</v>
      </c>
    </row>
    <row r="1242" spans="1:4" x14ac:dyDescent="0.2">
      <c r="A1242" s="5">
        <v>1181</v>
      </c>
      <c r="B1242" s="138">
        <f>'Expenditures 15-22'!E151</f>
        <v>21213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37625</v>
      </c>
      <c r="D1245" s="2" t="str">
        <f t="shared" si="18"/>
        <v>Error?</v>
      </c>
    </row>
    <row r="1246" spans="1:4" x14ac:dyDescent="0.2">
      <c r="A1246" s="10">
        <v>1185</v>
      </c>
      <c r="D1246" s="2" t="str">
        <f t="shared" si="18"/>
        <v>OK</v>
      </c>
    </row>
    <row r="1247" spans="1:4" x14ac:dyDescent="0.2">
      <c r="A1247" s="5">
        <v>1186</v>
      </c>
      <c r="B1247" s="138">
        <f>'Expenditures 15-22'!F127</f>
        <v>37625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37625</v>
      </c>
      <c r="C1249" s="2" t="s">
        <v>573</v>
      </c>
      <c r="D1249" s="2" t="str">
        <f t="shared" si="18"/>
        <v>Error?</v>
      </c>
    </row>
    <row r="1250" spans="1:4" x14ac:dyDescent="0.2">
      <c r="A1250" s="5">
        <v>1189</v>
      </c>
      <c r="B1250" s="138">
        <f>'Expenditures 15-22'!F151</f>
        <v>37625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165436</v>
      </c>
      <c r="D1252" s="2" t="str">
        <f t="shared" si="18"/>
        <v>Error?</v>
      </c>
    </row>
    <row r="1253" spans="1:4" x14ac:dyDescent="0.2">
      <c r="A1253" s="5">
        <v>1192</v>
      </c>
      <c r="B1253" s="138">
        <f>'Expenditures 15-22'!G124</f>
        <v>17388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182824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182824</v>
      </c>
      <c r="C1258" s="2" t="s">
        <v>573</v>
      </c>
      <c r="D1258" s="2" t="str">
        <f t="shared" si="18"/>
        <v>Error?</v>
      </c>
    </row>
    <row r="1259" spans="1:4" x14ac:dyDescent="0.2">
      <c r="A1259" s="5">
        <v>1198</v>
      </c>
      <c r="B1259" s="138">
        <f>'Expenditures 15-22'!G151</f>
        <v>182824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165436</v>
      </c>
      <c r="C1275" s="2" t="s">
        <v>573</v>
      </c>
      <c r="D1275" s="2" t="str">
        <f t="shared" si="18"/>
        <v>Error?</v>
      </c>
    </row>
    <row r="1276" spans="1:4" x14ac:dyDescent="0.2">
      <c r="A1276" s="5">
        <v>1215</v>
      </c>
      <c r="B1276" s="138">
        <f>'Expenditures 15-22'!K124</f>
        <v>229998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395434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395434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395434</v>
      </c>
      <c r="C1288" s="2" t="s">
        <v>573</v>
      </c>
      <c r="D1288" s="2" t="str">
        <f t="shared" si="19"/>
        <v>Error?</v>
      </c>
    </row>
    <row r="1289" spans="1:4" x14ac:dyDescent="0.2">
      <c r="A1289" s="5">
        <v>1228</v>
      </c>
      <c r="B1289" s="138">
        <f>'Expenditures 15-22'!K152</f>
        <v>-145072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18597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258597</v>
      </c>
      <c r="C1317" s="2" t="s">
        <v>573</v>
      </c>
      <c r="D1317" s="2" t="str">
        <f t="shared" si="19"/>
        <v>Error?</v>
      </c>
    </row>
    <row r="1318" spans="1:4" x14ac:dyDescent="0.2">
      <c r="A1318" s="5">
        <v>1257</v>
      </c>
      <c r="B1318" s="138">
        <f>'Expenditures 15-22'!H174</f>
        <v>258597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18597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240000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258597</v>
      </c>
      <c r="C1331" s="2" t="s">
        <v>573</v>
      </c>
      <c r="D1331" s="2" t="str">
        <f t="shared" si="19"/>
        <v>Error?</v>
      </c>
    </row>
    <row r="1332" spans="1:4" x14ac:dyDescent="0.2">
      <c r="A1332" s="5">
        <v>1271</v>
      </c>
      <c r="B1332" s="138">
        <f>'Expenditures 15-22'!K174</f>
        <v>258597</v>
      </c>
      <c r="C1332" s="2" t="s">
        <v>573</v>
      </c>
      <c r="D1332" s="2" t="str">
        <f t="shared" si="19"/>
        <v>Error?</v>
      </c>
    </row>
    <row r="1333" spans="1:4" x14ac:dyDescent="0.2">
      <c r="A1333" s="5">
        <v>1272</v>
      </c>
      <c r="B1333" s="138">
        <f>'Expenditures 15-22'!K175</f>
        <v>20808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68102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68102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68102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68102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68102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68102</v>
      </c>
      <c r="C1388" s="2" t="s">
        <v>573</v>
      </c>
      <c r="D1388" s="2" t="str">
        <f t="shared" si="20"/>
        <v>Error?</v>
      </c>
    </row>
    <row r="1389" spans="1:4" x14ac:dyDescent="0.2">
      <c r="A1389" s="5">
        <v>1328</v>
      </c>
      <c r="B1389" s="138">
        <f>'Expenditures 15-22'!K211</f>
        <v>14902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61816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4958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5012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2112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2112</v>
      </c>
      <c r="C1421" s="2" t="s">
        <v>573</v>
      </c>
      <c r="D1421" s="2" t="str">
        <f t="shared" si="21"/>
        <v>Error?</v>
      </c>
    </row>
    <row r="1422" spans="1:4" x14ac:dyDescent="0.2">
      <c r="A1422" s="5">
        <v>1361</v>
      </c>
      <c r="B1422" s="138">
        <f>'Expenditures 15-22'!D245</f>
        <v>283</v>
      </c>
      <c r="D1422" s="2" t="str">
        <f t="shared" si="21"/>
        <v>Error?</v>
      </c>
    </row>
    <row r="1423" spans="1:4" x14ac:dyDescent="0.2">
      <c r="A1423" s="5">
        <v>1362</v>
      </c>
      <c r="B1423" s="138">
        <f>'Expenditures 15-22'!D246</f>
        <v>7063</v>
      </c>
      <c r="D1423" s="2" t="str">
        <f t="shared" si="21"/>
        <v>Error?</v>
      </c>
    </row>
    <row r="1424" spans="1:4" x14ac:dyDescent="0.2">
      <c r="A1424" s="5">
        <v>1363</v>
      </c>
      <c r="B1424" s="138">
        <f>'Expenditures 15-22'!D257</f>
        <v>7753</v>
      </c>
      <c r="C1424" s="2" t="s">
        <v>573</v>
      </c>
      <c r="D1424" s="2" t="str">
        <f t="shared" si="21"/>
        <v>Error?</v>
      </c>
    </row>
    <row r="1425" spans="1:4" x14ac:dyDescent="0.2">
      <c r="A1425" s="5">
        <v>1364</v>
      </c>
      <c r="B1425" s="138">
        <f>'Expenditures 15-22'!D259</f>
        <v>6506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6506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8138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21750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12931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42819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64202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126018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1115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61816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4958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54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5012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2112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2112</v>
      </c>
      <c r="C1485" s="2" t="s">
        <v>573</v>
      </c>
      <c r="D1485" s="2" t="str">
        <f t="shared" si="22"/>
        <v>Error?</v>
      </c>
    </row>
    <row r="1486" spans="1:4" x14ac:dyDescent="0.2">
      <c r="A1486" s="5">
        <v>1425</v>
      </c>
      <c r="B1486" s="138">
        <f>'Expenditures 15-22'!K245</f>
        <v>283</v>
      </c>
      <c r="C1486" s="2" t="s">
        <v>573</v>
      </c>
      <c r="D1486" s="2" t="str">
        <f t="shared" si="22"/>
        <v>Error?</v>
      </c>
    </row>
    <row r="1487" spans="1:4" x14ac:dyDescent="0.2">
      <c r="A1487" s="5">
        <v>1426</v>
      </c>
      <c r="B1487" s="138">
        <f>'Expenditures 15-22'!K246</f>
        <v>7063</v>
      </c>
      <c r="C1487" s="2" t="s">
        <v>573</v>
      </c>
      <c r="D1487" s="2" t="str">
        <f t="shared" si="22"/>
        <v>Error?</v>
      </c>
    </row>
    <row r="1488" spans="1:4" x14ac:dyDescent="0.2">
      <c r="A1488" s="5">
        <v>1427</v>
      </c>
      <c r="B1488" s="138">
        <f>'Expenditures 15-22'!K257</f>
        <v>7753</v>
      </c>
      <c r="C1488" s="2" t="s">
        <v>573</v>
      </c>
      <c r="D1488" s="2" t="str">
        <f t="shared" si="22"/>
        <v>Error?</v>
      </c>
    </row>
    <row r="1489" spans="1:4" x14ac:dyDescent="0.2">
      <c r="A1489" s="5">
        <v>1428</v>
      </c>
      <c r="B1489" s="138">
        <f>'Expenditures 15-22'!K259</f>
        <v>6506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6506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8138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21750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12931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42819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64202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126018</v>
      </c>
      <c r="C1517" s="2" t="s">
        <v>573</v>
      </c>
      <c r="D1517" s="2" t="str">
        <f t="shared" si="22"/>
        <v>Error?</v>
      </c>
    </row>
    <row r="1518" spans="1:4" x14ac:dyDescent="0.2">
      <c r="A1518" s="5">
        <v>1457</v>
      </c>
      <c r="B1518" s="138">
        <f>'Expenditures 15-22'!K296</f>
        <v>32065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196</v>
      </c>
      <c r="C1535" s="2" t="s">
        <v>573</v>
      </c>
      <c r="D1535" s="2" t="str">
        <f t="shared" ref="D1535:D1598" si="23">IF(ISBLANK(B1535),"OK",IF(A1535-B1535=0,"OK","Error?"))</f>
        <v>Error?</v>
      </c>
    </row>
    <row r="1536" spans="1:4" x14ac:dyDescent="0.2">
      <c r="A1536" s="5">
        <v>1475</v>
      </c>
      <c r="B1536" s="138">
        <f>'Expenditures 15-22'!E312</f>
        <v>196</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23858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23858</v>
      </c>
      <c r="C1547" s="2" t="s">
        <v>573</v>
      </c>
      <c r="D1547" s="2" t="str">
        <f t="shared" si="23"/>
        <v>Error?</v>
      </c>
    </row>
    <row r="1548" spans="1:4" x14ac:dyDescent="0.2">
      <c r="A1548" s="5">
        <v>1487</v>
      </c>
      <c r="B1548" s="138">
        <f>'Expenditures 15-22'!G312</f>
        <v>23858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24054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24054</v>
      </c>
      <c r="C1559" s="2" t="s">
        <v>573</v>
      </c>
      <c r="D1559" s="2" t="str">
        <f t="shared" si="23"/>
        <v>Error?</v>
      </c>
    </row>
    <row r="1560" spans="1:4" x14ac:dyDescent="0.2">
      <c r="A1560" s="5">
        <v>1499</v>
      </c>
      <c r="B1560" s="138">
        <f>'Expenditures 15-22'!K312</f>
        <v>24054</v>
      </c>
      <c r="C1560" s="2" t="s">
        <v>573</v>
      </c>
      <c r="D1560" s="2" t="str">
        <f t="shared" si="23"/>
        <v>Error?</v>
      </c>
    </row>
    <row r="1561" spans="1:4" x14ac:dyDescent="0.2">
      <c r="A1561" s="5">
        <v>1500</v>
      </c>
      <c r="B1561" s="138">
        <f>'Expenditures 15-22'!K313</f>
        <v>97654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2302868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2974128</v>
      </c>
      <c r="C1630" s="2" t="s">
        <v>573</v>
      </c>
      <c r="D1630" s="2" t="str">
        <f t="shared" si="24"/>
        <v>Error?</v>
      </c>
    </row>
    <row r="1631" spans="1:4" x14ac:dyDescent="0.2">
      <c r="A1631" s="5">
        <v>1570</v>
      </c>
      <c r="B1631" s="138">
        <f>'Acct Summary 7-8'!D79</f>
        <v>316365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346293</v>
      </c>
      <c r="C1644" s="2" t="s">
        <v>573</v>
      </c>
      <c r="D1644" s="2" t="str">
        <f t="shared" si="24"/>
        <v>Error?</v>
      </c>
    </row>
    <row r="1645" spans="1:4" x14ac:dyDescent="0.2">
      <c r="A1645" s="5">
        <v>1584</v>
      </c>
      <c r="B1645" s="138">
        <f>'Acct Summary 7-8'!E79</f>
        <v>245969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266777</v>
      </c>
      <c r="C1658" s="2" t="s">
        <v>573</v>
      </c>
      <c r="D1658" s="2" t="str">
        <f t="shared" si="24"/>
        <v>Error?</v>
      </c>
    </row>
    <row r="1659" spans="1:4" x14ac:dyDescent="0.2">
      <c r="A1659" s="5">
        <v>1598</v>
      </c>
      <c r="B1659" s="138">
        <f>'Acct Summary 7-8'!F79</f>
        <v>105707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120609</v>
      </c>
      <c r="C1672" s="2" t="s">
        <v>573</v>
      </c>
      <c r="D1672" s="2" t="str">
        <f t="shared" si="25"/>
        <v>Error?</v>
      </c>
    </row>
    <row r="1673" spans="1:4" x14ac:dyDescent="0.2">
      <c r="A1673" s="5">
        <v>1612</v>
      </c>
      <c r="B1673" s="138">
        <f>'Acct Summary 7-8'!G79</f>
        <v>209769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241834</v>
      </c>
      <c r="C1686" s="2" t="s">
        <v>573</v>
      </c>
      <c r="D1686" s="2" t="str">
        <f t="shared" si="25"/>
        <v>Error?</v>
      </c>
    </row>
    <row r="1687" spans="1:4" x14ac:dyDescent="0.2">
      <c r="A1687" s="5">
        <v>1626</v>
      </c>
      <c r="B1687" s="138">
        <f>'Acct Summary 7-8'!H79</f>
        <v>194977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292631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804852</v>
      </c>
      <c r="C1744" s="2" t="s">
        <v>573</v>
      </c>
      <c r="D1744" s="2" t="str">
        <f t="shared" si="26"/>
        <v>Error?</v>
      </c>
    </row>
    <row r="1745" spans="1:5" x14ac:dyDescent="0.2">
      <c r="A1745" s="5">
        <v>1684</v>
      </c>
      <c r="B1745" s="138">
        <f>'Tax Sched 23'!B5</f>
        <v>220233</v>
      </c>
      <c r="C1745" s="2" t="s">
        <v>573</v>
      </c>
      <c r="D1745" s="2" t="str">
        <f t="shared" si="26"/>
        <v>Error?</v>
      </c>
    </row>
    <row r="1746" spans="1:5" x14ac:dyDescent="0.2">
      <c r="A1746" s="5">
        <v>1685</v>
      </c>
      <c r="B1746" s="138">
        <f>'Tax Sched 23'!B6</f>
        <v>182407</v>
      </c>
      <c r="C1746" s="2" t="s">
        <v>573</v>
      </c>
      <c r="D1746" s="2" t="str">
        <f t="shared" si="26"/>
        <v>Error?</v>
      </c>
    </row>
    <row r="1747" spans="1:5" x14ac:dyDescent="0.2">
      <c r="A1747" s="5">
        <v>1686</v>
      </c>
      <c r="B1747" s="138">
        <f>'Tax Sched 23'!B7</f>
        <v>48051</v>
      </c>
      <c r="C1747" s="2" t="s">
        <v>573</v>
      </c>
      <c r="D1747" s="2" t="str">
        <f t="shared" si="26"/>
        <v>Error?</v>
      </c>
    </row>
    <row r="1748" spans="1:5" x14ac:dyDescent="0.2">
      <c r="A1748" s="5">
        <v>1687</v>
      </c>
      <c r="B1748" s="138">
        <f>'Tax Sched 23'!B8</f>
        <v>66902</v>
      </c>
      <c r="C1748" s="2" t="s">
        <v>573</v>
      </c>
      <c r="D1748" s="2" t="str">
        <f t="shared" si="26"/>
        <v>Error?</v>
      </c>
    </row>
    <row r="1749" spans="1:5" x14ac:dyDescent="0.2">
      <c r="A1749" s="5">
        <v>1688</v>
      </c>
      <c r="B1749" s="138">
        <f>'Tax Sched 23'!B10</f>
        <v>20021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106722</v>
      </c>
      <c r="C1752" s="2" t="s">
        <v>573</v>
      </c>
      <c r="D1752" s="2" t="str">
        <f t="shared" si="26"/>
        <v>Error?</v>
      </c>
    </row>
    <row r="1753" spans="1:5" x14ac:dyDescent="0.2">
      <c r="A1753" s="5">
        <v>1692</v>
      </c>
      <c r="B1753" s="138">
        <f>'Tax Sched 23'!B12</f>
        <v>20021</v>
      </c>
      <c r="C1753" s="2" t="s">
        <v>573</v>
      </c>
      <c r="D1753" s="2" t="str">
        <f t="shared" si="26"/>
        <v>Error?</v>
      </c>
    </row>
    <row r="1754" spans="1:5" x14ac:dyDescent="0.2">
      <c r="A1754" s="5">
        <v>1693</v>
      </c>
      <c r="B1754" s="138">
        <f>'Tax Sched 23'!B14</f>
        <v>8008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1560899</v>
      </c>
      <c r="C1759" s="2" t="s">
        <v>573</v>
      </c>
      <c r="D1759" s="2" t="str">
        <f t="shared" si="26"/>
        <v>Error?</v>
      </c>
    </row>
    <row r="1760" spans="1:5" x14ac:dyDescent="0.2">
      <c r="A1760" s="5">
        <v>1699</v>
      </c>
      <c r="B1760" s="138">
        <f>'Tax Sched 23'!D4</f>
        <v>376169</v>
      </c>
      <c r="C1760" s="2" t="s">
        <v>573</v>
      </c>
      <c r="D1760" s="2" t="str">
        <f t="shared" si="26"/>
        <v>Error?</v>
      </c>
    </row>
    <row r="1761" spans="1:5" x14ac:dyDescent="0.2">
      <c r="A1761" s="5">
        <v>1700</v>
      </c>
      <c r="B1761" s="138">
        <f>'Tax Sched 23'!D5</f>
        <v>102932</v>
      </c>
      <c r="C1761" s="2" t="s">
        <v>573</v>
      </c>
      <c r="D1761" s="2" t="str">
        <f t="shared" si="26"/>
        <v>Error?</v>
      </c>
    </row>
    <row r="1762" spans="1:5" s="8" customFormat="1" x14ac:dyDescent="0.2">
      <c r="A1762" s="5">
        <v>1701</v>
      </c>
      <c r="B1762" s="138">
        <f>'Tax Sched 23'!D6</f>
        <v>86092</v>
      </c>
      <c r="C1762" s="2" t="s">
        <v>573</v>
      </c>
      <c r="D1762" s="2" t="str">
        <f t="shared" si="26"/>
        <v>Error?</v>
      </c>
      <c r="E1762" s="9"/>
    </row>
    <row r="1763" spans="1:5" x14ac:dyDescent="0.2">
      <c r="A1763" s="5">
        <v>1702</v>
      </c>
      <c r="B1763" s="138">
        <f>'Tax Sched 23'!D7</f>
        <v>22458</v>
      </c>
      <c r="C1763" s="2" t="s">
        <v>573</v>
      </c>
      <c r="D1763" s="2" t="str">
        <f t="shared" si="26"/>
        <v>Error?</v>
      </c>
    </row>
    <row r="1764" spans="1:5" x14ac:dyDescent="0.2">
      <c r="A1764" s="5">
        <v>1703</v>
      </c>
      <c r="B1764" s="138">
        <f>'Tax Sched 23'!D8</f>
        <v>28747</v>
      </c>
      <c r="C1764" s="2" t="s">
        <v>573</v>
      </c>
      <c r="D1764" s="2" t="str">
        <f t="shared" si="26"/>
        <v>Error?</v>
      </c>
    </row>
    <row r="1765" spans="1:5" x14ac:dyDescent="0.2">
      <c r="A1765" s="5">
        <v>1704</v>
      </c>
      <c r="B1765" s="138">
        <f>'Tax Sched 23'!D10</f>
        <v>9357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50289</v>
      </c>
      <c r="C1768" s="2" t="s">
        <v>573</v>
      </c>
      <c r="D1768" s="2" t="str">
        <f t="shared" si="26"/>
        <v>Error?</v>
      </c>
    </row>
    <row r="1769" spans="1:5" x14ac:dyDescent="0.2">
      <c r="A1769" s="5">
        <v>1708</v>
      </c>
      <c r="B1769" s="138">
        <f>'Tax Sched 23'!D12</f>
        <v>9357</v>
      </c>
      <c r="C1769" s="2" t="s">
        <v>573</v>
      </c>
      <c r="D1769" s="2" t="str">
        <f t="shared" si="26"/>
        <v>Error?</v>
      </c>
    </row>
    <row r="1770" spans="1:5" x14ac:dyDescent="0.2">
      <c r="A1770" s="5">
        <v>1709</v>
      </c>
      <c r="B1770" s="138">
        <f>'Tax Sched 23'!D14</f>
        <v>3742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729231</v>
      </c>
      <c r="C1775" s="2" t="s">
        <v>573</v>
      </c>
      <c r="D1775" s="2" t="str">
        <f t="shared" si="26"/>
        <v>Error?</v>
      </c>
    </row>
    <row r="1776" spans="1:5" x14ac:dyDescent="0.2">
      <c r="A1776" s="5">
        <v>1715</v>
      </c>
      <c r="B1776" s="138">
        <f>'Tax Sched 23'!C4</f>
        <v>428683</v>
      </c>
      <c r="D1776" s="2" t="str">
        <f t="shared" si="26"/>
        <v>Error?</v>
      </c>
    </row>
    <row r="1777" spans="1:4" x14ac:dyDescent="0.2">
      <c r="A1777" s="5">
        <v>1716</v>
      </c>
      <c r="B1777" s="138">
        <f>'Tax Sched 23'!C5</f>
        <v>117301</v>
      </c>
      <c r="D1777" s="2" t="str">
        <f t="shared" si="26"/>
        <v>Error?</v>
      </c>
    </row>
    <row r="1778" spans="1:4" x14ac:dyDescent="0.2">
      <c r="A1778" s="5">
        <v>1717</v>
      </c>
      <c r="B1778" s="138">
        <f>'Tax Sched 23'!C6</f>
        <v>96315</v>
      </c>
      <c r="D1778" s="2" t="str">
        <f t="shared" si="26"/>
        <v>Error?</v>
      </c>
    </row>
    <row r="1779" spans="1:4" x14ac:dyDescent="0.2">
      <c r="A1779" s="5">
        <v>1718</v>
      </c>
      <c r="B1779" s="138">
        <f>'Tax Sched 23'!C7</f>
        <v>25593</v>
      </c>
      <c r="D1779" s="2" t="str">
        <f t="shared" si="26"/>
        <v>Error?</v>
      </c>
    </row>
    <row r="1780" spans="1:4" x14ac:dyDescent="0.2">
      <c r="A1780" s="5">
        <v>1719</v>
      </c>
      <c r="B1780" s="138">
        <f>'Tax Sched 23'!C8</f>
        <v>38155</v>
      </c>
      <c r="D1780" s="2" t="str">
        <f t="shared" si="26"/>
        <v>Error?</v>
      </c>
    </row>
    <row r="1781" spans="1:4" x14ac:dyDescent="0.2">
      <c r="A1781" s="5">
        <v>1720</v>
      </c>
      <c r="B1781" s="138">
        <f>'Tax Sched 23'!C10</f>
        <v>10664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56433</v>
      </c>
      <c r="D1784" s="2" t="str">
        <f t="shared" si="26"/>
        <v>Error?</v>
      </c>
    </row>
    <row r="1785" spans="1:4" x14ac:dyDescent="0.2">
      <c r="A1785" s="5">
        <v>1724</v>
      </c>
      <c r="B1785" s="138">
        <f>'Tax Sched 23'!C12</f>
        <v>10664</v>
      </c>
      <c r="D1785" s="2" t="str">
        <f t="shared" si="26"/>
        <v>Error?</v>
      </c>
    </row>
    <row r="1786" spans="1:4" x14ac:dyDescent="0.2">
      <c r="A1786" s="5">
        <v>1725</v>
      </c>
      <c r="B1786" s="138">
        <f>'Tax Sched 23'!C14</f>
        <v>4266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831668</v>
      </c>
      <c r="C1791" s="2" t="s">
        <v>573</v>
      </c>
      <c r="D1791" s="2" t="str">
        <f t="shared" ref="D1791:D1854" si="27">IF(ISBLANK(B1791),"OK",IF(A1791-B1791=0,"OK","Error?"))</f>
        <v>Error?</v>
      </c>
    </row>
    <row r="1792" spans="1:4" x14ac:dyDescent="0.2">
      <c r="A1792" s="5">
        <v>1731</v>
      </c>
      <c r="B1792" s="138">
        <f>'Tax Sched 23'!F4</f>
        <v>391804</v>
      </c>
      <c r="C1792" s="2" t="s">
        <v>573</v>
      </c>
      <c r="D1792" s="2" t="str">
        <f t="shared" si="27"/>
        <v>Error?</v>
      </c>
    </row>
    <row r="1793" spans="1:4" x14ac:dyDescent="0.2">
      <c r="A1793" s="5">
        <v>1732</v>
      </c>
      <c r="B1793" s="138">
        <f>'Tax Sched 23'!F5</f>
        <v>107210</v>
      </c>
      <c r="C1793" s="2" t="s">
        <v>573</v>
      </c>
      <c r="D1793" s="2" t="str">
        <f t="shared" si="27"/>
        <v>Error?</v>
      </c>
    </row>
    <row r="1794" spans="1:4" x14ac:dyDescent="0.2">
      <c r="A1794" s="5">
        <v>1733</v>
      </c>
      <c r="B1794" s="138">
        <f>'Tax Sched 23'!F6</f>
        <v>88029</v>
      </c>
      <c r="C1794" s="2" t="s">
        <v>573</v>
      </c>
      <c r="D1794" s="2" t="str">
        <f t="shared" si="27"/>
        <v>Error?</v>
      </c>
    </row>
    <row r="1795" spans="1:4" x14ac:dyDescent="0.2">
      <c r="A1795" s="5">
        <v>1734</v>
      </c>
      <c r="B1795" s="138">
        <f>'Tax Sched 23'!F7</f>
        <v>23391</v>
      </c>
      <c r="C1795" s="2" t="s">
        <v>573</v>
      </c>
      <c r="D1795" s="2" t="str">
        <f t="shared" si="27"/>
        <v>Error?</v>
      </c>
    </row>
    <row r="1796" spans="1:4" x14ac:dyDescent="0.2">
      <c r="A1796" s="5">
        <v>1735</v>
      </c>
      <c r="B1796" s="138">
        <f>'Tax Sched 23'!F8</f>
        <v>34872</v>
      </c>
      <c r="C1796" s="2" t="s">
        <v>573</v>
      </c>
      <c r="D1796" s="2" t="str">
        <f t="shared" si="27"/>
        <v>Error?</v>
      </c>
    </row>
    <row r="1797" spans="1:4" x14ac:dyDescent="0.2">
      <c r="A1797" s="5">
        <v>1736</v>
      </c>
      <c r="B1797" s="138">
        <f>'Tax Sched 23'!F10</f>
        <v>9746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51577</v>
      </c>
      <c r="C1800" s="2" t="s">
        <v>573</v>
      </c>
      <c r="D1800" s="2" t="str">
        <f t="shared" si="27"/>
        <v>Error?</v>
      </c>
    </row>
    <row r="1801" spans="1:4" x14ac:dyDescent="0.2">
      <c r="A1801" s="5">
        <v>1740</v>
      </c>
      <c r="B1801" s="138">
        <f>'Tax Sched 23'!F12</f>
        <v>9746</v>
      </c>
      <c r="C1801" s="2" t="s">
        <v>573</v>
      </c>
      <c r="D1801" s="2" t="str">
        <f t="shared" si="27"/>
        <v>Error?</v>
      </c>
    </row>
    <row r="1802" spans="1:4" x14ac:dyDescent="0.2">
      <c r="A1802" s="5">
        <v>1741</v>
      </c>
      <c r="B1802" s="138">
        <f>'Tax Sched 23'!F14</f>
        <v>3898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760115</v>
      </c>
      <c r="C1807" s="2" t="s">
        <v>573</v>
      </c>
      <c r="D1807" s="2" t="str">
        <f t="shared" si="27"/>
        <v>Error?</v>
      </c>
    </row>
    <row r="1808" spans="1:4" x14ac:dyDescent="0.2">
      <c r="A1808" s="5">
        <v>1747</v>
      </c>
      <c r="B1808" s="138">
        <f>'Tax Sched 23'!E4</f>
        <v>820487</v>
      </c>
      <c r="D1808" s="2" t="str">
        <f t="shared" si="27"/>
        <v>Error?</v>
      </c>
    </row>
    <row r="1809" spans="1:4" x14ac:dyDescent="0.2">
      <c r="A1809" s="5">
        <v>1748</v>
      </c>
      <c r="B1809" s="138">
        <f>'Tax Sched 23'!E5</f>
        <v>224511</v>
      </c>
      <c r="D1809" s="2" t="str">
        <f t="shared" si="27"/>
        <v>Error?</v>
      </c>
    </row>
    <row r="1810" spans="1:4" x14ac:dyDescent="0.2">
      <c r="A1810" s="5">
        <v>1749</v>
      </c>
      <c r="B1810" s="138">
        <f>'Tax Sched 23'!E6</f>
        <v>184344</v>
      </c>
      <c r="D1810" s="2" t="str">
        <f t="shared" si="27"/>
        <v>Error?</v>
      </c>
    </row>
    <row r="1811" spans="1:4" x14ac:dyDescent="0.2">
      <c r="A1811" s="5">
        <v>1750</v>
      </c>
      <c r="B1811" s="138">
        <f>'Tax Sched 23'!E7</f>
        <v>48984</v>
      </c>
      <c r="D1811" s="2" t="str">
        <f t="shared" si="27"/>
        <v>Error?</v>
      </c>
    </row>
    <row r="1812" spans="1:4" x14ac:dyDescent="0.2">
      <c r="A1812" s="5">
        <v>1751</v>
      </c>
      <c r="B1812" s="138">
        <f>'Tax Sched 23'!E8</f>
        <v>73027</v>
      </c>
      <c r="D1812" s="2" t="str">
        <f t="shared" si="27"/>
        <v>Error?</v>
      </c>
    </row>
    <row r="1813" spans="1:4" x14ac:dyDescent="0.2">
      <c r="A1813" s="5">
        <v>1752</v>
      </c>
      <c r="B1813" s="138">
        <f>'Tax Sched 23'!E10</f>
        <v>20410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108010</v>
      </c>
      <c r="D1816" s="2" t="str">
        <f t="shared" si="27"/>
        <v>Error?</v>
      </c>
    </row>
    <row r="1817" spans="1:4" x14ac:dyDescent="0.2">
      <c r="A1817" s="5">
        <v>1756</v>
      </c>
      <c r="B1817" s="138">
        <f>'Tax Sched 23'!E12</f>
        <v>20410</v>
      </c>
      <c r="D1817" s="2" t="str">
        <f t="shared" si="27"/>
        <v>Error?</v>
      </c>
    </row>
    <row r="1818" spans="1:4" x14ac:dyDescent="0.2">
      <c r="A1818" s="5">
        <v>1757</v>
      </c>
      <c r="B1818" s="138">
        <f>'Tax Sched 23'!E14</f>
        <v>8164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1591783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8008</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8013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8013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86633</v>
      </c>
      <c r="D2008" s="2" t="str">
        <f t="shared" si="30"/>
        <v>Error?</v>
      </c>
    </row>
    <row r="2009" spans="1:4" x14ac:dyDescent="0.2">
      <c r="A2009" s="5">
        <v>1948</v>
      </c>
      <c r="B2009" s="138">
        <f>'Cap Outlay Deprec 26'!C8</f>
        <v>6298620</v>
      </c>
      <c r="D2009" s="2" t="str">
        <f t="shared" si="30"/>
        <v>Error?</v>
      </c>
    </row>
    <row r="2010" spans="1:4" x14ac:dyDescent="0.2">
      <c r="A2010" s="5">
        <v>1949</v>
      </c>
      <c r="B2010" s="138">
        <f>'Cap Outlay Deprec 26'!C10</f>
        <v>316837</v>
      </c>
      <c r="D2010" s="2" t="str">
        <f t="shared" si="30"/>
        <v>Error?</v>
      </c>
    </row>
    <row r="2011" spans="1:4" x14ac:dyDescent="0.2">
      <c r="A2011" s="5">
        <v>1950</v>
      </c>
      <c r="B2011" s="138">
        <f>'Cap Outlay Deprec 26'!C12</f>
        <v>504373</v>
      </c>
      <c r="D2011" s="2" t="str">
        <f t="shared" si="30"/>
        <v>Error?</v>
      </c>
    </row>
    <row r="2012" spans="1:4" x14ac:dyDescent="0.2">
      <c r="A2012" s="5">
        <v>1951</v>
      </c>
      <c r="B2012" s="138">
        <f>'Cap Outlay Deprec 26'!C13</f>
        <v>28104</v>
      </c>
      <c r="D2012" s="2" t="str">
        <f t="shared" si="30"/>
        <v>Error?</v>
      </c>
    </row>
    <row r="2013" spans="1:4" x14ac:dyDescent="0.2">
      <c r="A2013" s="5">
        <v>1952</v>
      </c>
      <c r="B2013" s="138">
        <f>'Cap Outlay Deprec 26'!C16</f>
        <v>7235716</v>
      </c>
      <c r="C2013" s="2" t="s">
        <v>573</v>
      </c>
      <c r="D2013" s="2" t="str">
        <f t="shared" si="30"/>
        <v>Error?</v>
      </c>
    </row>
    <row r="2014" spans="1:4" x14ac:dyDescent="0.2">
      <c r="A2014" s="5">
        <v>1953</v>
      </c>
      <c r="B2014" s="138">
        <f>'Cap Outlay Deprec 26'!D5</f>
        <v>165436</v>
      </c>
      <c r="D2014" s="2" t="str">
        <f t="shared" si="30"/>
        <v>Error?</v>
      </c>
    </row>
    <row r="2015" spans="1:4" x14ac:dyDescent="0.2">
      <c r="A2015" s="5">
        <v>1954</v>
      </c>
      <c r="B2015" s="138">
        <f>'Cap Outlay Deprec 26'!D8</f>
        <v>33558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78328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292222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76951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76951</v>
      </c>
      <c r="C2025" s="2" t="s">
        <v>573</v>
      </c>
      <c r="D2025" s="2" t="str">
        <f t="shared" si="30"/>
        <v>Error?</v>
      </c>
    </row>
    <row r="2026" spans="1:4" x14ac:dyDescent="0.2">
      <c r="A2026" s="5">
        <v>1965</v>
      </c>
      <c r="B2026" s="138">
        <f>'Cap Outlay Deprec 26'!F5</f>
        <v>252069</v>
      </c>
      <c r="C2026" s="2" t="s">
        <v>573</v>
      </c>
      <c r="D2026" s="2" t="str">
        <f t="shared" si="30"/>
        <v>Error?</v>
      </c>
    </row>
    <row r="2027" spans="1:4" x14ac:dyDescent="0.2">
      <c r="A2027" s="5">
        <v>1966</v>
      </c>
      <c r="B2027" s="138">
        <f>'Cap Outlay Deprec 26'!F8</f>
        <v>6332178</v>
      </c>
      <c r="C2027" s="2" t="s">
        <v>573</v>
      </c>
      <c r="D2027" s="2" t="str">
        <f t="shared" si="30"/>
        <v>Error?</v>
      </c>
    </row>
    <row r="2028" spans="1:4" x14ac:dyDescent="0.2">
      <c r="A2028" s="5">
        <v>1967</v>
      </c>
      <c r="B2028" s="138">
        <f>'Cap Outlay Deprec 26'!F10</f>
        <v>316837</v>
      </c>
      <c r="C2028" s="2" t="s">
        <v>573</v>
      </c>
      <c r="D2028" s="2" t="str">
        <f t="shared" si="30"/>
        <v>Error?</v>
      </c>
    </row>
    <row r="2029" spans="1:4" x14ac:dyDescent="0.2">
      <c r="A2029" s="5">
        <v>1968</v>
      </c>
      <c r="B2029" s="138">
        <f>'Cap Outlay Deprec 26'!F12</f>
        <v>505750</v>
      </c>
      <c r="C2029" s="2" t="s">
        <v>573</v>
      </c>
      <c r="D2029" s="2" t="str">
        <f t="shared" si="30"/>
        <v>Error?</v>
      </c>
    </row>
    <row r="2030" spans="1:4" x14ac:dyDescent="0.2">
      <c r="A2030" s="5">
        <v>1969</v>
      </c>
      <c r="B2030" s="138">
        <f>'Cap Outlay Deprec 26'!F13</f>
        <v>28104</v>
      </c>
      <c r="C2030" s="2" t="s">
        <v>573</v>
      </c>
      <c r="D2030" s="2" t="str">
        <f t="shared" si="30"/>
        <v>Error?</v>
      </c>
    </row>
    <row r="2031" spans="1:4" x14ac:dyDescent="0.2">
      <c r="A2031" s="5">
        <v>1970</v>
      </c>
      <c r="B2031" s="138">
        <f>'Cap Outlay Deprec 26'!F16</f>
        <v>7450987</v>
      </c>
      <c r="C2031" s="2" t="s">
        <v>573</v>
      </c>
      <c r="D2031" s="2" t="str">
        <f t="shared" si="30"/>
        <v>Error?</v>
      </c>
    </row>
    <row r="2032" spans="1:4" x14ac:dyDescent="0.2">
      <c r="A2032" s="10">
        <v>1971</v>
      </c>
      <c r="D2032" s="2" t="str">
        <f t="shared" si="30"/>
        <v>OK</v>
      </c>
    </row>
    <row r="2033" spans="1:4" x14ac:dyDescent="0.2">
      <c r="A2033" s="5">
        <v>1972</v>
      </c>
      <c r="B2033" s="138">
        <f>'Cap Outlay Deprec 26'!H8</f>
        <v>2551792</v>
      </c>
      <c r="D2033" s="2" t="str">
        <f t="shared" si="30"/>
        <v>Error?</v>
      </c>
    </row>
    <row r="2034" spans="1:4" x14ac:dyDescent="0.2">
      <c r="A2034" s="5">
        <v>1973</v>
      </c>
      <c r="B2034" s="138">
        <f>'Cap Outlay Deprec 26'!H10</f>
        <v>172456</v>
      </c>
      <c r="D2034" s="2" t="str">
        <f t="shared" si="30"/>
        <v>Error?</v>
      </c>
    </row>
    <row r="2035" spans="1:4" x14ac:dyDescent="0.2">
      <c r="A2035" s="5">
        <v>1974</v>
      </c>
      <c r="B2035" s="138">
        <f>'Cap Outlay Deprec 26'!H12</f>
        <v>303264</v>
      </c>
      <c r="D2035" s="2" t="str">
        <f t="shared" si="30"/>
        <v>Error?</v>
      </c>
    </row>
    <row r="2036" spans="1:4" x14ac:dyDescent="0.2">
      <c r="A2036" s="5">
        <v>1975</v>
      </c>
      <c r="B2036" s="138">
        <f>'Cap Outlay Deprec 26'!H13</f>
        <v>22484</v>
      </c>
      <c r="D2036" s="2" t="str">
        <f t="shared" si="30"/>
        <v>Error?</v>
      </c>
    </row>
    <row r="2037" spans="1:4" x14ac:dyDescent="0.2">
      <c r="A2037" s="5">
        <v>1976</v>
      </c>
      <c r="B2037" s="138">
        <f>'Cap Outlay Deprec 26'!H16</f>
        <v>3051145</v>
      </c>
      <c r="C2037" s="2" t="s">
        <v>573</v>
      </c>
      <c r="D2037" s="2" t="str">
        <f t="shared" si="30"/>
        <v>Error?</v>
      </c>
    </row>
    <row r="2038" spans="1:4" x14ac:dyDescent="0.2">
      <c r="A2038" s="10">
        <v>1977</v>
      </c>
      <c r="D2038" s="2" t="str">
        <f t="shared" si="30"/>
        <v>OK</v>
      </c>
    </row>
    <row r="2039" spans="1:4" x14ac:dyDescent="0.2">
      <c r="A2039" s="5">
        <v>1978</v>
      </c>
      <c r="B2039" s="138">
        <f>'Cap Outlay Deprec 26'!I8</f>
        <v>117388</v>
      </c>
      <c r="D2039" s="2" t="str">
        <f t="shared" si="30"/>
        <v>Error?</v>
      </c>
    </row>
    <row r="2040" spans="1:4" x14ac:dyDescent="0.2">
      <c r="A2040" s="5">
        <v>1979</v>
      </c>
      <c r="B2040" s="138">
        <f>'Cap Outlay Deprec 26'!I10</f>
        <v>11374</v>
      </c>
      <c r="D2040" s="2" t="str">
        <f t="shared" si="30"/>
        <v>Error?</v>
      </c>
    </row>
    <row r="2041" spans="1:4" x14ac:dyDescent="0.2">
      <c r="A2041" s="5">
        <v>1980</v>
      </c>
      <c r="B2041" s="138">
        <f>'Cap Outlay Deprec 26'!I12</f>
        <v>50575</v>
      </c>
      <c r="D2041" s="2" t="str">
        <f t="shared" si="30"/>
        <v>Error?</v>
      </c>
    </row>
    <row r="2042" spans="1:4" x14ac:dyDescent="0.2">
      <c r="A2042" s="5">
        <v>1981</v>
      </c>
      <c r="B2042" s="138">
        <f>'Cap Outlay Deprec 26'!I13</f>
        <v>5620</v>
      </c>
      <c r="D2042" s="2" t="str">
        <f t="shared" si="30"/>
        <v>Error?</v>
      </c>
    </row>
    <row r="2043" spans="1:4" x14ac:dyDescent="0.2">
      <c r="A2043" s="5">
        <v>1982</v>
      </c>
      <c r="B2043" s="138">
        <f>'Cap Outlay Deprec 26'!I16</f>
        <v>184957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76951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76951</v>
      </c>
      <c r="C2049" s="2" t="s">
        <v>573</v>
      </c>
      <c r="D2049" s="2" t="str">
        <f t="shared" si="31"/>
        <v>Error?</v>
      </c>
    </row>
    <row r="2050" spans="1:4" x14ac:dyDescent="0.2">
      <c r="A2050" s="10">
        <v>1989</v>
      </c>
      <c r="D2050" s="2" t="str">
        <f t="shared" si="31"/>
        <v>OK</v>
      </c>
    </row>
    <row r="2051" spans="1:4" x14ac:dyDescent="0.2">
      <c r="A2051" s="5">
        <v>1990</v>
      </c>
      <c r="B2051" s="138">
        <f>'Cap Outlay Deprec 26'!K8</f>
        <v>2669180</v>
      </c>
      <c r="C2051" s="2" t="s">
        <v>573</v>
      </c>
      <c r="D2051" s="2" t="str">
        <f t="shared" si="31"/>
        <v>Error?</v>
      </c>
    </row>
    <row r="2052" spans="1:4" x14ac:dyDescent="0.2">
      <c r="A2052" s="5">
        <v>1991</v>
      </c>
      <c r="B2052" s="138">
        <f>'Cap Outlay Deprec 26'!K10</f>
        <v>183830</v>
      </c>
      <c r="C2052" s="2" t="s">
        <v>573</v>
      </c>
      <c r="D2052" s="2" t="str">
        <f t="shared" si="31"/>
        <v>Error?</v>
      </c>
    </row>
    <row r="2053" spans="1:4" x14ac:dyDescent="0.2">
      <c r="A2053" s="5">
        <v>1992</v>
      </c>
      <c r="B2053" s="138">
        <f>'Cap Outlay Deprec 26'!K12</f>
        <v>276888</v>
      </c>
      <c r="C2053" s="2" t="s">
        <v>573</v>
      </c>
      <c r="D2053" s="2" t="str">
        <f t="shared" si="31"/>
        <v>Error?</v>
      </c>
    </row>
    <row r="2054" spans="1:4" x14ac:dyDescent="0.2">
      <c r="A2054" s="5">
        <v>1993</v>
      </c>
      <c r="B2054" s="138">
        <f>'Cap Outlay Deprec 26'!K13</f>
        <v>28104</v>
      </c>
      <c r="C2054" s="2" t="s">
        <v>573</v>
      </c>
      <c r="D2054" s="2" t="str">
        <f t="shared" si="31"/>
        <v>Error?</v>
      </c>
    </row>
    <row r="2055" spans="1:4" x14ac:dyDescent="0.2">
      <c r="A2055" s="5">
        <v>1994</v>
      </c>
      <c r="B2055" s="138">
        <f>'Cap Outlay Deprec 26'!K16</f>
        <v>3159151</v>
      </c>
      <c r="C2055" s="2" t="s">
        <v>573</v>
      </c>
      <c r="D2055" s="2" t="str">
        <f t="shared" si="31"/>
        <v>Error?</v>
      </c>
    </row>
    <row r="2056" spans="1:4" x14ac:dyDescent="0.2">
      <c r="A2056" s="5">
        <v>1995</v>
      </c>
      <c r="B2056" s="138">
        <f>'Cap Outlay Deprec 26'!L5</f>
        <v>252069</v>
      </c>
      <c r="C2056" s="2" t="s">
        <v>573</v>
      </c>
      <c r="D2056" s="2" t="str">
        <f t="shared" si="31"/>
        <v>Error?</v>
      </c>
    </row>
    <row r="2057" spans="1:4" x14ac:dyDescent="0.2">
      <c r="A2057" s="5">
        <v>1996</v>
      </c>
      <c r="B2057" s="138">
        <f>'Cap Outlay Deprec 26'!L8</f>
        <v>3662998</v>
      </c>
      <c r="C2057" s="2" t="s">
        <v>573</v>
      </c>
      <c r="D2057" s="2" t="str">
        <f t="shared" si="31"/>
        <v>Error?</v>
      </c>
    </row>
    <row r="2058" spans="1:4" x14ac:dyDescent="0.2">
      <c r="A2058" s="5">
        <v>1997</v>
      </c>
      <c r="B2058" s="138">
        <f>'Cap Outlay Deprec 26'!L10</f>
        <v>133007</v>
      </c>
      <c r="C2058" s="2" t="s">
        <v>573</v>
      </c>
      <c r="D2058" s="2" t="str">
        <f t="shared" si="31"/>
        <v>Error?</v>
      </c>
    </row>
    <row r="2059" spans="1:4" x14ac:dyDescent="0.2">
      <c r="A2059" s="5">
        <v>1998</v>
      </c>
      <c r="B2059" s="138">
        <f>'Cap Outlay Deprec 26'!L12</f>
        <v>228862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4291836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8812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158813</v>
      </c>
      <c r="C2088" s="2" t="s">
        <v>573</v>
      </c>
      <c r="D2088" s="2" t="str">
        <f t="shared" si="31"/>
        <v>Error?</v>
      </c>
    </row>
    <row r="2089" spans="1:4" x14ac:dyDescent="0.2">
      <c r="A2089" s="5">
        <v>2028</v>
      </c>
      <c r="B2089" s="138">
        <f>'Expenditures 15-22'!K92</f>
        <v>85663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175000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96399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67351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76242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292631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1199315</v>
      </c>
      <c r="C2551" s="2" t="s">
        <v>573</v>
      </c>
      <c r="D2551" s="2" t="str">
        <f t="shared" si="38"/>
        <v>Error?</v>
      </c>
    </row>
    <row r="2552" spans="1:4" x14ac:dyDescent="0.2">
      <c r="A2552" s="10">
        <v>2491</v>
      </c>
      <c r="D2552" s="2" t="str">
        <f t="shared" si="38"/>
        <v>OK</v>
      </c>
    </row>
    <row r="2553" spans="1:4" x14ac:dyDescent="0.2">
      <c r="A2553" s="5">
        <v>2492</v>
      </c>
      <c r="B2553" s="138">
        <f>'Acct Summary 7-8'!C6</f>
        <v>2194182</v>
      </c>
      <c r="C2553" s="2" t="s">
        <v>573</v>
      </c>
      <c r="D2553" s="2" t="str">
        <f t="shared" si="38"/>
        <v>Error?</v>
      </c>
    </row>
    <row r="2554" spans="1:4" x14ac:dyDescent="0.2">
      <c r="A2554" s="5">
        <v>2493</v>
      </c>
      <c r="B2554" s="138">
        <f>'Acct Summary 7-8'!C7</f>
        <v>494236</v>
      </c>
      <c r="C2554" s="2" t="s">
        <v>573</v>
      </c>
      <c r="D2554" s="2" t="str">
        <f t="shared" si="38"/>
        <v>Error?</v>
      </c>
    </row>
    <row r="2555" spans="1:4" x14ac:dyDescent="0.2">
      <c r="A2555" s="5">
        <v>2494</v>
      </c>
      <c r="B2555" s="138">
        <f>'Acct Summary 7-8'!C8</f>
        <v>3887733</v>
      </c>
      <c r="C2555" s="2" t="s">
        <v>573</v>
      </c>
      <c r="D2555" s="2" t="str">
        <f t="shared" si="38"/>
        <v>Error?</v>
      </c>
    </row>
    <row r="2556" spans="1:4" x14ac:dyDescent="0.2">
      <c r="A2556" s="5">
        <v>2495</v>
      </c>
      <c r="B2556" s="138">
        <f>'Acct Summary 7-8'!C12</f>
        <v>2090191</v>
      </c>
      <c r="C2556" s="2" t="s">
        <v>573</v>
      </c>
      <c r="D2556" s="2" t="str">
        <f t="shared" si="38"/>
        <v>Error?</v>
      </c>
    </row>
    <row r="2557" spans="1:4" x14ac:dyDescent="0.2">
      <c r="A2557" s="5">
        <v>2496</v>
      </c>
      <c r="B2557" s="138">
        <f>'Acct Summary 7-8'!C13</f>
        <v>881806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244476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3216473</v>
      </c>
      <c r="C2561" s="2" t="s">
        <v>573</v>
      </c>
      <c r="D2561" s="2" t="str">
        <f t="shared" si="39"/>
        <v>Error?</v>
      </c>
    </row>
    <row r="2562" spans="1:4" x14ac:dyDescent="0.2">
      <c r="A2562" s="5">
        <v>2501</v>
      </c>
      <c r="B2562" s="138">
        <f>'Acct Summary 7-8'!C20</f>
        <v>671260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250362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250362</v>
      </c>
      <c r="C2568" s="2" t="s">
        <v>573</v>
      </c>
      <c r="D2568" s="2" t="str">
        <f t="shared" si="39"/>
        <v>Error?</v>
      </c>
    </row>
    <row r="2569" spans="1:4" x14ac:dyDescent="0.2">
      <c r="A2569" s="5">
        <v>2508</v>
      </c>
      <c r="B2569" s="138">
        <f>'Acct Summary 7-8'!D13</f>
        <v>395434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395434</v>
      </c>
      <c r="C2573" s="2" t="s">
        <v>573</v>
      </c>
      <c r="D2573" s="2" t="str">
        <f t="shared" si="39"/>
        <v>Error?</v>
      </c>
    </row>
    <row r="2574" spans="1:4" x14ac:dyDescent="0.2">
      <c r="A2574" s="5">
        <v>2513</v>
      </c>
      <c r="B2574" s="138">
        <f>'Acct Summary 7-8'!D20</f>
        <v>-145072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53629</v>
      </c>
      <c r="C2591" s="2" t="s">
        <v>573</v>
      </c>
      <c r="D2591" s="2" t="str">
        <f t="shared" si="39"/>
        <v>Error?</v>
      </c>
    </row>
    <row r="2592" spans="1:4" x14ac:dyDescent="0.2">
      <c r="A2592" s="10">
        <v>2531</v>
      </c>
      <c r="D2592" s="2" t="str">
        <f t="shared" si="39"/>
        <v>OK</v>
      </c>
    </row>
    <row r="2593" spans="1:4" x14ac:dyDescent="0.2">
      <c r="A2593" s="5">
        <v>2532</v>
      </c>
      <c r="B2593" s="138">
        <f>'Acct Summary 7-8'!F6</f>
        <v>29375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83004</v>
      </c>
      <c r="C2595" s="2" t="s">
        <v>573</v>
      </c>
      <c r="D2595" s="2" t="str">
        <f t="shared" si="39"/>
        <v>Error?</v>
      </c>
    </row>
    <row r="2596" spans="1:4" x14ac:dyDescent="0.2">
      <c r="A2596" s="5">
        <v>2535</v>
      </c>
      <c r="B2596" s="138">
        <f>'Acct Summary 7-8'!F13</f>
        <v>68102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68102</v>
      </c>
      <c r="C2600" s="2" t="s">
        <v>573</v>
      </c>
      <c r="D2600" s="2" t="str">
        <f t="shared" si="39"/>
        <v>Error?</v>
      </c>
    </row>
    <row r="2601" spans="1:4" x14ac:dyDescent="0.2">
      <c r="A2601" s="5">
        <v>2540</v>
      </c>
      <c r="B2601" s="138">
        <f>'Acct Summary 7-8'!F20</f>
        <v>14902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158083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158083</v>
      </c>
      <c r="C2606" s="2" t="s">
        <v>573</v>
      </c>
      <c r="D2606" s="2" t="str">
        <f t="shared" si="39"/>
        <v>Error?</v>
      </c>
    </row>
    <row r="2607" spans="1:4" x14ac:dyDescent="0.2">
      <c r="A2607" s="5">
        <v>2546</v>
      </c>
      <c r="B2607" s="138">
        <f>'Acct Summary 7-8'!G12</f>
        <v>61816</v>
      </c>
      <c r="C2607" s="2" t="s">
        <v>573</v>
      </c>
      <c r="D2607" s="2" t="str">
        <f t="shared" si="39"/>
        <v>Error?</v>
      </c>
    </row>
    <row r="2608" spans="1:4" x14ac:dyDescent="0.2">
      <c r="A2608" s="5">
        <v>2547</v>
      </c>
      <c r="B2608" s="138">
        <f>'Acct Summary 7-8'!G13</f>
        <v>64202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126018</v>
      </c>
      <c r="C2612" s="2" t="s">
        <v>573</v>
      </c>
      <c r="D2612" s="2" t="str">
        <f t="shared" si="39"/>
        <v>Error?</v>
      </c>
    </row>
    <row r="2613" spans="1:4" x14ac:dyDescent="0.2">
      <c r="A2613" s="5">
        <v>2552</v>
      </c>
      <c r="B2613" s="138">
        <f>'Acct Summary 7-8'!G20</f>
        <v>32065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279405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279405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258597</v>
      </c>
      <c r="C2634" s="2" t="s">
        <v>573</v>
      </c>
      <c r="D2634" s="2" t="str">
        <f t="shared" si="40"/>
        <v>Error?</v>
      </c>
    </row>
    <row r="2635" spans="1:4" x14ac:dyDescent="0.2">
      <c r="A2635" s="5">
        <v>2574</v>
      </c>
      <c r="B2635" s="138">
        <f>'Acct Summary 7-8'!E17</f>
        <v>258597</v>
      </c>
      <c r="C2635" s="2" t="s">
        <v>573</v>
      </c>
      <c r="D2635" s="2" t="str">
        <f t="shared" si="40"/>
        <v>Error?</v>
      </c>
    </row>
    <row r="2636" spans="1:4" x14ac:dyDescent="0.2">
      <c r="A2636" s="5">
        <v>2575</v>
      </c>
      <c r="B2636" s="138">
        <f>'Acct Summary 7-8'!E20</f>
        <v>20808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121708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121708</v>
      </c>
      <c r="C2658" s="2" t="s">
        <v>573</v>
      </c>
      <c r="D2658" s="2" t="str">
        <f t="shared" si="40"/>
        <v>Error?</v>
      </c>
    </row>
    <row r="2659" spans="1:4" x14ac:dyDescent="0.2">
      <c r="A2659" s="5">
        <v>2598</v>
      </c>
      <c r="B2659" s="138">
        <f>'Acct Summary 7-8'!H13</f>
        <v>24054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24054</v>
      </c>
      <c r="C2661" s="2" t="s">
        <v>573</v>
      </c>
      <c r="D2661" s="2" t="str">
        <f t="shared" si="40"/>
        <v>Error?</v>
      </c>
    </row>
    <row r="2662" spans="1:4" x14ac:dyDescent="0.2">
      <c r="A2662" s="5">
        <v>2601</v>
      </c>
      <c r="B2662" s="138">
        <f>'Acct Summary 7-8'!H20</f>
        <v>97654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150001</v>
      </c>
      <c r="C2789" s="2" t="s">
        <v>573</v>
      </c>
      <c r="D2789" s="2" t="str">
        <f t="shared" si="42"/>
        <v>Error?</v>
      </c>
    </row>
    <row r="2790" spans="1:4" x14ac:dyDescent="0.2">
      <c r="A2790" s="5">
        <v>2729</v>
      </c>
      <c r="B2790" s="138">
        <f>'Expenditures 15-22'!E102</f>
        <v>150001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14900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234778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73124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234778</v>
      </c>
      <c r="D2912" s="2" t="str">
        <f t="shared" si="44"/>
        <v>Error?</v>
      </c>
    </row>
    <row r="2913" spans="1:4" x14ac:dyDescent="0.2">
      <c r="A2913" s="5">
        <v>2852</v>
      </c>
      <c r="B2913" s="138">
        <f>'Assets-Liab 5-6'!I41</f>
        <v>234778</v>
      </c>
      <c r="C2913" s="2" t="s">
        <v>573</v>
      </c>
      <c r="D2913" s="2" t="str">
        <f t="shared" si="44"/>
        <v>Error?</v>
      </c>
    </row>
    <row r="2914" spans="1:4" x14ac:dyDescent="0.2">
      <c r="A2914" s="5">
        <v>2853</v>
      </c>
      <c r="B2914" s="138">
        <f>'Assets-Liab 5-6'!L33</f>
        <v>47970</v>
      </c>
      <c r="D2914" s="2" t="str">
        <f t="shared" si="44"/>
        <v>Error?</v>
      </c>
    </row>
    <row r="2915" spans="1:4" x14ac:dyDescent="0.2">
      <c r="A2915" s="10">
        <v>2854</v>
      </c>
      <c r="D2915" s="2" t="str">
        <f t="shared" si="44"/>
        <v>OK</v>
      </c>
    </row>
    <row r="2916" spans="1:4" x14ac:dyDescent="0.2">
      <c r="A2916" s="5">
        <v>2855</v>
      </c>
      <c r="B2916" s="138">
        <f>'Assets-Liab 5-6'!L34</f>
        <v>47970</v>
      </c>
      <c r="C2916" s="2" t="s">
        <v>573</v>
      </c>
      <c r="D2916" s="2" t="str">
        <f t="shared" si="44"/>
        <v>Error?</v>
      </c>
    </row>
    <row r="2917" spans="1:4" x14ac:dyDescent="0.2">
      <c r="A2917" s="5">
        <v>2856</v>
      </c>
      <c r="B2917" s="138">
        <f>'Assets-Liab 5-6'!L41</f>
        <v>73124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5324</v>
      </c>
      <c r="D2949" s="2" t="str">
        <f t="shared" si="45"/>
        <v>Error?</v>
      </c>
    </row>
    <row r="2950" spans="1:4" x14ac:dyDescent="0.2">
      <c r="A2950" s="5">
        <v>2889</v>
      </c>
      <c r="B2950" s="138">
        <f>'Expenditures 15-22'!E79</f>
        <v>144677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7098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1714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5324</v>
      </c>
      <c r="C2973" s="2" t="s">
        <v>573</v>
      </c>
      <c r="D2973" s="2" t="str">
        <f t="shared" si="45"/>
        <v>Error?</v>
      </c>
    </row>
    <row r="2974" spans="1:4" x14ac:dyDescent="0.2">
      <c r="A2974" s="5">
        <v>2913</v>
      </c>
      <c r="B2974" s="138">
        <f>'Expenditures 15-22'!K79</f>
        <v>151775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1714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67552</v>
      </c>
      <c r="D3055" s="2" t="str">
        <f t="shared" si="46"/>
        <v>Error?</v>
      </c>
    </row>
    <row r="3056" spans="1:4" x14ac:dyDescent="0.2">
      <c r="A3056" s="5">
        <v>2995</v>
      </c>
      <c r="B3056" s="138">
        <f>'Expenditures 15-22'!D10</f>
        <v>24</v>
      </c>
      <c r="D3056" s="2" t="str">
        <f t="shared" si="46"/>
        <v>Error?</v>
      </c>
    </row>
    <row r="3057" spans="1:4" x14ac:dyDescent="0.2">
      <c r="A3057" s="5">
        <v>2996</v>
      </c>
      <c r="B3057" s="138">
        <f>'Expenditures 15-22'!E10</f>
        <v>2741</v>
      </c>
      <c r="D3057" s="2" t="str">
        <f t="shared" si="46"/>
        <v>Error?</v>
      </c>
    </row>
    <row r="3058" spans="1:4" x14ac:dyDescent="0.2">
      <c r="A3058" s="5">
        <v>2997</v>
      </c>
      <c r="B3058" s="138">
        <f>'Expenditures 15-22'!F10</f>
        <v>29012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99329</v>
      </c>
      <c r="C3062" s="2" t="s">
        <v>573</v>
      </c>
      <c r="D3062" s="2" t="str">
        <f t="shared" si="46"/>
        <v>Error?</v>
      </c>
    </row>
    <row r="3063" spans="1:4" x14ac:dyDescent="0.2">
      <c r="A3063" s="10">
        <v>3002</v>
      </c>
      <c r="D3063" s="2" t="str">
        <f t="shared" si="46"/>
        <v>OK</v>
      </c>
    </row>
    <row r="3064" spans="1:4" x14ac:dyDescent="0.2">
      <c r="A3064" s="5">
        <v>3003</v>
      </c>
      <c r="B3064" s="138">
        <f>'Expenditures 15-22'!D219</f>
        <v>11130</v>
      </c>
      <c r="D3064" s="2" t="str">
        <f t="shared" si="46"/>
        <v>Error?</v>
      </c>
    </row>
    <row r="3065" spans="1:4" x14ac:dyDescent="0.2">
      <c r="A3065" s="5">
        <v>3004</v>
      </c>
      <c r="B3065" s="138">
        <f>'Expenditures 15-22'!K219</f>
        <v>11130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25154</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28172</v>
      </c>
      <c r="C3225" s="2" t="s">
        <v>573</v>
      </c>
      <c r="D3225" s="2" t="str">
        <f t="shared" si="49"/>
        <v>Error?</v>
      </c>
    </row>
    <row r="3226" spans="1:4" x14ac:dyDescent="0.2">
      <c r="A3226" s="5">
        <v>3165</v>
      </c>
      <c r="B3226" s="138">
        <f>'Acct Summary 7-8'!I8</f>
        <v>28172</v>
      </c>
      <c r="C3226" s="2" t="s">
        <v>573</v>
      </c>
      <c r="D3226" s="2" t="str">
        <f t="shared" si="49"/>
        <v>Error?</v>
      </c>
    </row>
    <row r="3227" spans="1:4" x14ac:dyDescent="0.2">
      <c r="A3227" s="5">
        <v>3166</v>
      </c>
      <c r="B3227" s="138">
        <f>'Acct Summary 7-8'!I20</f>
        <v>28172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671260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175000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175000</v>
      </c>
      <c r="C3238" s="2" t="s">
        <v>573</v>
      </c>
      <c r="D3238" s="2" t="str">
        <f t="shared" si="49"/>
        <v>Error?</v>
      </c>
    </row>
    <row r="3239" spans="1:4" x14ac:dyDescent="0.2">
      <c r="A3239" s="5">
        <v>3178</v>
      </c>
      <c r="B3239" s="138">
        <f>'Acct Summary 7-8'!D78</f>
        <v>29928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14902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32065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20808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97654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175000</v>
      </c>
      <c r="C3318" s="2" t="s">
        <v>573</v>
      </c>
      <c r="D3318" s="2" t="str">
        <f t="shared" si="50"/>
        <v>Error?</v>
      </c>
    </row>
    <row r="3319" spans="1:4" x14ac:dyDescent="0.2">
      <c r="A3319" s="5">
        <v>3258</v>
      </c>
      <c r="B3319" s="138">
        <f>'Acct Summary 7-8'!I77</f>
        <v>-175000</v>
      </c>
      <c r="C3319" s="2" t="s">
        <v>573</v>
      </c>
      <c r="D3319" s="2" t="str">
        <f t="shared" si="50"/>
        <v>Error?</v>
      </c>
    </row>
    <row r="3320" spans="1:4" x14ac:dyDescent="0.2">
      <c r="A3320" s="5">
        <v>3259</v>
      </c>
      <c r="B3320" s="138">
        <f>'Acct Summary 7-8'!I78</f>
        <v>-146828</v>
      </c>
      <c r="C3320" s="2" t="s">
        <v>573</v>
      </c>
      <c r="D3320" s="2" t="str">
        <f t="shared" si="50"/>
        <v>Error?</v>
      </c>
    </row>
    <row r="3321" spans="1:4" x14ac:dyDescent="0.2">
      <c r="A3321" s="5">
        <v>3260</v>
      </c>
      <c r="B3321" s="138">
        <f>'Acct Summary 7-8'!I79</f>
        <v>381606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234778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292173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28520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320693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24589</v>
      </c>
      <c r="D3387" s="2" t="str">
        <f t="shared" si="51"/>
        <v>Error?</v>
      </c>
    </row>
    <row r="3388" spans="1:4" x14ac:dyDescent="0.2">
      <c r="A3388" s="5">
        <v>3327</v>
      </c>
      <c r="B3388" s="138">
        <f>'Expenditures 15-22'!D217</f>
        <v>19903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24589</v>
      </c>
      <c r="C3390" s="2" t="s">
        <v>573</v>
      </c>
      <c r="D3390" s="2" t="str">
        <f t="shared" si="51"/>
        <v>Error?</v>
      </c>
    </row>
    <row r="3391" spans="1:4" x14ac:dyDescent="0.2">
      <c r="A3391" s="5">
        <v>3330</v>
      </c>
      <c r="B3391" s="138">
        <f>'Expenditures 15-22'!K217</f>
        <v>19903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2974128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346293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266777</v>
      </c>
      <c r="D3417" s="2" t="str">
        <f t="shared" si="52"/>
        <v>Error?</v>
      </c>
    </row>
    <row r="3418" spans="1:4" x14ac:dyDescent="0.2">
      <c r="A3418" s="10">
        <v>3357</v>
      </c>
      <c r="D3418" s="2" t="str">
        <f t="shared" si="52"/>
        <v>OK</v>
      </c>
    </row>
    <row r="3419" spans="1:4" x14ac:dyDescent="0.2">
      <c r="A3419" s="5">
        <v>3358</v>
      </c>
      <c r="B3419" s="138">
        <f>'Assets-Liab 5-6'!F4</f>
        <v>120609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241834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292631</v>
      </c>
      <c r="D3425" s="2" t="str">
        <f t="shared" si="52"/>
        <v>Error?</v>
      </c>
    </row>
    <row r="3426" spans="1:4" x14ac:dyDescent="0.2">
      <c r="A3426" s="10">
        <v>3365</v>
      </c>
      <c r="D3426" s="2" t="str">
        <f t="shared" si="52"/>
        <v>OK</v>
      </c>
    </row>
    <row r="3427" spans="1:4" x14ac:dyDescent="0.2">
      <c r="A3427" s="5">
        <v>3366</v>
      </c>
      <c r="B3427" s="138">
        <f>'Assets-Liab 5-6'!I4</f>
        <v>234778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73124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63661</v>
      </c>
      <c r="C3446" s="2" t="s">
        <v>573</v>
      </c>
      <c r="D3446" s="2" t="str">
        <f t="shared" si="52"/>
        <v>Error?</v>
      </c>
    </row>
    <row r="3447" spans="1:4" x14ac:dyDescent="0.2">
      <c r="A3447" s="5">
        <v>3386</v>
      </c>
      <c r="B3447" s="138">
        <f>'Tax Sched 23'!D16</f>
        <v>30731</v>
      </c>
      <c r="C3447" s="2" t="s">
        <v>573</v>
      </c>
      <c r="D3447" s="2" t="str">
        <f t="shared" si="52"/>
        <v>Error?</v>
      </c>
    </row>
    <row r="3448" spans="1:4" x14ac:dyDescent="0.2">
      <c r="A3448" s="5">
        <v>3387</v>
      </c>
      <c r="B3448" s="138">
        <f>'Tax Sched 23'!C16</f>
        <v>32930</v>
      </c>
      <c r="D3448" s="2" t="str">
        <f t="shared" si="52"/>
        <v>Error?</v>
      </c>
    </row>
    <row r="3449" spans="1:4" x14ac:dyDescent="0.2">
      <c r="A3449" s="5">
        <v>3388</v>
      </c>
      <c r="B3449" s="138">
        <f>'Tax Sched 23'!F16</f>
        <v>30096</v>
      </c>
      <c r="C3449" s="2" t="s">
        <v>573</v>
      </c>
      <c r="D3449" s="2" t="str">
        <f t="shared" si="52"/>
        <v>Error?</v>
      </c>
    </row>
    <row r="3450" spans="1:4" x14ac:dyDescent="0.2">
      <c r="A3450" s="5">
        <v>3389</v>
      </c>
      <c r="B3450" s="138">
        <f>'Tax Sched 23'!E16</f>
        <v>63026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14900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14900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14900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240057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240057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240057</v>
      </c>
      <c r="D3567" s="2" t="str">
        <f t="shared" si="54"/>
        <v>Error?</v>
      </c>
    </row>
    <row r="3568" spans="1:4" x14ac:dyDescent="0.2">
      <c r="A3568" s="5">
        <v>3507</v>
      </c>
      <c r="B3568" s="138">
        <f>'Assets-Liab 5-6'!K41</f>
        <v>240057</v>
      </c>
      <c r="C3568" s="2" t="s">
        <v>573</v>
      </c>
      <c r="D3568" s="2" t="str">
        <f t="shared" si="54"/>
        <v>Error?</v>
      </c>
    </row>
    <row r="3569" spans="1:4" x14ac:dyDescent="0.2">
      <c r="A3569" s="5">
        <v>3508</v>
      </c>
      <c r="B3569" s="138">
        <f>'Acct Summary 7-8'!K4</f>
        <v>25773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25773</v>
      </c>
      <c r="C3571" s="2" t="s">
        <v>573</v>
      </c>
      <c r="D3571" s="2" t="str">
        <f t="shared" si="54"/>
        <v>Error?</v>
      </c>
    </row>
    <row r="3572" spans="1:4" x14ac:dyDescent="0.2">
      <c r="A3572" s="5">
        <v>3511</v>
      </c>
      <c r="B3572" s="138">
        <f>'Acct Summary 7-8'!K13</f>
        <v>24600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24600</v>
      </c>
      <c r="C3575" s="2" t="s">
        <v>573</v>
      </c>
      <c r="D3575" s="2" t="str">
        <f t="shared" si="54"/>
        <v>Error?</v>
      </c>
    </row>
    <row r="3576" spans="1:4" x14ac:dyDescent="0.2">
      <c r="A3576" s="5">
        <v>3515</v>
      </c>
      <c r="B3576" s="138">
        <f>'Acct Summary 7-8'!K20</f>
        <v>1173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1173</v>
      </c>
      <c r="C3588" s="2" t="s">
        <v>573</v>
      </c>
      <c r="D3588" s="2" t="str">
        <f t="shared" si="55"/>
        <v>Error?</v>
      </c>
    </row>
    <row r="3589" spans="1:4" x14ac:dyDescent="0.2">
      <c r="A3589" s="5">
        <v>3528</v>
      </c>
      <c r="B3589" s="138">
        <f>'Acct Summary 7-8'!K79</f>
        <v>238884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240057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24600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24600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24600</v>
      </c>
      <c r="C3649" s="2" t="s">
        <v>573</v>
      </c>
      <c r="D3649" s="2" t="str">
        <f t="shared" si="56"/>
        <v>Error?</v>
      </c>
    </row>
    <row r="3650" spans="1:4" x14ac:dyDescent="0.2">
      <c r="A3650" s="5">
        <v>3589</v>
      </c>
      <c r="B3650" s="138">
        <f>'Expenditures 15-22'!G367</f>
        <v>24600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24600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24600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24600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24600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20021</v>
      </c>
      <c r="C3725" s="2" t="s">
        <v>573</v>
      </c>
      <c r="D3725" s="2" t="str">
        <f t="shared" si="57"/>
        <v>Error?</v>
      </c>
    </row>
    <row r="3726" spans="1:4" x14ac:dyDescent="0.2">
      <c r="A3726" s="5">
        <v>3665</v>
      </c>
      <c r="B3726" s="138">
        <f>'Tax Sched 23'!D13</f>
        <v>9357</v>
      </c>
      <c r="C3726" s="2" t="s">
        <v>573</v>
      </c>
      <c r="D3726" s="2" t="str">
        <f t="shared" si="57"/>
        <v>Error?</v>
      </c>
    </row>
    <row r="3727" spans="1:4" x14ac:dyDescent="0.2">
      <c r="A3727" s="5">
        <v>3666</v>
      </c>
      <c r="B3727" s="138">
        <f>'Tax Sched 23'!C13</f>
        <v>10664</v>
      </c>
      <c r="D3727" s="2" t="str">
        <f t="shared" si="57"/>
        <v>Error?</v>
      </c>
    </row>
    <row r="3728" spans="1:4" x14ac:dyDescent="0.2">
      <c r="A3728" s="5">
        <v>3667</v>
      </c>
      <c r="B3728" s="138">
        <f>'Tax Sched 23'!F13</f>
        <v>9746</v>
      </c>
      <c r="C3728" s="2" t="s">
        <v>573</v>
      </c>
      <c r="D3728" s="2" t="str">
        <f t="shared" si="57"/>
        <v>Error?</v>
      </c>
    </row>
    <row r="3729" spans="1:4" x14ac:dyDescent="0.2">
      <c r="A3729" s="5">
        <v>3668</v>
      </c>
      <c r="B3729" s="138">
        <f>'Tax Sched 23'!E13</f>
        <v>20410</v>
      </c>
      <c r="D3729" s="2" t="str">
        <f t="shared" si="57"/>
        <v>Error?</v>
      </c>
    </row>
    <row r="3730" spans="1:4" x14ac:dyDescent="0.2">
      <c r="A3730" s="5">
        <v>3669</v>
      </c>
      <c r="B3730" s="138">
        <f>'ICR Computation 30'!E10</f>
        <v>158192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925370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4813103</v>
      </c>
      <c r="C4122" s="2" t="s">
        <v>573</v>
      </c>
      <c r="D4122" s="2" t="str">
        <f t="shared" si="63"/>
        <v>Error?</v>
      </c>
    </row>
    <row r="4123" spans="1:4" x14ac:dyDescent="0.2">
      <c r="A4123" s="5">
        <v>4062</v>
      </c>
      <c r="B4123" s="138">
        <f>'Acct Summary 7-8'!D10</f>
        <v>250362</v>
      </c>
      <c r="C4123" s="2" t="s">
        <v>573</v>
      </c>
      <c r="D4123" s="2" t="str">
        <f t="shared" si="63"/>
        <v>Error?</v>
      </c>
    </row>
    <row r="4124" spans="1:4" x14ac:dyDescent="0.2">
      <c r="A4124" s="5">
        <v>4063</v>
      </c>
      <c r="B4124" s="138">
        <f>'Acct Summary 7-8'!E10</f>
        <v>279405</v>
      </c>
      <c r="C4124" s="2" t="s">
        <v>573</v>
      </c>
      <c r="D4124" s="2" t="str">
        <f t="shared" si="63"/>
        <v>Error?</v>
      </c>
    </row>
    <row r="4125" spans="1:4" x14ac:dyDescent="0.2">
      <c r="A4125" s="5">
        <v>4064</v>
      </c>
      <c r="B4125" s="138">
        <f>'Acct Summary 7-8'!F10</f>
        <v>83004</v>
      </c>
      <c r="C4125" s="2" t="s">
        <v>573</v>
      </c>
      <c r="D4125" s="2" t="str">
        <f t="shared" si="63"/>
        <v>Error?</v>
      </c>
    </row>
    <row r="4126" spans="1:4" x14ac:dyDescent="0.2">
      <c r="A4126" s="5">
        <v>4065</v>
      </c>
      <c r="B4126" s="138">
        <f>'Acct Summary 7-8'!G10</f>
        <v>158083</v>
      </c>
      <c r="C4126" s="2" t="s">
        <v>573</v>
      </c>
      <c r="D4126" s="2" t="str">
        <f t="shared" si="63"/>
        <v>Error?</v>
      </c>
    </row>
    <row r="4127" spans="1:4" x14ac:dyDescent="0.2">
      <c r="A4127" s="5">
        <v>4066</v>
      </c>
      <c r="B4127" s="138">
        <f>'Acct Summary 7-8'!H10</f>
        <v>121708</v>
      </c>
      <c r="C4127" s="2" t="s">
        <v>573</v>
      </c>
      <c r="D4127" s="2" t="str">
        <f t="shared" si="63"/>
        <v>Error?</v>
      </c>
    </row>
    <row r="4128" spans="1:4" x14ac:dyDescent="0.2">
      <c r="A4128" s="5">
        <v>4067</v>
      </c>
      <c r="B4128" s="138">
        <f>'Acct Summary 7-8'!I10</f>
        <v>28172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25773</v>
      </c>
      <c r="C4130" s="2" t="s">
        <v>573</v>
      </c>
      <c r="D4130" s="2" t="str">
        <f t="shared" si="63"/>
        <v>Error?</v>
      </c>
    </row>
    <row r="4131" spans="1:4" x14ac:dyDescent="0.2">
      <c r="A4131" s="5">
        <v>4070</v>
      </c>
      <c r="B4131" s="138">
        <f>'Acct Summary 7-8'!C18</f>
        <v>925370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4141843</v>
      </c>
      <c r="C4136" s="2" t="s">
        <v>573</v>
      </c>
      <c r="D4136" s="2" t="str">
        <f t="shared" si="63"/>
        <v>Error?</v>
      </c>
    </row>
    <row r="4137" spans="1:4" x14ac:dyDescent="0.2">
      <c r="A4137" s="5">
        <v>4076</v>
      </c>
      <c r="B4137" s="138">
        <f>'Acct Summary 7-8'!D19</f>
        <v>395434</v>
      </c>
      <c r="C4137" s="2" t="s">
        <v>573</v>
      </c>
      <c r="D4137" s="2" t="str">
        <f t="shared" si="63"/>
        <v>Error?</v>
      </c>
    </row>
    <row r="4138" spans="1:4" x14ac:dyDescent="0.2">
      <c r="A4138" s="5">
        <v>4077</v>
      </c>
      <c r="B4138" s="138">
        <f>'Acct Summary 7-8'!E19</f>
        <v>258597</v>
      </c>
      <c r="C4138" s="2" t="s">
        <v>573</v>
      </c>
      <c r="D4138" s="2" t="str">
        <f t="shared" si="63"/>
        <v>Error?</v>
      </c>
    </row>
    <row r="4139" spans="1:4" x14ac:dyDescent="0.2">
      <c r="A4139" s="5">
        <v>4078</v>
      </c>
      <c r="B4139" s="138">
        <f>'Acct Summary 7-8'!F19</f>
        <v>68102</v>
      </c>
      <c r="C4139" s="2" t="s">
        <v>573</v>
      </c>
      <c r="D4139" s="2" t="str">
        <f t="shared" si="63"/>
        <v>Error?</v>
      </c>
    </row>
    <row r="4140" spans="1:4" x14ac:dyDescent="0.2">
      <c r="A4140" s="5">
        <v>4079</v>
      </c>
      <c r="B4140" s="138">
        <f>'Acct Summary 7-8'!G19</f>
        <v>126018</v>
      </c>
      <c r="C4140" s="2" t="s">
        <v>573</v>
      </c>
      <c r="D4140" s="2" t="str">
        <f t="shared" si="63"/>
        <v>Error?</v>
      </c>
    </row>
    <row r="4141" spans="1:4" x14ac:dyDescent="0.2">
      <c r="A4141" s="5">
        <v>4080</v>
      </c>
      <c r="B4141" s="138">
        <f>'Acct Summary 7-8'!H19</f>
        <v>24054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24600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385000</v>
      </c>
      <c r="C4171" s="2" t="s">
        <v>573</v>
      </c>
      <c r="D4171" s="2" t="str">
        <f t="shared" si="64"/>
        <v>Error?</v>
      </c>
    </row>
    <row r="4172" spans="1:4" x14ac:dyDescent="0.2">
      <c r="A4172" s="5">
        <v>4111</v>
      </c>
      <c r="B4172" s="138">
        <f>'Short-Term Long-Term Debt 24'!J49</f>
        <v>118223</v>
      </c>
      <c r="C4172" s="2" t="s">
        <v>573</v>
      </c>
      <c r="D4172" s="2" t="str">
        <f t="shared" si="64"/>
        <v>Error?</v>
      </c>
    </row>
    <row r="4173" spans="1:4" x14ac:dyDescent="0.2">
      <c r="A4173" s="5">
        <v>4112</v>
      </c>
      <c r="B4173" s="138">
        <f>'Short-Term Long-Term Debt 24'!H49</f>
        <v>240000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2010</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2680</v>
      </c>
      <c r="C4268" s="2" t="s">
        <v>573</v>
      </c>
      <c r="D4268" s="2" t="str">
        <f t="shared" si="65"/>
        <v>Error?</v>
      </c>
    </row>
    <row r="4269" spans="1:5" x14ac:dyDescent="0.2">
      <c r="A4269" s="12">
        <v>4208</v>
      </c>
      <c r="B4269" s="138">
        <f>'FP Info 3'!J16</f>
        <v>3675808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4491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42813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73258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40820269</v>
      </c>
      <c r="D4995" s="2" t="str">
        <f t="shared" si="77"/>
        <v>Error?</v>
      </c>
    </row>
    <row r="4996" spans="1:4" x14ac:dyDescent="0.2">
      <c r="A4996" s="12">
        <v>4935</v>
      </c>
      <c r="B4996" s="138">
        <f>'FP Info 3'!H31</f>
        <v>2816598.5610000002</v>
      </c>
      <c r="D4996" s="2" t="str">
        <f t="shared" si="77"/>
        <v>Error?</v>
      </c>
    </row>
    <row r="4997" spans="1:4" x14ac:dyDescent="0.2">
      <c r="A4997" s="12">
        <v>4936</v>
      </c>
      <c r="B4997" s="138">
        <f>'FP Info 3'!H37</f>
        <v>385000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20021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804852</v>
      </c>
      <c r="D5061" s="2" t="str">
        <f t="shared" si="78"/>
        <v>Error?</v>
      </c>
    </row>
    <row r="5062" spans="1:4" x14ac:dyDescent="0.2">
      <c r="A5062" s="10">
        <v>5001</v>
      </c>
      <c r="D5062" s="2" t="str">
        <f t="shared" si="78"/>
        <v>OK</v>
      </c>
    </row>
    <row r="5063" spans="1:4" x14ac:dyDescent="0.2">
      <c r="A5063" s="5">
        <v>5002</v>
      </c>
      <c r="B5063" s="138">
        <f>'Revenues 9-14'!C7</f>
        <v>8008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832881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58630</v>
      </c>
      <c r="D5069" s="2" t="str">
        <f t="shared" si="78"/>
        <v>Error?</v>
      </c>
    </row>
    <row r="5070" spans="1:4" x14ac:dyDescent="0.2">
      <c r="A5070" s="5">
        <v>5009</v>
      </c>
      <c r="B5070" s="138">
        <f>'Revenues 9-14'!C17</f>
        <v>36</v>
      </c>
      <c r="D5070" s="2" t="str">
        <f t="shared" si="78"/>
        <v>Error?</v>
      </c>
    </row>
    <row r="5071" spans="1:4" x14ac:dyDescent="0.2">
      <c r="A5071" s="5">
        <v>5010</v>
      </c>
      <c r="B5071" s="138">
        <f>'Revenues 9-14'!C18</f>
        <v>58666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41537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41537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4291</v>
      </c>
      <c r="D5094" s="2" t="str">
        <f t="shared" si="78"/>
        <v>Error?</v>
      </c>
    </row>
    <row r="5095" spans="1:4" x14ac:dyDescent="0.2">
      <c r="A5095" s="5">
        <v>5034</v>
      </c>
      <c r="B5095" s="138">
        <f>'Revenues 9-14'!C74</f>
        <v>49469</v>
      </c>
      <c r="D5095" s="2" t="str">
        <f t="shared" si="78"/>
        <v>Error?</v>
      </c>
    </row>
    <row r="5096" spans="1:4" x14ac:dyDescent="0.2">
      <c r="A5096" s="5">
        <v>5035</v>
      </c>
      <c r="B5096" s="138">
        <f>'Revenues 9-14'!C75</f>
        <v>55961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8974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8974</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56121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8010</v>
      </c>
      <c r="D5119" s="2" t="str">
        <f t="shared" ref="D5119:D5182" si="79">IF(ISBLANK(B5119),"OK",IF(A5119-B5119=0,"OK","Error?"))</f>
        <v>Error?</v>
      </c>
    </row>
    <row r="5120" spans="1:4" x14ac:dyDescent="0.2">
      <c r="A5120" s="5">
        <v>5059</v>
      </c>
      <c r="B5120" s="138">
        <f>'Revenues 9-14'!C108</f>
        <v>201296</v>
      </c>
      <c r="C5120" s="2" t="s">
        <v>573</v>
      </c>
      <c r="D5120" s="2" t="str">
        <f t="shared" si="79"/>
        <v>Error?</v>
      </c>
    </row>
    <row r="5121" spans="1:4" x14ac:dyDescent="0.2">
      <c r="A5121" s="5">
        <v>5060</v>
      </c>
      <c r="B5121" s="138">
        <f>'Revenues 9-14'!C109</f>
        <v>1199315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2055158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2055158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6667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6667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3446</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128161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139024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2194182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150888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41104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191992</v>
      </c>
      <c r="C5246" s="2" t="s">
        <v>573</v>
      </c>
      <c r="D5246" s="2" t="str">
        <f t="shared" si="80"/>
        <v>Error?</v>
      </c>
    </row>
    <row r="5247" spans="1:4" x14ac:dyDescent="0.2">
      <c r="A5247" s="5">
        <v>5186</v>
      </c>
      <c r="B5247" s="138">
        <f>'Revenues 9-14'!C200</f>
        <v>114334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114334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140606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140606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494236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494236</v>
      </c>
      <c r="C5326" s="2" t="s">
        <v>573</v>
      </c>
      <c r="D5326" s="2" t="str">
        <f t="shared" si="82"/>
        <v>Error?</v>
      </c>
    </row>
    <row r="5327" spans="1:5" x14ac:dyDescent="0.2">
      <c r="A5327" s="5">
        <v>5266</v>
      </c>
      <c r="B5327" s="138">
        <f>'Revenues 9-14'!C268</f>
        <v>3887733</v>
      </c>
      <c r="C5327" s="2" t="s">
        <v>573</v>
      </c>
      <c r="D5327" s="2" t="str">
        <f t="shared" si="82"/>
        <v>Error?</v>
      </c>
    </row>
    <row r="5328" spans="1:5" x14ac:dyDescent="0.2">
      <c r="A5328" s="5">
        <v>5267</v>
      </c>
      <c r="B5328" s="138">
        <f>'Revenues 9-14'!D5</f>
        <v>220233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220233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4263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4263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9100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25866</v>
      </c>
      <c r="C5355" s="2" t="s">
        <v>573</v>
      </c>
      <c r="D5355" s="2" t="str">
        <f t="shared" si="82"/>
        <v>Error?</v>
      </c>
    </row>
    <row r="5356" spans="1:4" x14ac:dyDescent="0.2">
      <c r="A5356" s="5">
        <v>5295</v>
      </c>
      <c r="B5356" s="138">
        <f>'Revenues 9-14'!D109</f>
        <v>250362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250362</v>
      </c>
      <c r="C5508" s="2" t="s">
        <v>573</v>
      </c>
      <c r="D5508" s="2" t="str">
        <f t="shared" si="85"/>
        <v>Error?</v>
      </c>
    </row>
    <row r="5509" spans="1:4" x14ac:dyDescent="0.2">
      <c r="A5509" s="5">
        <v>5448</v>
      </c>
      <c r="B5509" s="138">
        <f>'Revenues 9-14'!E5</f>
        <v>182407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182407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3608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3608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93390</v>
      </c>
      <c r="C5526" s="2" t="s">
        <v>573</v>
      </c>
      <c r="D5526" s="2" t="str">
        <f t="shared" si="85"/>
        <v>Error?</v>
      </c>
    </row>
    <row r="5527" spans="1:4" x14ac:dyDescent="0.2">
      <c r="A5527" s="5">
        <v>5466</v>
      </c>
      <c r="B5527" s="138">
        <f>'Revenues 9-14'!E109</f>
        <v>279405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279405</v>
      </c>
      <c r="C5552" s="2" t="s">
        <v>573</v>
      </c>
      <c r="D5552" s="2" t="str">
        <f t="shared" si="85"/>
        <v>Error?</v>
      </c>
    </row>
    <row r="5553" spans="1:4" x14ac:dyDescent="0.2">
      <c r="A5553" s="5">
        <v>5492</v>
      </c>
      <c r="B5553" s="138">
        <f>'Revenues 9-14'!F5</f>
        <v>48051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48051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1920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1920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3658</v>
      </c>
      <c r="C5587" s="2" t="s">
        <v>573</v>
      </c>
      <c r="D5587" s="2" t="str">
        <f t="shared" si="86"/>
        <v>Error?</v>
      </c>
    </row>
    <row r="5588" spans="1:4" x14ac:dyDescent="0.2">
      <c r="A5588" s="5">
        <v>5527</v>
      </c>
      <c r="B5588" s="138">
        <f>'Revenues 9-14'!F109</f>
        <v>53629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30</v>
      </c>
      <c r="D5615" s="2" t="str">
        <f t="shared" si="86"/>
        <v>Error?</v>
      </c>
    </row>
    <row r="5616" spans="1:4" x14ac:dyDescent="0.2">
      <c r="A5616" s="10">
        <v>5555</v>
      </c>
      <c r="D5616" s="2" t="str">
        <f t="shared" si="86"/>
        <v>OK</v>
      </c>
    </row>
    <row r="5617" spans="1:5" x14ac:dyDescent="0.2">
      <c r="A5617" s="5">
        <v>5556</v>
      </c>
      <c r="B5617" s="138">
        <f>'Revenues 9-14'!F153</f>
        <v>29345</v>
      </c>
      <c r="D5617" s="2" t="str">
        <f t="shared" si="86"/>
        <v>Error?</v>
      </c>
    </row>
    <row r="5618" spans="1:5" x14ac:dyDescent="0.2">
      <c r="A5618" s="5">
        <v>5557</v>
      </c>
      <c r="B5618" s="138">
        <f>'Revenues 9-14'!F155</f>
        <v>29375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29375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29375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83004</v>
      </c>
      <c r="C5720" s="2" t="s">
        <v>573</v>
      </c>
      <c r="D5720" s="2" t="str">
        <f t="shared" si="88"/>
        <v>Error?</v>
      </c>
    </row>
    <row r="5721" spans="1:4" x14ac:dyDescent="0.2">
      <c r="A5721" s="5">
        <v>5660</v>
      </c>
      <c r="B5721" s="138">
        <f>'Revenues 9-14'!G5</f>
        <v>66902</v>
      </c>
      <c r="D5721" s="2" t="str">
        <f t="shared" si="88"/>
        <v>Error?</v>
      </c>
    </row>
    <row r="5722" spans="1:4" x14ac:dyDescent="0.2">
      <c r="A5722" s="5">
        <v>5661</v>
      </c>
      <c r="B5722" s="138">
        <f>'Revenues 9-14'!G7</f>
        <v>0</v>
      </c>
      <c r="D5722" s="2" t="str">
        <f t="shared" si="88"/>
        <v>Error?</v>
      </c>
    </row>
    <row r="5723" spans="1:4" x14ac:dyDescent="0.2">
      <c r="A5723" s="5">
        <v>5662</v>
      </c>
      <c r="B5723" s="138">
        <f>'Revenues 9-14'!G8</f>
        <v>63661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130563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14155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14155</v>
      </c>
      <c r="C5730" s="2" t="s">
        <v>573</v>
      </c>
      <c r="D5730" s="2" t="str">
        <f t="shared" si="88"/>
        <v>Error?</v>
      </c>
    </row>
    <row r="5731" spans="1:4" x14ac:dyDescent="0.2">
      <c r="A5731" s="5">
        <v>5670</v>
      </c>
      <c r="B5731" s="138">
        <f>'Revenues 9-14'!G65</f>
        <v>3677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3677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9688</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158083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4291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4291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117417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121708</v>
      </c>
      <c r="C5915" s="2" t="s">
        <v>573</v>
      </c>
      <c r="D5915" s="2" t="str">
        <f t="shared" si="91"/>
        <v>Error?</v>
      </c>
    </row>
    <row r="5916" spans="1:4" x14ac:dyDescent="0.2">
      <c r="A5916" s="5">
        <v>5855</v>
      </c>
      <c r="B5916" s="138">
        <f>'Revenues 9-14'!I5</f>
        <v>20021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20021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6627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6627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1524</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28172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20021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20021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4228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4228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1524</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25773</v>
      </c>
      <c r="C6023" s="2" t="s">
        <v>573</v>
      </c>
      <c r="D6023" s="2" t="str">
        <f t="shared" si="93"/>
        <v>Error?</v>
      </c>
    </row>
    <row r="6024" spans="1:5" x14ac:dyDescent="0.2">
      <c r="A6024" s="5">
        <v>5963</v>
      </c>
      <c r="B6024" s="138">
        <f>'Revenues 9-14'!G109</f>
        <v>158083</v>
      </c>
      <c r="C6024" s="2" t="s">
        <v>573</v>
      </c>
      <c r="D6024" s="2" t="str">
        <f t="shared" si="93"/>
        <v>Error?</v>
      </c>
    </row>
    <row r="6025" spans="1:5" x14ac:dyDescent="0.2">
      <c r="A6025" s="5">
        <v>5964</v>
      </c>
      <c r="B6025" s="138">
        <f>'Revenues 9-14'!H109</f>
        <v>121708</v>
      </c>
      <c r="C6025" s="2" t="s">
        <v>573</v>
      </c>
      <c r="D6025" s="2" t="str">
        <f t="shared" si="93"/>
        <v>Error?</v>
      </c>
    </row>
    <row r="6026" spans="1:5" x14ac:dyDescent="0.2">
      <c r="A6026" s="5">
        <v>5965</v>
      </c>
      <c r="B6026" s="138">
        <f>'Revenues 9-14'!I109</f>
        <v>28172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25773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2201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24124.52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392.8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178957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178957</v>
      </c>
      <c r="D6215" s="2" t="str">
        <f t="shared" si="96"/>
        <v>Error?</v>
      </c>
      <c r="E6215" s="2" t="s">
        <v>190</v>
      </c>
    </row>
    <row r="6216" spans="1:5" x14ac:dyDescent="0.2">
      <c r="A6216">
        <v>6155</v>
      </c>
      <c r="B6216" s="138">
        <f>'Assets-Liab 5-6'!J41</f>
        <v>178957</v>
      </c>
      <c r="D6216" s="2" t="str">
        <f t="shared" si="96"/>
        <v>Error?</v>
      </c>
      <c r="E6216" s="2" t="s">
        <v>190</v>
      </c>
    </row>
    <row r="6217" spans="1:5" x14ac:dyDescent="0.2">
      <c r="A6217">
        <v>6156</v>
      </c>
      <c r="B6217" s="138">
        <f>'Assets-Liab 5-6'!J4</f>
        <v>178957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118048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118048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118048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95730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95730</v>
      </c>
      <c r="D6229" s="2" t="str">
        <f t="shared" si="96"/>
        <v>Error?</v>
      </c>
      <c r="E6229" s="2" t="s">
        <v>190</v>
      </c>
    </row>
    <row r="6230" spans="1:5" x14ac:dyDescent="0.2">
      <c r="A6230">
        <v>6169</v>
      </c>
      <c r="B6230" s="138">
        <f>'Acct Summary 7-8'!J20</f>
        <v>22318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22318</v>
      </c>
      <c r="D6263" s="2" t="str">
        <f t="shared" si="96"/>
        <v>Error?</v>
      </c>
      <c r="E6263" s="2" t="s">
        <v>190</v>
      </c>
    </row>
    <row r="6264" spans="1:5" x14ac:dyDescent="0.2">
      <c r="A6264">
        <v>6203</v>
      </c>
      <c r="B6264" s="138">
        <f>'Acct Summary 7-8'!J79</f>
        <v>156639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178957</v>
      </c>
      <c r="D6266" s="2" t="str">
        <f t="shared" si="96"/>
        <v>Error?</v>
      </c>
      <c r="E6266" s="2" t="s">
        <v>190</v>
      </c>
    </row>
    <row r="6267" spans="1:5" x14ac:dyDescent="0.2">
      <c r="A6267">
        <v>6206</v>
      </c>
      <c r="B6267" s="138">
        <f>'Acct Summary 7-8'!C82</f>
        <v>671260</v>
      </c>
      <c r="D6267" s="2" t="str">
        <f t="shared" si="96"/>
        <v>Error?</v>
      </c>
      <c r="E6267" s="2" t="s">
        <v>190</v>
      </c>
    </row>
    <row r="6268" spans="1:5" x14ac:dyDescent="0.2">
      <c r="A6268">
        <v>6207</v>
      </c>
      <c r="B6268" s="138">
        <f>'Acct Summary 7-8'!D82</f>
        <v>29928</v>
      </c>
      <c r="D6268" s="2" t="str">
        <f t="shared" si="96"/>
        <v>Error?</v>
      </c>
      <c r="E6268" s="2" t="s">
        <v>190</v>
      </c>
    </row>
    <row r="6269" spans="1:5" x14ac:dyDescent="0.2">
      <c r="A6269">
        <v>6208</v>
      </c>
      <c r="B6269" s="138">
        <f>'Acct Summary 7-8'!E82</f>
        <v>20808</v>
      </c>
      <c r="D6269" s="2" t="str">
        <f t="shared" si="96"/>
        <v>Error?</v>
      </c>
      <c r="E6269" s="2" t="s">
        <v>190</v>
      </c>
    </row>
    <row r="6270" spans="1:5" x14ac:dyDescent="0.2">
      <c r="A6270">
        <v>6209</v>
      </c>
      <c r="B6270" s="138">
        <f>'Acct Summary 7-8'!F82</f>
        <v>14902</v>
      </c>
      <c r="D6270" s="2" t="str">
        <f t="shared" si="96"/>
        <v>Error?</v>
      </c>
      <c r="E6270" s="2" t="s">
        <v>190</v>
      </c>
    </row>
    <row r="6271" spans="1:5" x14ac:dyDescent="0.2">
      <c r="A6271">
        <v>6210</v>
      </c>
      <c r="B6271" s="138">
        <f>'Acct Summary 7-8'!G82</f>
        <v>32065</v>
      </c>
      <c r="D6271" s="2" t="str">
        <f t="shared" ref="D6271:D6334" si="97">IF(ISBLANK(B6271),"OK",IF(A6271-B6271=0,"OK","Error?"))</f>
        <v>Error?</v>
      </c>
      <c r="E6271" s="2" t="s">
        <v>190</v>
      </c>
    </row>
    <row r="6272" spans="1:5" x14ac:dyDescent="0.2">
      <c r="A6272">
        <v>6211</v>
      </c>
      <c r="B6272" s="138">
        <f>'Acct Summary 7-8'!H82</f>
        <v>97654</v>
      </c>
      <c r="D6272" s="2" t="str">
        <f t="shared" si="97"/>
        <v>Error?</v>
      </c>
      <c r="E6272" s="2" t="s">
        <v>190</v>
      </c>
    </row>
    <row r="6273" spans="1:5" x14ac:dyDescent="0.2">
      <c r="A6273">
        <v>6212</v>
      </c>
      <c r="B6273" s="138">
        <f>'Acct Summary 7-8'!I82</f>
        <v>-146828</v>
      </c>
      <c r="D6273" s="2" t="str">
        <f t="shared" si="97"/>
        <v>Error?</v>
      </c>
      <c r="E6273" s="2" t="s">
        <v>190</v>
      </c>
    </row>
    <row r="6274" spans="1:5" x14ac:dyDescent="0.2">
      <c r="A6274">
        <v>6213</v>
      </c>
      <c r="B6274" s="138">
        <f>'Acct Summary 7-8'!J82</f>
        <v>22318</v>
      </c>
      <c r="D6274" s="2" t="str">
        <f t="shared" si="97"/>
        <v>Error?</v>
      </c>
      <c r="E6274" s="2" t="s">
        <v>190</v>
      </c>
    </row>
    <row r="6275" spans="1:5" x14ac:dyDescent="0.2">
      <c r="A6275">
        <v>6214</v>
      </c>
      <c r="B6275" s="138">
        <f>'Acct Summary 7-8'!K82</f>
        <v>1173</v>
      </c>
      <c r="D6275" s="2" t="str">
        <f t="shared" si="97"/>
        <v>Error?</v>
      </c>
      <c r="E6275" s="2" t="s">
        <v>190</v>
      </c>
    </row>
    <row r="6276" spans="1:5" x14ac:dyDescent="0.2">
      <c r="A6276">
        <v>6215</v>
      </c>
      <c r="B6276" s="138">
        <f>'Acct Summary 7-8'!C83</f>
        <v>0.22569976813371853</v>
      </c>
      <c r="D6276" s="2" t="str">
        <f t="shared" si="97"/>
        <v>Error?</v>
      </c>
      <c r="E6276" s="2" t="s">
        <v>190</v>
      </c>
    </row>
    <row r="6277" spans="1:5" x14ac:dyDescent="0.2">
      <c r="A6277">
        <v>6216</v>
      </c>
      <c r="B6277" s="138">
        <f>'Acct Summary 7-8'!D83</f>
        <v>8.6423924249118517E-2</v>
      </c>
      <c r="D6277" s="2" t="str">
        <f t="shared" si="97"/>
        <v>Error?</v>
      </c>
      <c r="E6277" s="2" t="s">
        <v>190</v>
      </c>
    </row>
    <row r="6278" spans="1:5" x14ac:dyDescent="0.2">
      <c r="A6278">
        <v>6217</v>
      </c>
      <c r="B6278" s="138">
        <f>'Acct Summary 7-8'!E83</f>
        <v>7.7997728439858013E-2</v>
      </c>
      <c r="D6278" s="2" t="str">
        <f t="shared" si="97"/>
        <v>Error?</v>
      </c>
      <c r="E6278" s="2" t="s">
        <v>190</v>
      </c>
    </row>
    <row r="6279" spans="1:5" x14ac:dyDescent="0.2">
      <c r="A6279">
        <v>6218</v>
      </c>
      <c r="B6279" s="138">
        <f>'Acct Summary 7-8'!F83</f>
        <v>0.12355628518601432</v>
      </c>
      <c r="D6279" s="2" t="str">
        <f t="shared" si="97"/>
        <v>Error?</v>
      </c>
      <c r="E6279" s="2" t="s">
        <v>190</v>
      </c>
    </row>
    <row r="6280" spans="1:5" x14ac:dyDescent="0.2">
      <c r="A6280">
        <v>6219</v>
      </c>
      <c r="B6280" s="138">
        <f>'Acct Summary 7-8'!G83</f>
        <v>0.13259095081750291</v>
      </c>
      <c r="D6280" s="2" t="str">
        <f t="shared" si="97"/>
        <v>Error?</v>
      </c>
      <c r="E6280" s="2" t="s">
        <v>190</v>
      </c>
    </row>
    <row r="6281" spans="1:5" x14ac:dyDescent="0.2">
      <c r="A6281">
        <v>6220</v>
      </c>
      <c r="B6281" s="138">
        <f>'Acct Summary 7-8'!H83</f>
        <v>0.3337103724485786</v>
      </c>
      <c r="D6281" s="2" t="str">
        <f t="shared" si="97"/>
        <v>Error?</v>
      </c>
      <c r="E6281" s="2" t="s">
        <v>190</v>
      </c>
    </row>
    <row r="6282" spans="1:5" x14ac:dyDescent="0.2">
      <c r="A6282">
        <v>6221</v>
      </c>
      <c r="B6282" s="138">
        <f>'Acct Summary 7-8'!I83</f>
        <v>-0.62539079470819237</v>
      </c>
      <c r="D6282" s="2" t="str">
        <f t="shared" si="97"/>
        <v>Error?</v>
      </c>
      <c r="E6282" s="2" t="s">
        <v>190</v>
      </c>
    </row>
    <row r="6283" spans="1:5" x14ac:dyDescent="0.2">
      <c r="A6283">
        <v>6222</v>
      </c>
      <c r="B6283" s="138">
        <f>'Acct Summary 7-8'!J83</f>
        <v>0.12471152287979793</v>
      </c>
      <c r="D6283" s="2" t="str">
        <f t="shared" si="97"/>
        <v>Error?</v>
      </c>
      <c r="E6283" s="2" t="s">
        <v>190</v>
      </c>
    </row>
    <row r="6284" spans="1:5" x14ac:dyDescent="0.2">
      <c r="A6284">
        <v>6223</v>
      </c>
      <c r="B6284" s="138">
        <f>'Acct Summary 7-8'!K83</f>
        <v>4.8863394943700874E-3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106722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106722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3135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3135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63407</v>
      </c>
      <c r="D6330" s="2" t="str">
        <f t="shared" si="97"/>
        <v>Error?</v>
      </c>
      <c r="E6330" s="2" t="s">
        <v>190</v>
      </c>
    </row>
    <row r="6331" spans="1:5" x14ac:dyDescent="0.2">
      <c r="A6331">
        <v>6270</v>
      </c>
      <c r="B6331" s="138">
        <f>'Revenues 9-14'!D100</f>
        <v>16766</v>
      </c>
      <c r="D6331" s="2" t="str">
        <f t="shared" si="97"/>
        <v>Error?</v>
      </c>
      <c r="E6331" s="2" t="s">
        <v>190</v>
      </c>
    </row>
    <row r="6332" spans="1:5" x14ac:dyDescent="0.2">
      <c r="A6332">
        <v>6271</v>
      </c>
      <c r="B6332" s="138">
        <f>'Revenues 9-14'!E100</f>
        <v>14023</v>
      </c>
      <c r="D6332" s="2" t="str">
        <f t="shared" si="97"/>
        <v>Error?</v>
      </c>
      <c r="E6332" s="2" t="s">
        <v>190</v>
      </c>
    </row>
    <row r="6333" spans="1:5" x14ac:dyDescent="0.2">
      <c r="A6333">
        <v>6272</v>
      </c>
      <c r="B6333" s="138">
        <f>'Revenues 9-14'!F100</f>
        <v>3658</v>
      </c>
      <c r="D6333" s="2" t="str">
        <f t="shared" si="97"/>
        <v>Error?</v>
      </c>
      <c r="E6333" s="2" t="s">
        <v>190</v>
      </c>
    </row>
    <row r="6334" spans="1:5" x14ac:dyDescent="0.2">
      <c r="A6334">
        <v>6273</v>
      </c>
      <c r="B6334" s="138">
        <f>'Revenues 9-14'!G100</f>
        <v>9688</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1524</v>
      </c>
      <c r="D6336" s="2" t="str">
        <f t="shared" si="98"/>
        <v>Error?</v>
      </c>
      <c r="E6336" s="2" t="s">
        <v>190</v>
      </c>
    </row>
    <row r="6337" spans="1:5" x14ac:dyDescent="0.2">
      <c r="A6337">
        <v>6276</v>
      </c>
      <c r="B6337" s="138">
        <f>'Revenues 9-14'!J100</f>
        <v>8191</v>
      </c>
      <c r="D6337" s="2" t="str">
        <f t="shared" si="98"/>
        <v>Error?</v>
      </c>
      <c r="E6337" s="2" t="s">
        <v>190</v>
      </c>
    </row>
    <row r="6338" spans="1:5" x14ac:dyDescent="0.2">
      <c r="A6338">
        <v>6277</v>
      </c>
      <c r="B6338" s="138">
        <f>'Revenues 9-14'!K100</f>
        <v>1524</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8191</v>
      </c>
      <c r="D6351" s="2" t="str">
        <f t="shared" si="98"/>
        <v>Error?</v>
      </c>
      <c r="E6351" s="2" t="s">
        <v>190</v>
      </c>
    </row>
    <row r="6352" spans="1:5" x14ac:dyDescent="0.2">
      <c r="A6352">
        <v>6291</v>
      </c>
      <c r="B6352" s="138">
        <f>'Revenues 9-14'!J109</f>
        <v>118048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82408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104387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85663</v>
      </c>
      <c r="D6983" s="2" t="str">
        <f t="shared" si="108"/>
        <v>Error?</v>
      </c>
    </row>
    <row r="6984" spans="1:4" x14ac:dyDescent="0.2">
      <c r="A6984">
        <v>6923</v>
      </c>
      <c r="B6984" s="138">
        <f>'Expenditures 15-22'!K86</f>
        <v>85663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85663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95730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118048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5079</v>
      </c>
      <c r="D7073" s="2" t="str">
        <f t="shared" si="109"/>
        <v>Error?</v>
      </c>
    </row>
    <row r="7074" spans="1:4" x14ac:dyDescent="0.2">
      <c r="A7074">
        <v>7013</v>
      </c>
      <c r="B7074" s="138">
        <f>'Expenditures 15-22'!K216</f>
        <v>5079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407</v>
      </c>
      <c r="D7093" s="2" t="str">
        <f t="shared" si="109"/>
        <v>Error?</v>
      </c>
    </row>
    <row r="7094" spans="1:4" x14ac:dyDescent="0.2">
      <c r="A7094">
        <v>7033</v>
      </c>
      <c r="B7094" s="138">
        <f>'Expenditures 15-22'!K254</f>
        <v>407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12657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12657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31956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31956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45517</v>
      </c>
      <c r="D7172" s="2" t="str">
        <f t="shared" si="111"/>
        <v>Error?</v>
      </c>
    </row>
    <row r="7173" spans="1:4" x14ac:dyDescent="0.2">
      <c r="A7173">
        <v>7112</v>
      </c>
      <c r="B7173" s="138">
        <f>'Expenditures 15-22'!D325</f>
        <v>189</v>
      </c>
      <c r="D7173" s="2" t="str">
        <f t="shared" si="111"/>
        <v>Error?</v>
      </c>
    </row>
    <row r="7174" spans="1:4" x14ac:dyDescent="0.2">
      <c r="A7174">
        <v>7113</v>
      </c>
      <c r="B7174" s="138">
        <f>'Expenditures 15-22'!E325</f>
        <v>5305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51011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106</v>
      </c>
      <c r="D7198" s="2" t="str">
        <f t="shared" si="111"/>
        <v>Error?</v>
      </c>
    </row>
    <row r="7199" spans="1:4" x14ac:dyDescent="0.2">
      <c r="A7199">
        <v>7138</v>
      </c>
      <c r="B7199" s="138">
        <f>'Expenditures 15-22'!C330</f>
        <v>45517</v>
      </c>
      <c r="D7199" s="2" t="str">
        <f t="shared" si="111"/>
        <v>Error?</v>
      </c>
    </row>
    <row r="7200" spans="1:4" x14ac:dyDescent="0.2">
      <c r="A7200">
        <v>7139</v>
      </c>
      <c r="B7200" s="138">
        <f>'Expenditures 15-22'!D330</f>
        <v>189</v>
      </c>
      <c r="D7200" s="2" t="str">
        <f t="shared" si="111"/>
        <v>Error?</v>
      </c>
    </row>
    <row r="7201" spans="1:4" x14ac:dyDescent="0.2">
      <c r="A7201">
        <v>7140</v>
      </c>
      <c r="B7201" s="138">
        <f>'Expenditures 15-22'!E330</f>
        <v>50024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95730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45517</v>
      </c>
      <c r="D7216" s="2" t="str">
        <f t="shared" si="111"/>
        <v>Error?</v>
      </c>
    </row>
    <row r="7217" spans="1:4" x14ac:dyDescent="0.2">
      <c r="A7217">
        <v>7156</v>
      </c>
      <c r="B7217" s="138">
        <f>'Expenditures 15-22'!D342</f>
        <v>189</v>
      </c>
      <c r="D7217" s="2" t="str">
        <f t="shared" si="111"/>
        <v>Error?</v>
      </c>
    </row>
    <row r="7218" spans="1:4" x14ac:dyDescent="0.2">
      <c r="A7218">
        <v>7157</v>
      </c>
      <c r="B7218" s="138">
        <f>'Expenditures 15-22'!E342</f>
        <v>50024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95730</v>
      </c>
      <c r="D7224" s="2" t="str">
        <f t="shared" si="111"/>
        <v>Error?</v>
      </c>
    </row>
    <row r="7225" spans="1:4" x14ac:dyDescent="0.2">
      <c r="A7225">
        <v>7164</v>
      </c>
      <c r="B7225" s="138">
        <f>'Expenditures 15-22'!K343</f>
        <v>22318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803</v>
      </c>
      <c r="D7246" s="2" t="str">
        <f t="shared" si="112"/>
        <v>Error?</v>
      </c>
    </row>
    <row r="7247" spans="1:4" x14ac:dyDescent="0.2">
      <c r="A7247">
        <f t="shared" si="113"/>
        <v>7186</v>
      </c>
      <c r="B7247" s="138">
        <f>'Expenditures 15-22'!E7</f>
        <v>2356</v>
      </c>
      <c r="D7247" s="2" t="str">
        <f t="shared" si="112"/>
        <v>Error?</v>
      </c>
    </row>
    <row r="7248" spans="1:4" x14ac:dyDescent="0.2">
      <c r="A7248">
        <f t="shared" si="113"/>
        <v>7187</v>
      </c>
      <c r="B7248" s="138">
        <f>'Expenditures 15-22'!F7</f>
        <v>18820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1149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1149</v>
      </c>
      <c r="D7618" s="2" t="str">
        <f t="shared" si="124"/>
        <v>Error?</v>
      </c>
      <c r="E7618" s="2" t="s">
        <v>19</v>
      </c>
    </row>
    <row r="7619" spans="1:5" x14ac:dyDescent="0.2">
      <c r="A7619">
        <f t="shared" si="123"/>
        <v>7558</v>
      </c>
      <c r="B7619" s="138">
        <f>'Cap Outlay Deprec 26'!H14</f>
        <v>1149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1149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184957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263806</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5312.62</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196783.69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202096.31</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8013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24053.88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7975</v>
      </c>
      <c r="D7724" s="2" t="str">
        <f t="shared" si="126"/>
        <v>Error?</v>
      </c>
      <c r="E7724" s="2" t="s">
        <v>827</v>
      </c>
      <c r="F7724" s="2"/>
    </row>
    <row r="7725" spans="1:6" x14ac:dyDescent="0.2">
      <c r="A7725">
        <v>7664</v>
      </c>
      <c r="B7725" s="138">
        <f>'Rest Tax Levies-Tort Im 25'!J19</f>
        <v>65000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72975</v>
      </c>
      <c r="D7727" s="2" t="str">
        <f t="shared" si="126"/>
        <v>Error?</v>
      </c>
      <c r="E7727" s="2" t="s">
        <v>827</v>
      </c>
    </row>
    <row r="7728" spans="1:6" x14ac:dyDescent="0.2">
      <c r="A7728">
        <v>7667</v>
      </c>
      <c r="B7728" s="138">
        <f>'Revenues 9-14'!E103</f>
        <v>79367</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97028.88</v>
      </c>
      <c r="D7730" s="2" t="str">
        <f t="shared" si="126"/>
        <v>Error?</v>
      </c>
      <c r="E7730" s="2" t="s">
        <v>827</v>
      </c>
    </row>
    <row r="7731" spans="1:6" x14ac:dyDescent="0.2">
      <c r="A7731">
        <v>7670</v>
      </c>
      <c r="B7731" s="138">
        <f>'Revenues 9-14'!H103</f>
        <v>117417</v>
      </c>
      <c r="D7731" s="2" t="str">
        <f t="shared" si="126"/>
        <v>Error?</v>
      </c>
      <c r="E7731" s="2" t="s">
        <v>827</v>
      </c>
    </row>
    <row r="7732" spans="1:6" x14ac:dyDescent="0.2">
      <c r="A7732">
        <v>7671</v>
      </c>
      <c r="B7732" s="138">
        <f>'Rest Tax Levies-Tort Im 25'!J24</f>
        <v>368873.43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368873</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0.42999999999301508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175000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67969.19</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42969.19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87" t="s">
        <v>1191</v>
      </c>
      <c r="B2" s="2487"/>
      <c r="C2" s="2487"/>
      <c r="D2" s="2487"/>
      <c r="E2" s="2487"/>
      <c r="F2" s="2487"/>
      <c r="G2" s="2487"/>
      <c r="H2" s="2487"/>
      <c r="I2" s="2487"/>
      <c r="J2" s="2487"/>
      <c r="K2" s="2487"/>
      <c r="L2" s="2487"/>
    </row>
    <row r="3" spans="1:29" ht="13.5" customHeight="1" x14ac:dyDescent="0.2">
      <c r="A3" s="2473" t="s">
        <v>1190</v>
      </c>
      <c r="B3" s="2473"/>
      <c r="C3" s="2473"/>
      <c r="D3" s="2473"/>
      <c r="E3" s="2473"/>
      <c r="F3" s="2473"/>
      <c r="G3" s="2473"/>
      <c r="H3" s="2473"/>
      <c r="I3" s="2473"/>
      <c r="J3" s="2473"/>
      <c r="K3" s="2473"/>
      <c r="L3" s="2473"/>
    </row>
    <row r="4" spans="1:29" ht="13.5" customHeight="1" x14ac:dyDescent="0.2">
      <c r="A4" s="2487" t="s">
        <v>1989</v>
      </c>
      <c r="B4" s="2504"/>
      <c r="C4" s="2504"/>
      <c r="D4" s="2504"/>
      <c r="E4" s="2504"/>
      <c r="F4" s="2504"/>
      <c r="G4" s="2504"/>
      <c r="H4" s="2504"/>
      <c r="I4" s="2504"/>
      <c r="J4" s="2504"/>
      <c r="K4" s="2504"/>
      <c r="L4" s="2504"/>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67" t="str">
        <f>COVER!A17</f>
        <v>Colona SD 190</v>
      </c>
      <c r="B7" s="2468"/>
      <c r="C7" s="2468"/>
      <c r="D7" s="2505"/>
      <c r="E7" s="2506">
        <f>COVER!A13</f>
        <v>28037190002</v>
      </c>
      <c r="F7" s="2507"/>
      <c r="G7" s="2474" t="str">
        <f>COVER!T23</f>
        <v>066-005027</v>
      </c>
      <c r="H7" s="2475"/>
      <c r="I7" s="2475"/>
      <c r="J7" s="2475"/>
      <c r="K7" s="2475"/>
      <c r="L7" s="2476"/>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77"/>
      <c r="B9" s="2478"/>
      <c r="C9" s="2478"/>
      <c r="D9" s="2478"/>
      <c r="E9" s="2478"/>
      <c r="F9" s="2479"/>
      <c r="G9" s="2480" t="str">
        <f>COVER!T13</f>
        <v>Gorenz and Associates, Ltd.</v>
      </c>
      <c r="H9" s="2481"/>
      <c r="I9" s="2481"/>
      <c r="J9" s="2481"/>
      <c r="K9" s="2481"/>
      <c r="L9" s="2482"/>
    </row>
    <row r="10" spans="1:29" ht="13.5" customHeight="1" x14ac:dyDescent="0.2">
      <c r="A10" s="2464" t="str">
        <f>COVER!A38</f>
        <v>Carl Johnson</v>
      </c>
      <c r="B10" s="2465"/>
      <c r="C10" s="2465"/>
      <c r="D10" s="2465"/>
      <c r="E10" s="2465"/>
      <c r="F10" s="2466"/>
      <c r="G10" s="2480" t="str">
        <f>COVER!T17</f>
        <v>4200 N Knoxville Ave</v>
      </c>
      <c r="H10" s="2493"/>
      <c r="I10" s="2493"/>
      <c r="J10" s="2493"/>
      <c r="K10" s="2493"/>
      <c r="L10" s="2494"/>
    </row>
    <row r="11" spans="1:29" ht="13.5" customHeight="1" x14ac:dyDescent="0.2">
      <c r="A11" s="1181" t="s">
        <v>1519</v>
      </c>
      <c r="B11" s="1182"/>
      <c r="C11" s="1183"/>
      <c r="D11" s="1188"/>
      <c r="E11" s="1183"/>
      <c r="F11" s="1187"/>
      <c r="G11" s="2480" t="str">
        <f>COVER!T19</f>
        <v>Peoria</v>
      </c>
      <c r="H11" s="2493"/>
      <c r="I11" s="2493"/>
      <c r="J11" s="2493"/>
      <c r="K11" s="2493"/>
      <c r="L11" s="2494"/>
    </row>
    <row r="12" spans="1:29" ht="13.5" customHeight="1" x14ac:dyDescent="0.2">
      <c r="A12" s="2498" t="s">
        <v>1518</v>
      </c>
      <c r="B12" s="2499"/>
      <c r="C12" s="2499"/>
      <c r="D12" s="2499"/>
      <c r="E12" s="2499"/>
      <c r="F12" s="2500"/>
      <c r="G12" s="2495"/>
      <c r="H12" s="2496"/>
      <c r="I12" s="2496"/>
      <c r="J12" s="2496"/>
      <c r="K12" s="2496"/>
      <c r="L12" s="2497"/>
    </row>
    <row r="13" spans="1:29" ht="13.5" customHeight="1" x14ac:dyDescent="0.2">
      <c r="A13" s="2480"/>
      <c r="B13" s="2493"/>
      <c r="C13" s="2493"/>
      <c r="D13" s="2493"/>
      <c r="E13" s="2493"/>
      <c r="F13" s="2494"/>
      <c r="G13" s="2488" t="s">
        <v>1520</v>
      </c>
      <c r="H13" s="2489"/>
      <c r="I13" s="2501" t="str">
        <f>COVER!T25</f>
        <v>rrumbold@gorenzcpa.com</v>
      </c>
      <c r="J13" s="2502"/>
      <c r="K13" s="2502"/>
      <c r="L13" s="2503"/>
    </row>
    <row r="14" spans="1:29" ht="13.5" customHeight="1" x14ac:dyDescent="0.2">
      <c r="A14" s="2480" t="str">
        <f>COVER!A19</f>
        <v>700 First Street</v>
      </c>
      <c r="B14" s="2493"/>
      <c r="C14" s="2493"/>
      <c r="D14" s="2493"/>
      <c r="E14" s="2493"/>
      <c r="F14" s="2494"/>
      <c r="G14" s="1192" t="s">
        <v>1185</v>
      </c>
      <c r="H14" s="1190"/>
      <c r="I14" s="1190"/>
      <c r="J14" s="1190"/>
      <c r="K14" s="1190"/>
      <c r="L14" s="1191"/>
    </row>
    <row r="15" spans="1:29" ht="13.5" customHeight="1" x14ac:dyDescent="0.2">
      <c r="A15" s="2480" t="str">
        <f>COVER!A21</f>
        <v>Colona</v>
      </c>
      <c r="B15" s="2493"/>
      <c r="C15" s="2493"/>
      <c r="D15" s="2493"/>
      <c r="E15" s="2493"/>
      <c r="F15" s="2494"/>
      <c r="G15" s="2490" t="str">
        <f>COVER!T15</f>
        <v>Russell J. Rumbold II, CPA</v>
      </c>
      <c r="H15" s="2491"/>
      <c r="I15" s="2491"/>
      <c r="J15" s="2491"/>
      <c r="K15" s="2491"/>
      <c r="L15" s="2492"/>
    </row>
    <row r="16" spans="1:29" ht="12.2" customHeight="1" x14ac:dyDescent="0.2">
      <c r="A16" s="2470">
        <f>COVER!A25</f>
        <v>61241</v>
      </c>
      <c r="B16" s="2471"/>
      <c r="C16" s="2471"/>
      <c r="D16" s="2471"/>
      <c r="E16" s="2471"/>
      <c r="F16" s="2472"/>
      <c r="G16" s="2483"/>
      <c r="H16" s="2484"/>
      <c r="I16" s="2484"/>
      <c r="J16" s="2484"/>
      <c r="K16" s="2484"/>
      <c r="L16" s="2485"/>
    </row>
    <row r="17" spans="1:13" ht="12.2" customHeight="1" x14ac:dyDescent="0.2">
      <c r="A17" s="2486"/>
      <c r="B17" s="2471"/>
      <c r="C17" s="2471"/>
      <c r="D17" s="2471"/>
      <c r="E17" s="2471"/>
      <c r="F17" s="2472"/>
      <c r="G17" s="1192" t="s">
        <v>1184</v>
      </c>
      <c r="H17" s="1190"/>
      <c r="I17" s="1190"/>
      <c r="J17" s="1190"/>
      <c r="K17" s="1194" t="s">
        <v>1183</v>
      </c>
      <c r="L17" s="1187"/>
      <c r="M17" s="1180"/>
    </row>
    <row r="18" spans="1:13" ht="12.2" customHeight="1" x14ac:dyDescent="0.2">
      <c r="A18" s="2464"/>
      <c r="B18" s="2465"/>
      <c r="C18" s="2465"/>
      <c r="D18" s="2465"/>
      <c r="E18" s="2465"/>
      <c r="F18" s="2466"/>
      <c r="G18" s="2467" t="str">
        <f>COVER!T21</f>
        <v>309-685-7621</v>
      </c>
      <c r="H18" s="2468"/>
      <c r="I18" s="2468"/>
      <c r="J18" s="2468"/>
      <c r="K18" s="2467" t="str">
        <f>COVER!X21</f>
        <v>309-685-4758</v>
      </c>
      <c r="L18" s="2469"/>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08" t="str">
        <f>'Single Audit Cover'!A7</f>
        <v>Colona SD 190</v>
      </c>
      <c r="B1" s="2504"/>
      <c r="C1" s="2504"/>
      <c r="D1" s="2504"/>
    </row>
    <row r="2" spans="1:11" s="1209" customFormat="1" ht="12.75" x14ac:dyDescent="0.2">
      <c r="A2" s="2509">
        <f>'Single Audit Cover'!E7</f>
        <v>28037190002</v>
      </c>
      <c r="B2" s="2510"/>
      <c r="C2" s="2510"/>
      <c r="D2" s="2510"/>
    </row>
    <row r="3" spans="1:11" s="1209" customFormat="1" ht="12.75" x14ac:dyDescent="0.2">
      <c r="A3" s="2508" t="s">
        <v>1513</v>
      </c>
      <c r="B3" s="2504"/>
      <c r="C3" s="2504"/>
      <c r="D3" s="2504"/>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12" t="str">
        <f>'Single Audit Cover'!A7</f>
        <v>Colona SD 190</v>
      </c>
      <c r="B1" s="2512"/>
      <c r="C1" s="2512"/>
      <c r="D1" s="2512"/>
      <c r="E1" s="2512"/>
    </row>
    <row r="2" spans="1:5" x14ac:dyDescent="0.2">
      <c r="A2" s="2513">
        <f>'Single Audit Cover'!E7</f>
        <v>28037190002</v>
      </c>
      <c r="B2" s="2513"/>
      <c r="C2" s="2513"/>
      <c r="D2" s="2513"/>
      <c r="E2" s="2513"/>
    </row>
    <row r="3" spans="1:5" ht="4.5" customHeight="1" x14ac:dyDescent="0.2"/>
    <row r="4" spans="1:5" x14ac:dyDescent="0.2">
      <c r="A4" s="2512" t="s">
        <v>1245</v>
      </c>
      <c r="B4" s="2512"/>
      <c r="C4" s="2512"/>
      <c r="D4" s="2512"/>
      <c r="E4" s="2512"/>
    </row>
    <row r="5" spans="1:5" x14ac:dyDescent="0.2">
      <c r="A5" s="2515" t="str">
        <f>'Single Audit Cover'!A4</f>
        <v>Year Ending June 30, 2019</v>
      </c>
      <c r="B5" s="2515"/>
      <c r="C5" s="2515"/>
      <c r="D5" s="2515"/>
      <c r="E5" s="2515"/>
    </row>
    <row r="6" spans="1:5" x14ac:dyDescent="0.2">
      <c r="A6" s="2512" t="s">
        <v>1244</v>
      </c>
      <c r="B6" s="2512"/>
      <c r="C6" s="2512"/>
      <c r="D6" s="2512"/>
      <c r="E6" s="2512"/>
    </row>
    <row r="8" spans="1:5" x14ac:dyDescent="0.2">
      <c r="A8" s="1254" t="s">
        <v>1243</v>
      </c>
    </row>
    <row r="10" spans="1:5" x14ac:dyDescent="0.2">
      <c r="A10" s="1255" t="s">
        <v>1242</v>
      </c>
      <c r="B10" s="1256" t="s">
        <v>1241</v>
      </c>
      <c r="C10" s="1256"/>
      <c r="D10" s="1257">
        <f>SUM('Acct Summary 7-8'!C7:K7)</f>
        <v>494236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24124.52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-42813</v>
      </c>
    </row>
    <row r="19" spans="1:4" ht="13.5" thickBot="1" x14ac:dyDescent="0.25">
      <c r="A19" s="1259" t="s">
        <v>1235</v>
      </c>
      <c r="D19" s="1260">
        <f>SUM(D10:D17)</f>
        <v>475547.52</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14"/>
      <c r="B24" s="2514"/>
      <c r="D24" s="1262"/>
    </row>
    <row r="25" spans="1:4" x14ac:dyDescent="0.2">
      <c r="A25" s="2511"/>
      <c r="B25" s="2511"/>
      <c r="D25" s="1262"/>
    </row>
    <row r="26" spans="1:4" x14ac:dyDescent="0.2">
      <c r="A26" s="2511"/>
      <c r="B26" s="2511"/>
      <c r="D26" s="1262"/>
    </row>
    <row r="27" spans="1:4" x14ac:dyDescent="0.2">
      <c r="A27" s="2511"/>
      <c r="B27" s="2511"/>
      <c r="D27" s="1262"/>
    </row>
    <row r="28" spans="1:4" x14ac:dyDescent="0.2">
      <c r="A28" s="2511"/>
      <c r="B28" s="2511"/>
      <c r="D28" s="1262"/>
    </row>
    <row r="29" spans="1:4" x14ac:dyDescent="0.2">
      <c r="A29" s="2511"/>
      <c r="B29" s="2511"/>
      <c r="D29" s="1262"/>
    </row>
    <row r="30" spans="1:4" x14ac:dyDescent="0.2">
      <c r="A30" s="2511"/>
      <c r="B30" s="2511"/>
      <c r="D30" s="1262"/>
    </row>
    <row r="32" spans="1:4" x14ac:dyDescent="0.2">
      <c r="A32" s="1254" t="s">
        <v>1233</v>
      </c>
      <c r="D32" s="1257">
        <f>SUM(D19:D30)</f>
        <v>475547.52</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511"/>
      <c r="B40" s="2511"/>
      <c r="D40" s="1262"/>
    </row>
    <row r="41" spans="1:4" x14ac:dyDescent="0.2">
      <c r="A41" s="2511"/>
      <c r="B41" s="2511"/>
      <c r="D41" s="1265"/>
    </row>
    <row r="42" spans="1:4" x14ac:dyDescent="0.2">
      <c r="A42" s="2511"/>
      <c r="B42" s="2511"/>
      <c r="D42" s="1265"/>
    </row>
    <row r="43" spans="1:4" x14ac:dyDescent="0.2">
      <c r="A43" s="2511"/>
      <c r="B43" s="2511"/>
      <c r="D43" s="1265"/>
    </row>
    <row r="44" spans="1:4" x14ac:dyDescent="0.2">
      <c r="A44" s="2511"/>
      <c r="B44" s="2511"/>
      <c r="D44" s="1265"/>
    </row>
    <row r="45" spans="1:4" x14ac:dyDescent="0.2">
      <c r="A45" s="2511"/>
      <c r="B45" s="2511"/>
      <c r="D45" s="1265"/>
    </row>
    <row r="47" spans="1:4" x14ac:dyDescent="0.2">
      <c r="B47" s="1266" t="s">
        <v>1227</v>
      </c>
      <c r="C47" s="1266"/>
      <c r="D47" s="1267">
        <f>SUM(D35:D45)</f>
        <v>0</v>
      </c>
    </row>
    <row r="49" spans="2:4" x14ac:dyDescent="0.2">
      <c r="B49" s="1266" t="s">
        <v>1226</v>
      </c>
      <c r="C49" s="1266"/>
      <c r="D49" s="1267">
        <f>D32-D47</f>
        <v>475547.52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73" t="str">
        <f>'Single Audit Cover'!A7</f>
        <v>Colona SD 190</v>
      </c>
      <c r="C1" s="2516"/>
      <c r="D1" s="2516"/>
      <c r="E1" s="2516"/>
      <c r="F1" s="2516"/>
      <c r="G1" s="2516"/>
      <c r="H1" s="2516"/>
      <c r="I1" s="2516"/>
      <c r="J1" s="2516"/>
      <c r="K1" s="2516"/>
      <c r="L1" s="2516"/>
      <c r="M1" s="2516"/>
    </row>
    <row r="2" spans="2:14" ht="15" x14ac:dyDescent="0.2">
      <c r="B2" s="2517">
        <f>'Single Audit Cover'!E7</f>
        <v>28037190002</v>
      </c>
      <c r="C2" s="2517"/>
      <c r="D2" s="2517"/>
      <c r="E2" s="2517"/>
      <c r="F2" s="2517"/>
      <c r="G2" s="2517"/>
      <c r="H2" s="2517"/>
      <c r="I2" s="2517"/>
      <c r="J2" s="2517"/>
      <c r="K2" s="2517"/>
      <c r="L2" s="2517"/>
      <c r="M2" s="2517"/>
      <c r="N2" s="1296"/>
    </row>
    <row r="3" spans="2:14" ht="15" x14ac:dyDescent="0.2">
      <c r="B3" s="2518" t="s">
        <v>1219</v>
      </c>
      <c r="C3" s="2518"/>
      <c r="D3" s="2518"/>
      <c r="E3" s="2518"/>
      <c r="F3" s="2518"/>
      <c r="G3" s="2518"/>
      <c r="H3" s="2518"/>
      <c r="I3" s="2518"/>
      <c r="J3" s="2518"/>
      <c r="K3" s="2518"/>
      <c r="L3" s="2518"/>
      <c r="M3" s="2518"/>
      <c r="N3" s="1296"/>
    </row>
    <row r="4" spans="2:14" ht="15" x14ac:dyDescent="0.2">
      <c r="B4" s="2519" t="str">
        <f>'Single Audit Cover'!A4</f>
        <v>Year Ending June 30, 2019</v>
      </c>
      <c r="C4" s="2519"/>
      <c r="D4" s="2519"/>
      <c r="E4" s="2519"/>
      <c r="F4" s="2519"/>
      <c r="G4" s="2519"/>
      <c r="H4" s="2519"/>
      <c r="I4" s="2519"/>
      <c r="J4" s="2519"/>
      <c r="K4" s="2519"/>
      <c r="L4" s="2519"/>
      <c r="M4" s="2519"/>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21" t="str">
        <f>'Single Audit Cover'!A7</f>
        <v>Colona SD 190</v>
      </c>
      <c r="B1" s="2521"/>
      <c r="C1" s="2521"/>
      <c r="D1" s="2521"/>
      <c r="E1" s="2521"/>
      <c r="F1" s="2521"/>
    </row>
    <row r="2" spans="1:7" ht="13.5" customHeight="1" x14ac:dyDescent="0.2">
      <c r="A2" s="2517">
        <f>'Single Audit Cover'!E7</f>
        <v>28037190002</v>
      </c>
      <c r="B2" s="2517"/>
      <c r="C2" s="2517"/>
      <c r="D2" s="2517"/>
      <c r="E2" s="2517"/>
      <c r="F2" s="2517"/>
      <c r="G2" s="1269"/>
    </row>
    <row r="3" spans="1:7" ht="15.75" customHeight="1" x14ac:dyDescent="0.2">
      <c r="A3" s="2522" t="s">
        <v>1271</v>
      </c>
      <c r="B3" s="2522"/>
      <c r="C3" s="2522"/>
      <c r="D3" s="2522"/>
      <c r="E3" s="2522"/>
      <c r="F3" s="2522"/>
    </row>
    <row r="4" spans="1:7" ht="13.5" customHeight="1" x14ac:dyDescent="0.2">
      <c r="A4" s="2523" t="str">
        <f>'Single Audit Cover'!A4</f>
        <v>Year Ending June 30, 2019</v>
      </c>
      <c r="B4" s="2523"/>
      <c r="C4" s="2523"/>
      <c r="D4" s="2523"/>
      <c r="E4" s="2523"/>
      <c r="F4" s="2523"/>
    </row>
    <row r="5" spans="1:7" ht="8.25" customHeight="1" x14ac:dyDescent="0.2">
      <c r="C5" s="317"/>
      <c r="D5" s="317"/>
    </row>
    <row r="6" spans="1:7" ht="13.5" customHeight="1" x14ac:dyDescent="0.2">
      <c r="A6" s="1270" t="s">
        <v>1728</v>
      </c>
      <c r="C6" s="317"/>
      <c r="D6" s="317"/>
    </row>
    <row r="7" spans="1:7" ht="60.95" customHeight="1" x14ac:dyDescent="0.2">
      <c r="A7" s="2520" t="s">
        <v>1729</v>
      </c>
      <c r="B7" s="2520"/>
      <c r="C7" s="2520"/>
      <c r="D7" s="2520"/>
      <c r="E7" s="2520"/>
      <c r="F7" s="2520"/>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20" t="s">
        <v>1731</v>
      </c>
      <c r="B13" s="2520"/>
      <c r="C13" s="2520"/>
      <c r="D13" s="2520"/>
      <c r="E13" s="2520"/>
      <c r="F13" s="2520"/>
    </row>
    <row r="14" spans="1:7" ht="9.75" customHeight="1" x14ac:dyDescent="0.2">
      <c r="C14" s="1254"/>
      <c r="D14" s="1254"/>
    </row>
    <row r="15" spans="1:7" ht="13.5" customHeight="1" x14ac:dyDescent="0.2">
      <c r="C15" s="1843" t="s">
        <v>1270</v>
      </c>
      <c r="D15" s="2525" t="s">
        <v>1269</v>
      </c>
      <c r="E15" s="2525"/>
      <c r="F15" s="2525"/>
    </row>
    <row r="16" spans="1:7" ht="13.5" customHeight="1" x14ac:dyDescent="0.2">
      <c r="A16" s="1276"/>
      <c r="B16" s="1270" t="s">
        <v>1268</v>
      </c>
      <c r="C16" s="1843" t="s">
        <v>1267</v>
      </c>
      <c r="D16" s="2526" t="s">
        <v>1588</v>
      </c>
      <c r="E16" s="2526"/>
      <c r="F16" s="2526"/>
    </row>
    <row r="17" spans="1:6" ht="20.45" customHeight="1" x14ac:dyDescent="0.2">
      <c r="A17" s="1277"/>
      <c r="B17" s="1278"/>
      <c r="C17" s="1279"/>
      <c r="D17" s="2524"/>
      <c r="E17" s="2524"/>
      <c r="F17" s="2524"/>
    </row>
    <row r="18" spans="1:6" ht="20.65" customHeight="1" x14ac:dyDescent="0.2">
      <c r="A18" s="1277"/>
      <c r="B18" s="1278"/>
      <c r="C18" s="1279"/>
      <c r="D18" s="2524"/>
      <c r="E18" s="2524"/>
      <c r="F18" s="2524"/>
    </row>
    <row r="19" spans="1:6" ht="20.65" customHeight="1" x14ac:dyDescent="0.2">
      <c r="A19" s="1277"/>
      <c r="B19" s="1278"/>
      <c r="C19" s="1279"/>
      <c r="D19" s="2524"/>
      <c r="E19" s="2524"/>
      <c r="F19" s="2524"/>
    </row>
    <row r="20" spans="1:6" ht="20.65" customHeight="1" x14ac:dyDescent="0.2">
      <c r="A20" s="1277"/>
      <c r="B20" s="1278"/>
      <c r="C20" s="1279"/>
      <c r="D20" s="2524"/>
      <c r="E20" s="2524"/>
      <c r="F20" s="2524"/>
    </row>
    <row r="21" spans="1:6" ht="20.65" customHeight="1" x14ac:dyDescent="0.2">
      <c r="A21" s="1277"/>
      <c r="B21" s="1278"/>
      <c r="C21" s="1279"/>
      <c r="D21" s="2524"/>
      <c r="E21" s="2524"/>
      <c r="F21" s="2524"/>
    </row>
    <row r="22" spans="1:6" ht="20.65" customHeight="1" x14ac:dyDescent="0.2">
      <c r="A22" s="1277"/>
      <c r="B22" s="1278"/>
      <c r="C22" s="1279"/>
      <c r="D22" s="2524"/>
      <c r="E22" s="2524"/>
      <c r="F22" s="2524"/>
    </row>
    <row r="23" spans="1:6" ht="20.65" customHeight="1" x14ac:dyDescent="0.2">
      <c r="A23" s="1277"/>
      <c r="B23" s="1278"/>
      <c r="C23" s="1279"/>
      <c r="D23" s="2524"/>
      <c r="E23" s="2524"/>
      <c r="F23" s="2524"/>
    </row>
    <row r="24" spans="1:6" ht="20.65" customHeight="1" x14ac:dyDescent="0.2">
      <c r="A24" s="1277"/>
      <c r="B24" s="1278"/>
      <c r="C24" s="1279"/>
      <c r="D24" s="2524"/>
      <c r="E24" s="2524"/>
      <c r="F24" s="2524"/>
    </row>
    <row r="25" spans="1:6" ht="20.65" customHeight="1" x14ac:dyDescent="0.2">
      <c r="A25" s="1277"/>
      <c r="B25" s="1278"/>
      <c r="C25" s="1279"/>
      <c r="D25" s="2524"/>
      <c r="E25" s="2524"/>
      <c r="F25" s="2524"/>
    </row>
    <row r="26" spans="1:6" ht="20.65" customHeight="1" x14ac:dyDescent="0.2">
      <c r="A26" s="1277"/>
      <c r="B26" s="1278"/>
      <c r="C26" s="1279"/>
      <c r="D26" s="2524"/>
      <c r="E26" s="2524"/>
      <c r="F26" s="2524"/>
    </row>
    <row r="27" spans="1:6" ht="20.65" customHeight="1" x14ac:dyDescent="0.2">
      <c r="A27" s="1277"/>
      <c r="B27" s="1278"/>
      <c r="C27" s="1279"/>
      <c r="D27" s="2524"/>
      <c r="E27" s="2524"/>
      <c r="F27" s="2524"/>
    </row>
    <row r="28" spans="1:6" ht="20.65" customHeight="1" x14ac:dyDescent="0.2">
      <c r="A28" s="1277"/>
      <c r="B28" s="1278"/>
      <c r="C28" s="1279"/>
      <c r="D28" s="2524"/>
      <c r="E28" s="2524"/>
      <c r="F28" s="2524"/>
    </row>
    <row r="29" spans="1:6" ht="20.65" customHeight="1" x14ac:dyDescent="0.2">
      <c r="A29" s="1277"/>
      <c r="B29" s="1278"/>
      <c r="C29" s="1279"/>
      <c r="D29" s="2524"/>
      <c r="E29" s="2524"/>
      <c r="F29" s="2524"/>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28" t="s">
        <v>1732</v>
      </c>
      <c r="B32" s="2528"/>
      <c r="C32" s="2528"/>
      <c r="D32" s="2528"/>
      <c r="E32" s="2528"/>
      <c r="F32" s="2528"/>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529">
        <f>+C33+C34</f>
        <v>0</v>
      </c>
      <c r="F34" s="2530"/>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31" t="s">
        <v>1590</v>
      </c>
      <c r="C49" s="2531"/>
      <c r="D49" s="2531"/>
      <c r="E49" s="1393"/>
    </row>
    <row r="50" spans="1:5" s="1294" customFormat="1" ht="3.75" customHeight="1" x14ac:dyDescent="0.2">
      <c r="A50" s="1293"/>
      <c r="B50" s="1842"/>
      <c r="C50" s="1842"/>
      <c r="D50" s="1842"/>
      <c r="E50" s="1393"/>
    </row>
    <row r="51" spans="1:5" s="1294" customFormat="1" ht="20.25" customHeight="1" x14ac:dyDescent="0.2">
      <c r="A51" s="1295">
        <v>6</v>
      </c>
      <c r="B51" s="2527" t="s">
        <v>1551</v>
      </c>
      <c r="C51" s="2527"/>
      <c r="D51" s="2527"/>
    </row>
    <row r="52" spans="1:5" ht="14.25" customHeight="1" x14ac:dyDescent="0.2">
      <c r="A52" s="1295"/>
      <c r="B52" s="2527"/>
      <c r="C52" s="2527"/>
      <c r="D52" s="252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1"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1168</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1" t="s">
        <v>1633</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1" t="s">
        <v>313</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t="s">
        <v>2143</v>
      </c>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1323</v>
      </c>
      <c r="B70" s="2154"/>
      <c r="C70" s="2154"/>
      <c r="D70" s="2154"/>
      <c r="E70" s="2155"/>
      <c r="F70" s="2155"/>
      <c r="G70" s="2155"/>
      <c r="H70" s="2155"/>
      <c r="I70" s="215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1320</v>
      </c>
      <c r="B83" s="2156"/>
      <c r="C83" s="2156"/>
      <c r="D83" s="215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8" t="s">
        <v>2144</v>
      </c>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2072</v>
      </c>
      <c r="D114" s="214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1330</v>
      </c>
      <c r="D117" s="2149"/>
      <c r="E117" s="2150"/>
      <c r="F117" s="2150"/>
      <c r="G117" s="2150"/>
      <c r="H117" s="2150"/>
      <c r="I117" s="304"/>
    </row>
    <row r="118" spans="1:9" s="181" customFormat="1" ht="24" customHeight="1" x14ac:dyDescent="0.2">
      <c r="A118" s="316"/>
      <c r="B118" s="316"/>
      <c r="C118" s="316"/>
      <c r="D118" s="323" t="s">
        <v>2155</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6" t="str">
        <f>'Single Audit Cover'!A7</f>
        <v>Colona SD 190</v>
      </c>
      <c r="C1" s="2537"/>
      <c r="D1" s="2537"/>
      <c r="E1" s="2537"/>
      <c r="F1" s="2537"/>
      <c r="G1" s="2537"/>
      <c r="H1" s="2537"/>
      <c r="I1" s="2537"/>
      <c r="J1" s="1403"/>
    </row>
    <row r="2" spans="2:10" s="317" customFormat="1" ht="12.75" customHeight="1" x14ac:dyDescent="0.2">
      <c r="B2" s="2538">
        <f>'Single Audit Cover'!E7</f>
        <v>28037190002</v>
      </c>
      <c r="C2" s="2539"/>
      <c r="D2" s="2539"/>
      <c r="E2" s="2539"/>
      <c r="F2" s="2539"/>
      <c r="G2" s="2539"/>
      <c r="H2" s="2539"/>
      <c r="I2" s="2539"/>
      <c r="J2" s="1403"/>
    </row>
    <row r="3" spans="2:10" s="317" customFormat="1" ht="12.75" customHeight="1" x14ac:dyDescent="0.2">
      <c r="B3" s="2540" t="s">
        <v>1285</v>
      </c>
      <c r="C3" s="2541"/>
      <c r="D3" s="2541"/>
      <c r="E3" s="2541"/>
      <c r="F3" s="2541"/>
      <c r="G3" s="2541"/>
      <c r="H3" s="2541"/>
      <c r="I3" s="2541"/>
      <c r="J3" s="1404"/>
    </row>
    <row r="4" spans="2:10" s="317" customFormat="1" ht="12.75" customHeight="1" x14ac:dyDescent="0.2">
      <c r="B4" s="2540" t="str">
        <f>'Single Audit Cover'!A4</f>
        <v>Year Ending June 30, 2019</v>
      </c>
      <c r="C4" s="2541"/>
      <c r="D4" s="2541"/>
      <c r="E4" s="2541"/>
      <c r="F4" s="2541"/>
      <c r="G4" s="2541"/>
      <c r="H4" s="2541"/>
      <c r="I4" s="2541"/>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40" t="s">
        <v>1284</v>
      </c>
      <c r="C7" s="2541"/>
      <c r="D7" s="2541"/>
      <c r="E7" s="2541"/>
      <c r="F7" s="2541"/>
      <c r="G7" s="2541"/>
      <c r="H7" s="2541"/>
      <c r="I7" s="2541"/>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42"/>
      <c r="D11" s="2542"/>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43"/>
      <c r="E29" s="2543"/>
      <c r="F29" s="2543"/>
      <c r="G29" s="2543"/>
      <c r="H29" s="2543"/>
      <c r="I29" s="2543"/>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544" t="s">
        <v>1751</v>
      </c>
      <c r="D37" s="2545"/>
      <c r="E37" s="2545"/>
      <c r="F37" s="2546"/>
      <c r="G37" s="2544" t="s">
        <v>1592</v>
      </c>
      <c r="H37" s="2545"/>
      <c r="I37" s="2546"/>
    </row>
    <row r="38" spans="2:9" ht="16.5" customHeight="1" x14ac:dyDescent="0.2">
      <c r="B38" s="1425"/>
      <c r="C38" s="2532"/>
      <c r="D38" s="2533"/>
      <c r="E38" s="2533"/>
      <c r="F38" s="2534"/>
      <c r="G38" s="2547"/>
      <c r="H38" s="2548"/>
      <c r="I38" s="2549"/>
    </row>
    <row r="39" spans="2:9" ht="16.5" customHeight="1" x14ac:dyDescent="0.2">
      <c r="B39" s="1425"/>
      <c r="C39" s="2532"/>
      <c r="D39" s="2533"/>
      <c r="E39" s="2533"/>
      <c r="F39" s="2534"/>
      <c r="G39" s="2535"/>
      <c r="H39" s="2535"/>
      <c r="I39" s="2535"/>
    </row>
    <row r="40" spans="2:9" ht="16.5" customHeight="1" x14ac:dyDescent="0.2">
      <c r="B40" s="1425"/>
      <c r="C40" s="2532"/>
      <c r="D40" s="2533"/>
      <c r="E40" s="2533"/>
      <c r="F40" s="2534"/>
      <c r="G40" s="2535"/>
      <c r="H40" s="2535"/>
      <c r="I40" s="2535"/>
    </row>
    <row r="41" spans="2:9" ht="16.5" customHeight="1" x14ac:dyDescent="0.2">
      <c r="B41" s="1425"/>
      <c r="C41" s="2532"/>
      <c r="D41" s="2533"/>
      <c r="E41" s="2533"/>
      <c r="F41" s="2534"/>
      <c r="G41" s="2535"/>
      <c r="H41" s="2535"/>
      <c r="I41" s="2535"/>
    </row>
    <row r="42" spans="2:9" ht="16.5" customHeight="1" x14ac:dyDescent="0.2">
      <c r="B42" s="1425"/>
      <c r="C42" s="2532"/>
      <c r="D42" s="2533"/>
      <c r="E42" s="2533"/>
      <c r="F42" s="2534"/>
      <c r="G42" s="2535"/>
      <c r="H42" s="2535"/>
      <c r="I42" s="2535"/>
    </row>
    <row r="43" spans="2:9" ht="16.5" customHeight="1" x14ac:dyDescent="0.2">
      <c r="B43" s="1425"/>
      <c r="C43" s="2550" t="s">
        <v>1593</v>
      </c>
      <c r="D43" s="2551"/>
      <c r="E43" s="2551"/>
      <c r="F43" s="2552"/>
      <c r="G43" s="2553">
        <f>SUM(G38:I42)</f>
        <v>0</v>
      </c>
      <c r="H43" s="2553"/>
      <c r="I43" s="2553"/>
    </row>
    <row r="44" spans="2:9" ht="12.75" customHeight="1" x14ac:dyDescent="0.2"/>
    <row r="45" spans="2:9" ht="12.75" customHeight="1" x14ac:dyDescent="0.2">
      <c r="B45" s="1416" t="s">
        <v>1841</v>
      </c>
      <c r="D45" s="2554">
        <v>0</v>
      </c>
      <c r="E45" s="2555"/>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556"/>
      <c r="F49" s="2556"/>
      <c r="G49" s="2556"/>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5"/>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6" t="s">
        <v>2075</v>
      </c>
      <c r="C1" s="2536"/>
      <c r="D1" s="2536"/>
      <c r="E1" s="2536"/>
      <c r="F1" s="2536"/>
      <c r="G1" s="2536"/>
      <c r="H1" s="2536"/>
      <c r="I1" s="2536"/>
      <c r="J1" s="2536"/>
      <c r="K1" s="2536"/>
      <c r="L1" s="1368"/>
      <c r="M1" s="1368"/>
    </row>
    <row r="2" spans="1:13" ht="12" customHeight="1" x14ac:dyDescent="0.2">
      <c r="B2" s="2538" t="s">
        <v>2073</v>
      </c>
      <c r="C2" s="2538"/>
      <c r="D2" s="2538"/>
      <c r="E2" s="2538"/>
      <c r="F2" s="2538"/>
      <c r="G2" s="2538"/>
      <c r="H2" s="2538"/>
      <c r="I2" s="2538"/>
      <c r="J2" s="2538"/>
      <c r="K2" s="2538"/>
      <c r="L2" s="1369"/>
      <c r="M2" s="1370"/>
    </row>
    <row r="3" spans="1:13" ht="10.35" customHeight="1" x14ac:dyDescent="0.2">
      <c r="B3" s="2559" t="s">
        <v>1285</v>
      </c>
      <c r="C3" s="2559"/>
      <c r="D3" s="2559"/>
      <c r="E3" s="2559"/>
      <c r="F3" s="2559"/>
      <c r="G3" s="2559"/>
      <c r="H3" s="2559"/>
      <c r="I3" s="2559"/>
      <c r="J3" s="2559"/>
      <c r="K3" s="2559"/>
      <c r="L3" s="1934"/>
      <c r="M3" s="1934"/>
    </row>
    <row r="4" spans="1:13" ht="14.25" customHeight="1" x14ac:dyDescent="0.2">
      <c r="B4" s="2560" t="s">
        <v>1989</v>
      </c>
      <c r="C4" s="2560"/>
      <c r="D4" s="2560"/>
      <c r="E4" s="2560"/>
      <c r="F4" s="2560"/>
      <c r="G4" s="2560"/>
      <c r="H4" s="2560"/>
      <c r="I4" s="2560"/>
      <c r="J4" s="2560"/>
      <c r="K4" s="256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60" t="s">
        <v>1296</v>
      </c>
      <c r="C7" s="2560"/>
      <c r="D7" s="2561"/>
      <c r="E7" s="2561"/>
      <c r="F7" s="2561"/>
      <c r="G7" s="2561"/>
      <c r="H7" s="2561"/>
      <c r="I7" s="2561"/>
      <c r="J7" s="2561"/>
      <c r="K7" s="256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t="s">
        <v>2070</v>
      </c>
      <c r="J10" s="1384" t="s">
        <v>1293</v>
      </c>
      <c r="K10" s="322"/>
      <c r="L10" s="1375"/>
    </row>
    <row r="11" spans="1:13" ht="13.5" customHeight="1" x14ac:dyDescent="0.2">
      <c r="B11" s="322"/>
      <c r="C11" s="322"/>
      <c r="D11" s="322"/>
      <c r="E11" s="322"/>
      <c r="F11" s="322"/>
      <c r="G11" s="1377"/>
      <c r="H11" s="322"/>
      <c r="I11" s="1385" t="s">
        <v>1292</v>
      </c>
      <c r="J11" s="322"/>
      <c r="K11" s="1386">
        <v>1986</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8" t="s">
        <v>2100</v>
      </c>
      <c r="C14" s="2558"/>
      <c r="D14" s="2558"/>
      <c r="E14" s="2558"/>
      <c r="F14" s="2558"/>
      <c r="G14" s="2558"/>
      <c r="H14" s="2558"/>
      <c r="I14" s="2558"/>
      <c r="J14" s="2558"/>
      <c r="K14" s="255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8" t="s">
        <v>2101</v>
      </c>
      <c r="C17" s="2558"/>
      <c r="D17" s="2558"/>
      <c r="E17" s="2558"/>
      <c r="F17" s="2558"/>
      <c r="G17" s="2558"/>
      <c r="H17" s="2558"/>
      <c r="I17" s="2558"/>
      <c r="J17" s="2558"/>
      <c r="K17" s="2558"/>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62" t="s">
        <v>2102</v>
      </c>
      <c r="C20" s="2562"/>
      <c r="D20" s="2558"/>
      <c r="E20" s="2558"/>
      <c r="F20" s="2558"/>
      <c r="G20" s="2558"/>
      <c r="H20" s="2558"/>
      <c r="I20" s="2558"/>
      <c r="J20" s="2558"/>
      <c r="K20" s="255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8" t="s">
        <v>2103</v>
      </c>
      <c r="C23" s="2558"/>
      <c r="D23" s="2558"/>
      <c r="E23" s="2558"/>
      <c r="F23" s="2558"/>
      <c r="G23" s="2558"/>
      <c r="H23" s="2558"/>
      <c r="I23" s="2558"/>
      <c r="J23" s="2558"/>
      <c r="K23" s="255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8" t="s">
        <v>2104</v>
      </c>
      <c r="C26" s="2558"/>
      <c r="D26" s="2558"/>
      <c r="E26" s="2558"/>
      <c r="F26" s="2558"/>
      <c r="G26" s="2558"/>
      <c r="H26" s="2558"/>
      <c r="I26" s="2558"/>
      <c r="J26" s="2558"/>
      <c r="K26" s="255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7" t="s">
        <v>2105</v>
      </c>
      <c r="C29" s="2557"/>
      <c r="D29" s="2558"/>
      <c r="E29" s="2558"/>
      <c r="F29" s="2558"/>
      <c r="G29" s="2558"/>
      <c r="H29" s="2558"/>
      <c r="I29" s="2558"/>
      <c r="J29" s="2558"/>
      <c r="K29" s="255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5.75" customHeight="1" x14ac:dyDescent="0.2">
      <c r="B32" s="2557" t="s">
        <v>2140</v>
      </c>
      <c r="C32" s="2557"/>
      <c r="D32" s="2558"/>
      <c r="E32" s="2558"/>
      <c r="F32" s="2558"/>
      <c r="G32" s="2558"/>
      <c r="H32" s="2558"/>
      <c r="I32" s="2558"/>
      <c r="J32" s="2558"/>
      <c r="K32" s="2558"/>
      <c r="L32" s="1375"/>
    </row>
    <row r="33" spans="1:13" s="322" customFormat="1" ht="4.5" customHeight="1" x14ac:dyDescent="0.2">
      <c r="B33" s="1396"/>
      <c r="C33" s="1396"/>
      <c r="G33" s="1377"/>
      <c r="I33" s="1377"/>
      <c r="L33" s="1375"/>
    </row>
    <row r="34" spans="1:13" s="322" customFormat="1" ht="11.1" customHeight="1" x14ac:dyDescent="0.2">
      <c r="B34" s="1935" t="s">
        <v>2106</v>
      </c>
      <c r="C34" s="1936"/>
      <c r="D34" s="1937"/>
      <c r="E34" s="1937"/>
      <c r="F34" s="1937"/>
      <c r="G34" s="1938"/>
      <c r="H34" s="1937"/>
      <c r="I34" s="1938"/>
      <c r="J34" s="1937"/>
      <c r="K34" s="1939"/>
      <c r="L34" s="1375"/>
    </row>
    <row r="35" spans="1:13" s="322" customFormat="1" ht="13.5" customHeight="1" x14ac:dyDescent="0.2">
      <c r="B35" s="1940" t="s">
        <v>2107</v>
      </c>
      <c r="C35" s="1941"/>
      <c r="D35" s="1942"/>
      <c r="E35" s="1943"/>
      <c r="F35" s="1944" t="s">
        <v>2108</v>
      </c>
      <c r="G35" s="1945"/>
      <c r="H35" s="1946"/>
      <c r="I35" s="1947"/>
      <c r="J35" s="1948"/>
      <c r="K35" s="1949"/>
      <c r="L35" s="1375"/>
    </row>
    <row r="36" spans="1:13" s="322" customFormat="1" ht="13.5" customHeight="1" x14ac:dyDescent="0.2">
      <c r="B36" s="1940" t="s">
        <v>2109</v>
      </c>
      <c r="C36" s="1941"/>
      <c r="D36" s="1950"/>
      <c r="E36" s="1946"/>
      <c r="F36" s="1951" t="s">
        <v>2110</v>
      </c>
      <c r="G36" s="1945"/>
      <c r="H36" s="1946"/>
      <c r="I36" s="1947"/>
      <c r="J36" s="1948"/>
      <c r="K36" s="1949"/>
      <c r="L36" s="1375"/>
      <c r="M36" s="1952"/>
    </row>
    <row r="37" spans="1:13" s="322" customFormat="1" ht="11.45" customHeight="1" x14ac:dyDescent="0.2">
      <c r="B37" s="1953"/>
      <c r="C37" s="1948"/>
      <c r="D37" s="1948"/>
      <c r="E37" s="1948"/>
      <c r="F37" s="1948"/>
      <c r="G37" s="1954"/>
      <c r="H37" s="1948"/>
      <c r="I37" s="1954"/>
      <c r="J37" s="1948"/>
      <c r="K37" s="1955"/>
      <c r="L37" s="1375"/>
    </row>
    <row r="38" spans="1:13" s="322" customFormat="1" ht="8.25" customHeight="1" x14ac:dyDescent="0.2">
      <c r="A38" s="1291"/>
      <c r="B38" s="1398"/>
      <c r="C38" s="1398"/>
      <c r="D38" s="1398"/>
      <c r="E38" s="1398"/>
      <c r="F38" s="1398"/>
      <c r="G38" s="1399"/>
      <c r="H38" s="1398"/>
      <c r="I38" s="1399"/>
      <c r="J38" s="1398"/>
      <c r="K38" s="1398"/>
      <c r="L38" s="1375"/>
    </row>
    <row r="39" spans="1:13" ht="11.85" customHeight="1" x14ac:dyDescent="0.2">
      <c r="B39" s="1400" t="s">
        <v>1745</v>
      </c>
      <c r="C39" s="1400"/>
      <c r="D39" s="322"/>
      <c r="E39" s="322"/>
      <c r="F39" s="322"/>
      <c r="L39" s="1375"/>
    </row>
    <row r="40" spans="1:13" ht="9.6" customHeight="1" x14ac:dyDescent="0.2">
      <c r="B40" s="1294" t="s">
        <v>2111</v>
      </c>
      <c r="C40" s="1294"/>
      <c r="L40" s="1375"/>
    </row>
    <row r="41" spans="1:13" ht="9.6" customHeight="1" x14ac:dyDescent="0.2">
      <c r="B41" s="1294" t="s">
        <v>2112</v>
      </c>
      <c r="C41" s="1294"/>
    </row>
    <row r="42" spans="1:13" ht="11.85" customHeight="1" x14ac:dyDescent="0.2">
      <c r="B42" s="1401" t="s">
        <v>1746</v>
      </c>
      <c r="C42" s="1401"/>
    </row>
    <row r="43" spans="1:13" ht="9.6" customHeight="1" x14ac:dyDescent="0.2">
      <c r="B43" s="1294" t="s">
        <v>1286</v>
      </c>
      <c r="C43" s="1294"/>
      <c r="M43" s="1402"/>
    </row>
    <row r="44" spans="1:13" ht="12.6" customHeight="1" x14ac:dyDescent="0.2">
      <c r="B44" s="1401" t="s">
        <v>1747</v>
      </c>
      <c r="C44" s="1401"/>
      <c r="M44" s="1402"/>
    </row>
    <row r="45" spans="1:13" ht="9.6" customHeight="1" x14ac:dyDescent="0.2">
      <c r="B45" s="1294"/>
      <c r="C45" s="1294"/>
      <c r="M45"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5"/>
  <sheetViews>
    <sheetView showGridLines="0" zoomScale="110" zoomScaleNormal="110" workbookViewId="0"/>
  </sheetViews>
  <sheetFormatPr defaultColWidth="9.140625" defaultRowHeight="12" x14ac:dyDescent="0.2"/>
  <cols>
    <col min="1" max="1" width="1.5703125" style="1276" customWidth="1"/>
    <col min="2" max="2" width="21.42578125" style="1276" customWidth="1"/>
    <col min="3" max="3" width="6.140625" style="1276" customWidth="1"/>
    <col min="4" max="4" width="4.42578125" style="1276" customWidth="1"/>
    <col min="5" max="5" width="3.5703125" style="1276" customWidth="1"/>
    <col min="6" max="6" width="20.140625" style="1276" customWidth="1"/>
    <col min="7" max="7" width="3.5703125" style="1958" customWidth="1"/>
    <col min="8" max="8" width="10.5703125" style="1276" customWidth="1"/>
    <col min="9" max="9" width="3.42578125" style="1958" customWidth="1"/>
    <col min="10" max="10" width="15.42578125" style="1276" customWidth="1"/>
    <col min="11" max="11" width="8.5703125" style="1276" customWidth="1"/>
    <col min="12" max="12" width="1.42578125" style="1276" customWidth="1"/>
    <col min="13" max="13" width="3.42578125" style="1276" customWidth="1"/>
    <col min="14" max="16384" width="9.140625" style="1276"/>
  </cols>
  <sheetData>
    <row r="1" spans="2:13" ht="11.1" customHeight="1" x14ac:dyDescent="0.2">
      <c r="B1" s="2536" t="s">
        <v>2075</v>
      </c>
      <c r="C1" s="2536"/>
      <c r="D1" s="2536"/>
      <c r="E1" s="2536"/>
      <c r="F1" s="2536"/>
      <c r="G1" s="2536"/>
      <c r="H1" s="2536"/>
      <c r="I1" s="2536"/>
      <c r="J1" s="2536"/>
      <c r="K1" s="2536"/>
      <c r="L1" s="1956"/>
      <c r="M1" s="1956"/>
    </row>
    <row r="2" spans="2:13" ht="12" customHeight="1" x14ac:dyDescent="0.2">
      <c r="B2" s="2538" t="s">
        <v>2073</v>
      </c>
      <c r="C2" s="2538"/>
      <c r="D2" s="2538"/>
      <c r="E2" s="2538"/>
      <c r="F2" s="2538"/>
      <c r="G2" s="2538"/>
      <c r="H2" s="2538"/>
      <c r="I2" s="2538"/>
      <c r="J2" s="2538"/>
      <c r="K2" s="2538"/>
      <c r="L2" s="1369"/>
      <c r="M2" s="1957"/>
    </row>
    <row r="3" spans="2:13" ht="10.35" customHeight="1" x14ac:dyDescent="0.2">
      <c r="B3" s="2559" t="s">
        <v>1285</v>
      </c>
      <c r="C3" s="2559"/>
      <c r="D3" s="2559"/>
      <c r="E3" s="2559"/>
      <c r="F3" s="2559"/>
      <c r="G3" s="2559"/>
      <c r="H3" s="2559"/>
      <c r="I3" s="2559"/>
      <c r="J3" s="2559"/>
      <c r="K3" s="2559"/>
      <c r="L3" s="1934"/>
      <c r="M3" s="1934"/>
    </row>
    <row r="4" spans="2:13" ht="14.25" customHeight="1" x14ac:dyDescent="0.2">
      <c r="B4" s="2560" t="s">
        <v>1989</v>
      </c>
      <c r="C4" s="2560"/>
      <c r="D4" s="2560"/>
      <c r="E4" s="2560"/>
      <c r="F4" s="2560"/>
      <c r="G4" s="2560"/>
      <c r="H4" s="2560"/>
      <c r="I4" s="2560"/>
      <c r="J4" s="2560"/>
      <c r="K4" s="2560"/>
      <c r="L4" s="313"/>
      <c r="M4" s="313"/>
    </row>
    <row r="5" spans="2:13" ht="7.5" customHeight="1" x14ac:dyDescent="0.2">
      <c r="B5" s="1270" t="s">
        <v>1169</v>
      </c>
      <c r="C5" s="1270"/>
    </row>
    <row r="6" spans="2:13" ht="7.5" customHeight="1" x14ac:dyDescent="0.2">
      <c r="B6" s="1959"/>
      <c r="C6" s="1959"/>
      <c r="D6" s="1388"/>
      <c r="E6" s="1388"/>
      <c r="F6" s="1388"/>
      <c r="G6" s="1389"/>
      <c r="H6" s="1388"/>
      <c r="I6" s="1389"/>
      <c r="J6" s="1388"/>
      <c r="K6" s="1388"/>
      <c r="L6" s="1390"/>
    </row>
    <row r="7" spans="2:13" ht="12.75" customHeight="1" x14ac:dyDescent="0.2">
      <c r="B7" s="2560" t="s">
        <v>1296</v>
      </c>
      <c r="C7" s="2560"/>
      <c r="D7" s="2563"/>
      <c r="E7" s="2563"/>
      <c r="F7" s="2563"/>
      <c r="G7" s="2563"/>
      <c r="H7" s="2563"/>
      <c r="I7" s="2563"/>
      <c r="J7" s="2563"/>
      <c r="K7" s="2563"/>
      <c r="L7" s="1960"/>
    </row>
    <row r="8" spans="2:13" ht="7.5" customHeight="1" x14ac:dyDescent="0.2">
      <c r="B8" s="328"/>
      <c r="C8" s="328"/>
      <c r="D8" s="328"/>
      <c r="E8" s="328"/>
      <c r="F8" s="328"/>
      <c r="G8" s="1459"/>
      <c r="H8" s="328"/>
      <c r="I8" s="1459"/>
      <c r="J8" s="328"/>
      <c r="K8" s="328"/>
      <c r="L8" s="1390"/>
    </row>
    <row r="9" spans="2:13" ht="9.6" customHeight="1" x14ac:dyDescent="0.2">
      <c r="B9" s="1388"/>
      <c r="C9" s="1388"/>
      <c r="D9" s="1388"/>
      <c r="E9" s="1388"/>
      <c r="F9" s="1388"/>
      <c r="G9" s="1389"/>
      <c r="H9" s="1388"/>
      <c r="I9" s="1389"/>
      <c r="J9" s="1388"/>
      <c r="K9" s="1388"/>
      <c r="L9" s="1390"/>
    </row>
    <row r="10" spans="2:13" ht="16.5" customHeight="1" x14ac:dyDescent="0.2">
      <c r="B10" s="1378" t="s">
        <v>1742</v>
      </c>
      <c r="C10" s="1961" t="s">
        <v>1991</v>
      </c>
      <c r="D10" s="1962">
        <v>2</v>
      </c>
      <c r="E10" s="328"/>
      <c r="F10" s="1381" t="s">
        <v>1295</v>
      </c>
      <c r="G10" s="1963"/>
      <c r="H10" s="1964" t="s">
        <v>1294</v>
      </c>
      <c r="I10" s="1963" t="s">
        <v>2070</v>
      </c>
      <c r="J10" s="1384" t="s">
        <v>1293</v>
      </c>
      <c r="K10" s="328"/>
      <c r="L10" s="1390"/>
    </row>
    <row r="11" spans="2:13" ht="13.5" customHeight="1" x14ac:dyDescent="0.2">
      <c r="B11" s="328"/>
      <c r="C11" s="328"/>
      <c r="D11" s="328"/>
      <c r="E11" s="328"/>
      <c r="F11" s="328"/>
      <c r="G11" s="1459"/>
      <c r="H11" s="328"/>
      <c r="I11" s="1965" t="s">
        <v>1292</v>
      </c>
      <c r="J11" s="328"/>
      <c r="K11" s="1966">
        <v>2007</v>
      </c>
      <c r="L11" s="1390"/>
    </row>
    <row r="12" spans="2:13" ht="13.5" customHeight="1" x14ac:dyDescent="0.2">
      <c r="B12" s="1281"/>
      <c r="C12" s="1281"/>
      <c r="D12" s="328"/>
      <c r="E12" s="328"/>
      <c r="F12" s="328"/>
      <c r="G12" s="1459"/>
      <c r="H12" s="328"/>
      <c r="I12" s="1459"/>
      <c r="J12" s="328"/>
      <c r="L12" s="1390"/>
    </row>
    <row r="13" spans="2:13" ht="13.5" customHeight="1" x14ac:dyDescent="0.2">
      <c r="B13" s="1387" t="s">
        <v>1291</v>
      </c>
      <c r="C13" s="1967"/>
      <c r="D13" s="1388"/>
      <c r="E13" s="1388"/>
      <c r="F13" s="1388"/>
      <c r="G13" s="1389"/>
      <c r="H13" s="1388"/>
      <c r="I13" s="1389"/>
      <c r="J13" s="1388"/>
      <c r="K13" s="1388"/>
      <c r="L13" s="1390"/>
    </row>
    <row r="14" spans="2:13" ht="66.75" customHeight="1" x14ac:dyDescent="0.2">
      <c r="B14" s="2558" t="s">
        <v>2113</v>
      </c>
      <c r="C14" s="2558"/>
      <c r="D14" s="2558"/>
      <c r="E14" s="2558"/>
      <c r="F14" s="2558"/>
      <c r="G14" s="2558"/>
      <c r="H14" s="2558"/>
      <c r="I14" s="2558"/>
      <c r="J14" s="2558"/>
      <c r="K14" s="2558"/>
      <c r="L14" s="1968"/>
    </row>
    <row r="15" spans="2:13" ht="4.5" customHeight="1" x14ac:dyDescent="0.2">
      <c r="B15" s="1418"/>
      <c r="C15" s="1418"/>
      <c r="D15" s="1969"/>
      <c r="E15" s="1969"/>
      <c r="F15" s="1969"/>
      <c r="H15" s="1969"/>
      <c r="J15" s="1969"/>
      <c r="K15" s="1969"/>
      <c r="L15" s="1968"/>
    </row>
    <row r="16" spans="2:13" ht="13.5" customHeight="1" x14ac:dyDescent="0.2">
      <c r="B16" s="1387" t="s">
        <v>1290</v>
      </c>
      <c r="C16" s="1967"/>
      <c r="D16" s="1388"/>
      <c r="E16" s="1388"/>
      <c r="F16" s="1388"/>
      <c r="G16" s="1389"/>
      <c r="H16" s="1388"/>
      <c r="I16" s="1389"/>
      <c r="J16" s="1388"/>
      <c r="K16" s="1388"/>
      <c r="L16" s="1390"/>
    </row>
    <row r="17" spans="2:12" ht="53.25" customHeight="1" x14ac:dyDescent="0.2">
      <c r="B17" s="2558" t="s">
        <v>2114</v>
      </c>
      <c r="C17" s="2558"/>
      <c r="D17" s="2558"/>
      <c r="E17" s="2558"/>
      <c r="F17" s="2558"/>
      <c r="G17" s="2558"/>
      <c r="H17" s="2558"/>
      <c r="I17" s="2558"/>
      <c r="J17" s="2558"/>
      <c r="K17" s="2558"/>
      <c r="L17" s="1390"/>
    </row>
    <row r="18" spans="2:12" ht="4.5" customHeight="1" x14ac:dyDescent="0.2">
      <c r="B18" s="1418"/>
      <c r="C18" s="1418"/>
      <c r="L18" s="1390"/>
    </row>
    <row r="19" spans="2:12" ht="13.5" customHeight="1" x14ac:dyDescent="0.2">
      <c r="B19" s="1387" t="s">
        <v>1743</v>
      </c>
      <c r="C19" s="1967"/>
      <c r="D19" s="1388"/>
      <c r="E19" s="1388"/>
      <c r="F19" s="1388"/>
      <c r="G19" s="1389"/>
      <c r="H19" s="1388"/>
      <c r="I19" s="1389"/>
      <c r="J19" s="1388"/>
      <c r="K19" s="1388"/>
      <c r="L19" s="1390"/>
    </row>
    <row r="20" spans="2:12" ht="30.75" customHeight="1" x14ac:dyDescent="0.2">
      <c r="B20" s="2562" t="s">
        <v>2115</v>
      </c>
      <c r="C20" s="2562"/>
      <c r="D20" s="2558"/>
      <c r="E20" s="2558"/>
      <c r="F20" s="2558"/>
      <c r="G20" s="2558"/>
      <c r="H20" s="2558"/>
      <c r="I20" s="2558"/>
      <c r="J20" s="2558"/>
      <c r="K20" s="2558"/>
      <c r="L20" s="1390"/>
    </row>
    <row r="21" spans="2:12" ht="4.5" customHeight="1" x14ac:dyDescent="0.2">
      <c r="B21" s="1970"/>
      <c r="C21" s="1970"/>
      <c r="L21" s="1390"/>
    </row>
    <row r="22" spans="2:12" ht="13.5" customHeight="1" x14ac:dyDescent="0.2">
      <c r="B22" s="1387" t="s">
        <v>1289</v>
      </c>
      <c r="C22" s="1967"/>
      <c r="D22" s="1388"/>
      <c r="E22" s="1388"/>
      <c r="F22" s="1388"/>
      <c r="G22" s="1389"/>
      <c r="H22" s="1388"/>
      <c r="I22" s="1389"/>
      <c r="J22" s="1388"/>
      <c r="K22" s="1388"/>
      <c r="L22" s="1390"/>
    </row>
    <row r="23" spans="2:12" ht="40.5" customHeight="1" x14ac:dyDescent="0.2">
      <c r="B23" s="2558" t="s">
        <v>2116</v>
      </c>
      <c r="C23" s="2558"/>
      <c r="D23" s="2558"/>
      <c r="E23" s="2558"/>
      <c r="F23" s="2558"/>
      <c r="G23" s="2558"/>
      <c r="H23" s="2558"/>
      <c r="I23" s="2558"/>
      <c r="J23" s="2558"/>
      <c r="K23" s="2558"/>
      <c r="L23" s="1390"/>
    </row>
    <row r="24" spans="2:12" ht="4.5" customHeight="1" x14ac:dyDescent="0.2">
      <c r="B24" s="1418"/>
      <c r="C24" s="1418"/>
      <c r="L24" s="1390"/>
    </row>
    <row r="25" spans="2:12" ht="13.5" customHeight="1" x14ac:dyDescent="0.2">
      <c r="B25" s="1387" t="s">
        <v>1288</v>
      </c>
      <c r="C25" s="1967"/>
      <c r="D25" s="1388"/>
      <c r="E25" s="1388"/>
      <c r="F25" s="1388"/>
      <c r="G25" s="1389"/>
      <c r="H25" s="1388"/>
      <c r="I25" s="1389"/>
      <c r="J25" s="1388"/>
      <c r="K25" s="1388"/>
      <c r="L25" s="1390"/>
    </row>
    <row r="26" spans="2:12" ht="45.75" customHeight="1" x14ac:dyDescent="0.2">
      <c r="B26" s="2558" t="s">
        <v>2117</v>
      </c>
      <c r="C26" s="2558"/>
      <c r="D26" s="2558"/>
      <c r="E26" s="2558"/>
      <c r="F26" s="2558"/>
      <c r="G26" s="2558"/>
      <c r="H26" s="2558"/>
      <c r="I26" s="2558"/>
      <c r="J26" s="2558"/>
      <c r="K26" s="2558"/>
      <c r="L26" s="1390"/>
    </row>
    <row r="27" spans="2:12" ht="4.5" customHeight="1" x14ac:dyDescent="0.2">
      <c r="B27" s="1418"/>
      <c r="C27" s="1418"/>
      <c r="L27" s="1390"/>
    </row>
    <row r="28" spans="2:12" ht="13.5" customHeight="1" x14ac:dyDescent="0.2">
      <c r="B28" s="1395" t="s">
        <v>1287</v>
      </c>
      <c r="C28" s="1959"/>
      <c r="D28" s="1388"/>
      <c r="E28" s="1388"/>
      <c r="F28" s="1388"/>
      <c r="G28" s="1389"/>
      <c r="H28" s="1388"/>
      <c r="I28" s="1389"/>
      <c r="J28" s="1388"/>
      <c r="K28" s="1388"/>
      <c r="L28" s="1390"/>
    </row>
    <row r="29" spans="2:12" ht="37.5" customHeight="1" x14ac:dyDescent="0.2">
      <c r="B29" s="2557" t="s">
        <v>2118</v>
      </c>
      <c r="C29" s="2557"/>
      <c r="D29" s="2558"/>
      <c r="E29" s="2558"/>
      <c r="F29" s="2558"/>
      <c r="G29" s="2558"/>
      <c r="H29" s="2558"/>
      <c r="I29" s="2558"/>
      <c r="J29" s="2558"/>
      <c r="K29" s="2558"/>
      <c r="L29" s="1390"/>
    </row>
    <row r="30" spans="2:12" ht="4.5" customHeight="1" x14ac:dyDescent="0.2">
      <c r="B30" s="1971"/>
      <c r="C30" s="1971"/>
      <c r="D30" s="328"/>
      <c r="E30" s="328"/>
      <c r="F30" s="328"/>
      <c r="G30" s="1459"/>
      <c r="H30" s="328"/>
      <c r="I30" s="1459"/>
      <c r="J30" s="328"/>
      <c r="K30" s="328"/>
      <c r="L30" s="1390"/>
    </row>
    <row r="31" spans="2:12" s="328" customFormat="1" ht="13.5" customHeight="1" x14ac:dyDescent="0.2">
      <c r="B31" s="1397" t="s">
        <v>1744</v>
      </c>
      <c r="C31" s="1972"/>
      <c r="D31" s="1959"/>
      <c r="E31" s="1388"/>
      <c r="F31" s="1388"/>
      <c r="G31" s="1389"/>
      <c r="H31" s="1388"/>
      <c r="I31" s="1389"/>
      <c r="J31" s="1388"/>
      <c r="K31" s="1388"/>
      <c r="L31" s="1390"/>
    </row>
    <row r="32" spans="2:12" s="328" customFormat="1" ht="58.5" customHeight="1" x14ac:dyDescent="0.2">
      <c r="B32" s="2557" t="s">
        <v>2119</v>
      </c>
      <c r="C32" s="2557"/>
      <c r="D32" s="2558"/>
      <c r="E32" s="2558"/>
      <c r="F32" s="2558"/>
      <c r="G32" s="2558"/>
      <c r="H32" s="2558"/>
      <c r="I32" s="2558"/>
      <c r="J32" s="2558"/>
      <c r="K32" s="2558"/>
      <c r="L32" s="1390"/>
    </row>
    <row r="33" spans="1:13" s="328" customFormat="1" ht="4.5" customHeight="1" x14ac:dyDescent="0.2">
      <c r="B33" s="1971"/>
      <c r="C33" s="1971"/>
      <c r="G33" s="1459"/>
      <c r="I33" s="1459"/>
      <c r="L33" s="1390"/>
    </row>
    <row r="34" spans="1:13" s="328" customFormat="1" ht="11.1" customHeight="1" x14ac:dyDescent="0.2">
      <c r="B34" s="1935" t="s">
        <v>2106</v>
      </c>
      <c r="C34" s="1936"/>
      <c r="D34" s="1973"/>
      <c r="E34" s="1973"/>
      <c r="F34" s="1973"/>
      <c r="G34" s="1974"/>
      <c r="H34" s="1973"/>
      <c r="I34" s="1974"/>
      <c r="J34" s="1973"/>
      <c r="K34" s="1975"/>
      <c r="L34" s="1390"/>
    </row>
    <row r="35" spans="1:13" s="328" customFormat="1" ht="13.5" customHeight="1" x14ac:dyDescent="0.2">
      <c r="B35" s="1976" t="s">
        <v>2107</v>
      </c>
      <c r="C35" s="1977"/>
      <c r="D35" s="1978"/>
      <c r="E35" s="1979"/>
      <c r="F35" s="1945" t="s">
        <v>2108</v>
      </c>
      <c r="G35" s="1945"/>
      <c r="H35" s="1980"/>
      <c r="I35" s="1981"/>
      <c r="J35" s="1982"/>
      <c r="K35" s="1983"/>
      <c r="L35" s="1390"/>
    </row>
    <row r="36" spans="1:13" s="328" customFormat="1" ht="13.5" customHeight="1" x14ac:dyDescent="0.2">
      <c r="B36" s="1976" t="s">
        <v>2109</v>
      </c>
      <c r="C36" s="1977"/>
      <c r="D36" s="1984"/>
      <c r="E36" s="1980"/>
      <c r="F36" s="1980" t="s">
        <v>2110</v>
      </c>
      <c r="G36" s="1945"/>
      <c r="H36" s="1980"/>
      <c r="I36" s="1981"/>
      <c r="J36" s="1982"/>
      <c r="K36" s="1983"/>
      <c r="L36" s="1390"/>
      <c r="M36" s="1985"/>
    </row>
    <row r="37" spans="1:13" s="328" customFormat="1" ht="11.45" customHeight="1" x14ac:dyDescent="0.2">
      <c r="B37" s="1986"/>
      <c r="C37" s="1982"/>
      <c r="D37" s="1982"/>
      <c r="E37" s="1982"/>
      <c r="F37" s="1982"/>
      <c r="G37" s="1987"/>
      <c r="H37" s="1982"/>
      <c r="I37" s="1987"/>
      <c r="J37" s="1982"/>
      <c r="K37" s="1988"/>
      <c r="L37" s="1390"/>
    </row>
    <row r="38" spans="1:13" s="328" customFormat="1" ht="8.25" customHeight="1" x14ac:dyDescent="0.2">
      <c r="A38" s="1989"/>
      <c r="B38" s="1990"/>
      <c r="C38" s="1990"/>
      <c r="D38" s="1990"/>
      <c r="E38" s="1990"/>
      <c r="F38" s="1990"/>
      <c r="G38" s="1991"/>
      <c r="H38" s="1990"/>
      <c r="I38" s="1991"/>
      <c r="J38" s="1990"/>
      <c r="K38" s="1990"/>
      <c r="L38" s="1390"/>
    </row>
    <row r="39" spans="1:13" ht="11.85" customHeight="1" x14ac:dyDescent="0.2">
      <c r="B39" s="1400" t="s">
        <v>1745</v>
      </c>
      <c r="C39" s="1992"/>
      <c r="D39" s="328"/>
      <c r="E39" s="328"/>
      <c r="F39" s="328"/>
      <c r="L39" s="1390"/>
    </row>
    <row r="40" spans="1:13" ht="9.6" customHeight="1" x14ac:dyDescent="0.2">
      <c r="B40" s="1294" t="s">
        <v>2111</v>
      </c>
      <c r="L40" s="1390"/>
    </row>
    <row r="41" spans="1:13" ht="9.6" customHeight="1" x14ac:dyDescent="0.2">
      <c r="B41" s="1294" t="s">
        <v>2112</v>
      </c>
    </row>
    <row r="42" spans="1:13" ht="11.85" customHeight="1" x14ac:dyDescent="0.2">
      <c r="B42" s="1401" t="s">
        <v>1746</v>
      </c>
      <c r="C42" s="1993"/>
    </row>
    <row r="43" spans="1:13" ht="9.6" customHeight="1" x14ac:dyDescent="0.2">
      <c r="B43" s="1294" t="s">
        <v>1286</v>
      </c>
      <c r="M43" s="1994"/>
    </row>
    <row r="44" spans="1:13" ht="12.6" customHeight="1" x14ac:dyDescent="0.2">
      <c r="B44" s="1401" t="s">
        <v>1747</v>
      </c>
      <c r="C44" s="1993"/>
      <c r="M44" s="1994"/>
    </row>
    <row r="45" spans="1:13" ht="9.6" customHeight="1" x14ac:dyDescent="0.2">
      <c r="M45" s="199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6" t="str">
        <f>'Single Audit Cover'!A7</f>
        <v>Colona SD 190</v>
      </c>
      <c r="C1" s="2536"/>
      <c r="D1" s="2536"/>
      <c r="E1" s="2536"/>
      <c r="F1" s="2536"/>
      <c r="G1" s="2536"/>
      <c r="H1" s="2536"/>
      <c r="I1" s="2536"/>
      <c r="J1" s="2536"/>
      <c r="K1" s="2536"/>
      <c r="L1" s="1368"/>
      <c r="M1" s="1368"/>
    </row>
    <row r="2" spans="1:13" ht="12" customHeight="1" x14ac:dyDescent="0.2">
      <c r="B2" s="2538">
        <f>'Single Audit Cover'!E7</f>
        <v>28037190002</v>
      </c>
      <c r="C2" s="2538"/>
      <c r="D2" s="2538"/>
      <c r="E2" s="2538"/>
      <c r="F2" s="2538"/>
      <c r="G2" s="2538"/>
      <c r="H2" s="2538"/>
      <c r="I2" s="2538"/>
      <c r="J2" s="2538"/>
      <c r="K2" s="2538"/>
      <c r="L2" s="1369"/>
      <c r="M2" s="1370"/>
    </row>
    <row r="3" spans="1:13" ht="10.35" customHeight="1" x14ac:dyDescent="0.2">
      <c r="B3" s="2559" t="s">
        <v>1285</v>
      </c>
      <c r="C3" s="2559"/>
      <c r="D3" s="2559"/>
      <c r="E3" s="2559"/>
      <c r="F3" s="2559"/>
      <c r="G3" s="2559"/>
      <c r="H3" s="2559"/>
      <c r="I3" s="2559"/>
      <c r="J3" s="2559"/>
      <c r="K3" s="2559"/>
      <c r="L3" s="1371"/>
      <c r="M3" s="1371"/>
    </row>
    <row r="4" spans="1:13" ht="14.25" customHeight="1" x14ac:dyDescent="0.2">
      <c r="B4" s="2560" t="str">
        <f>'Single Audit Cover'!A4</f>
        <v>Year Ending June 30, 2019</v>
      </c>
      <c r="C4" s="2560"/>
      <c r="D4" s="2560"/>
      <c r="E4" s="2560"/>
      <c r="F4" s="2560"/>
      <c r="G4" s="2560"/>
      <c r="H4" s="2560"/>
      <c r="I4" s="2560"/>
      <c r="J4" s="2560"/>
      <c r="K4" s="2560"/>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60" t="s">
        <v>1296</v>
      </c>
      <c r="C7" s="2560"/>
      <c r="D7" s="2561"/>
      <c r="E7" s="2561"/>
      <c r="F7" s="2561"/>
      <c r="G7" s="2561"/>
      <c r="H7" s="2561"/>
      <c r="I7" s="2561"/>
      <c r="J7" s="2561"/>
      <c r="K7" s="2561"/>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58"/>
      <c r="C14" s="2558"/>
      <c r="D14" s="2558"/>
      <c r="E14" s="2558"/>
      <c r="F14" s="2558"/>
      <c r="G14" s="2558"/>
      <c r="H14" s="2558"/>
      <c r="I14" s="2558"/>
      <c r="J14" s="2558"/>
      <c r="K14" s="2558"/>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58"/>
      <c r="C17" s="2558"/>
      <c r="D17" s="2558"/>
      <c r="E17" s="2558"/>
      <c r="F17" s="2558"/>
      <c r="G17" s="2558"/>
      <c r="H17" s="2558"/>
      <c r="I17" s="2558"/>
      <c r="J17" s="2558"/>
      <c r="K17" s="2558"/>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562"/>
      <c r="C20" s="2562"/>
      <c r="D20" s="2558"/>
      <c r="E20" s="2558"/>
      <c r="F20" s="2558"/>
      <c r="G20" s="2558"/>
      <c r="H20" s="2558"/>
      <c r="I20" s="2558"/>
      <c r="J20" s="2558"/>
      <c r="K20" s="2558"/>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58"/>
      <c r="C23" s="2558"/>
      <c r="D23" s="2558"/>
      <c r="E23" s="2558"/>
      <c r="F23" s="2558"/>
      <c r="G23" s="2558"/>
      <c r="H23" s="2558"/>
      <c r="I23" s="2558"/>
      <c r="J23" s="2558"/>
      <c r="K23" s="2558"/>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58"/>
      <c r="C26" s="2558"/>
      <c r="D26" s="2558"/>
      <c r="E26" s="2558"/>
      <c r="F26" s="2558"/>
      <c r="G26" s="2558"/>
      <c r="H26" s="2558"/>
      <c r="I26" s="2558"/>
      <c r="J26" s="2558"/>
      <c r="K26" s="2558"/>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57"/>
      <c r="C29" s="2557"/>
      <c r="D29" s="2558"/>
      <c r="E29" s="2558"/>
      <c r="F29" s="2558"/>
      <c r="G29" s="2558"/>
      <c r="H29" s="2558"/>
      <c r="I29" s="2558"/>
      <c r="J29" s="2558"/>
      <c r="K29" s="2558"/>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557"/>
      <c r="C32" s="2557"/>
      <c r="D32" s="2558"/>
      <c r="E32" s="2558"/>
      <c r="F32" s="2558"/>
      <c r="G32" s="2558"/>
      <c r="H32" s="2558"/>
      <c r="I32" s="2558"/>
      <c r="J32" s="2558"/>
      <c r="K32" s="2558"/>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4" t="str">
        <f>'Single Audit Cover'!A7</f>
        <v>Colona SD 190</v>
      </c>
      <c r="C1" s="2564"/>
      <c r="D1" s="2564"/>
      <c r="E1" s="2564"/>
      <c r="F1" s="2564"/>
      <c r="G1" s="2564"/>
      <c r="H1" s="2564"/>
      <c r="I1" s="2564"/>
      <c r="J1" s="2564"/>
      <c r="K1" s="2564"/>
      <c r="L1" s="1446"/>
    </row>
    <row r="2" spans="1:12" ht="12.75" customHeight="1" x14ac:dyDescent="0.2">
      <c r="B2" s="2565">
        <f>'Single Audit Cover'!E7</f>
        <v>28037190002</v>
      </c>
      <c r="C2" s="2565"/>
      <c r="D2" s="2565"/>
      <c r="E2" s="2565"/>
      <c r="F2" s="2565"/>
      <c r="G2" s="2565"/>
      <c r="H2" s="2565"/>
      <c r="I2" s="2565"/>
      <c r="J2" s="2565"/>
      <c r="K2" s="2565"/>
      <c r="L2" s="1447"/>
    </row>
    <row r="3" spans="1:12" ht="12.75" customHeight="1" x14ac:dyDescent="0.2">
      <c r="B3" s="2559" t="s">
        <v>1285</v>
      </c>
      <c r="C3" s="2559"/>
      <c r="D3" s="2559"/>
      <c r="E3" s="2559"/>
      <c r="F3" s="2559"/>
      <c r="G3" s="2559"/>
      <c r="H3" s="2559"/>
      <c r="I3" s="2559"/>
      <c r="J3" s="2559"/>
      <c r="K3" s="2559"/>
      <c r="L3" s="1371"/>
    </row>
    <row r="4" spans="1:12" ht="12.75" customHeight="1" x14ac:dyDescent="0.2">
      <c r="B4" s="2559" t="str">
        <f>'Single Audit Cover'!A4</f>
        <v>Year Ending June 30, 2019</v>
      </c>
      <c r="C4" s="2559"/>
      <c r="D4" s="2559"/>
      <c r="E4" s="2559"/>
      <c r="F4" s="2559"/>
      <c r="G4" s="2559"/>
      <c r="H4" s="2559"/>
      <c r="I4" s="2559"/>
      <c r="J4" s="2559"/>
      <c r="K4" s="2559"/>
      <c r="L4" s="1371"/>
    </row>
    <row r="5" spans="1:12" ht="5.25" customHeight="1" x14ac:dyDescent="0.2">
      <c r="B5" s="1254" t="s">
        <v>1169</v>
      </c>
      <c r="C5" s="1254"/>
      <c r="L5" s="322"/>
    </row>
    <row r="6" spans="1:12" ht="30.75" customHeight="1" x14ac:dyDescent="0.2">
      <c r="A6" s="322"/>
      <c r="B6" s="2566" t="s">
        <v>1308</v>
      </c>
      <c r="C6" s="2566"/>
      <c r="D6" s="2566"/>
      <c r="E6" s="2566"/>
      <c r="F6" s="2566"/>
      <c r="G6" s="2566"/>
      <c r="H6" s="2566"/>
      <c r="I6" s="2566"/>
      <c r="J6" s="2566"/>
      <c r="K6" s="256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43"/>
      <c r="G12" s="2543"/>
      <c r="H12" s="2543"/>
      <c r="I12" s="2543"/>
      <c r="J12" s="2543"/>
      <c r="K12" s="2543"/>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67"/>
      <c r="E14" s="2567"/>
      <c r="F14" s="2567"/>
      <c r="H14" s="1456" t="s">
        <v>1303</v>
      </c>
      <c r="I14" s="2568"/>
      <c r="J14" s="2568"/>
      <c r="K14" s="256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68"/>
      <c r="E16" s="2568"/>
      <c r="F16" s="2568"/>
      <c r="G16" s="2568"/>
      <c r="H16" s="2568"/>
      <c r="I16" s="2568"/>
      <c r="J16" s="2568"/>
      <c r="K16" s="2568"/>
      <c r="L16" s="322"/>
    </row>
    <row r="17" spans="2:12" ht="13.5" customHeight="1" x14ac:dyDescent="0.2">
      <c r="B17" s="1381" t="s">
        <v>1301</v>
      </c>
      <c r="C17" s="1381"/>
      <c r="D17" s="2569"/>
      <c r="E17" s="2569"/>
      <c r="F17" s="2569"/>
      <c r="G17" s="2569"/>
      <c r="H17" s="2569"/>
      <c r="I17" s="2569"/>
      <c r="J17" s="2569"/>
      <c r="K17" s="256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58"/>
      <c r="C20" s="2558"/>
      <c r="D20" s="2558"/>
      <c r="E20" s="2558"/>
      <c r="F20" s="2558"/>
      <c r="G20" s="2558"/>
      <c r="H20" s="2558"/>
      <c r="I20" s="2558"/>
      <c r="J20" s="2558"/>
      <c r="K20" s="2558"/>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558"/>
      <c r="C23" s="2558"/>
      <c r="D23" s="2558"/>
      <c r="E23" s="2558"/>
      <c r="F23" s="2558"/>
      <c r="G23" s="2558"/>
      <c r="H23" s="2558"/>
      <c r="I23" s="2558"/>
      <c r="J23" s="2558"/>
      <c r="K23" s="2558"/>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558"/>
      <c r="C26" s="2558"/>
      <c r="D26" s="2558"/>
      <c r="E26" s="2558"/>
      <c r="F26" s="2558"/>
      <c r="G26" s="2558"/>
      <c r="H26" s="2558"/>
      <c r="I26" s="2558"/>
      <c r="J26" s="2558"/>
      <c r="K26" s="2558"/>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558"/>
      <c r="C29" s="2558"/>
      <c r="D29" s="2558"/>
      <c r="E29" s="2558"/>
      <c r="F29" s="2558"/>
      <c r="G29" s="2558"/>
      <c r="H29" s="2558"/>
      <c r="I29" s="2558"/>
      <c r="J29" s="2558"/>
      <c r="K29" s="2558"/>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58"/>
      <c r="C32" s="2558"/>
      <c r="D32" s="2558"/>
      <c r="E32" s="2558"/>
      <c r="F32" s="2558"/>
      <c r="G32" s="2558"/>
      <c r="H32" s="2558"/>
      <c r="I32" s="2558"/>
      <c r="J32" s="2558"/>
      <c r="K32" s="2558"/>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58"/>
      <c r="C35" s="2558"/>
      <c r="D35" s="2558"/>
      <c r="E35" s="2558"/>
      <c r="F35" s="2558"/>
      <c r="G35" s="2558"/>
      <c r="H35" s="2558"/>
      <c r="I35" s="2558"/>
      <c r="J35" s="2558"/>
      <c r="K35" s="2558"/>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58"/>
      <c r="C38" s="2558"/>
      <c r="D38" s="2558"/>
      <c r="E38" s="2558"/>
      <c r="F38" s="2558"/>
      <c r="G38" s="2558"/>
      <c r="H38" s="2558"/>
      <c r="I38" s="2558"/>
      <c r="J38" s="2558"/>
      <c r="K38" s="2558"/>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558"/>
      <c r="C41" s="2558"/>
      <c r="D41" s="2558"/>
      <c r="E41" s="2558"/>
      <c r="F41" s="2558"/>
      <c r="G41" s="2558"/>
      <c r="H41" s="2558"/>
      <c r="I41" s="2558"/>
      <c r="J41" s="2558"/>
      <c r="K41" s="2558"/>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36" t="str">
        <f>'Single Audit Cover'!A7</f>
        <v>Colona SD 190</v>
      </c>
      <c r="C1" s="2536"/>
      <c r="D1" s="2536"/>
      <c r="E1" s="1466"/>
    </row>
    <row r="2" spans="2:5" s="1276" customFormat="1" ht="12.75" customHeight="1" x14ac:dyDescent="0.2">
      <c r="B2" s="2538">
        <f>'Single Audit Cover'!E7</f>
        <v>28037190002</v>
      </c>
      <c r="C2" s="2538"/>
      <c r="D2" s="2538"/>
      <c r="E2" s="1467"/>
    </row>
    <row r="3" spans="2:5" ht="12.75" customHeight="1" x14ac:dyDescent="0.2">
      <c r="B3" s="2559" t="s">
        <v>1766</v>
      </c>
      <c r="C3" s="2559"/>
      <c r="D3" s="2559"/>
      <c r="E3" s="1268"/>
    </row>
    <row r="4" spans="2:5" s="1276" customFormat="1" ht="12.75" customHeight="1" x14ac:dyDescent="0.2">
      <c r="B4" s="2570" t="str">
        <f>'Single Audit Cover'!A4</f>
        <v>Year Ending June 30, 2019</v>
      </c>
      <c r="C4" s="2570"/>
      <c r="D4" s="257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2094</v>
      </c>
      <c r="C7" s="324" t="s">
        <v>2092</v>
      </c>
      <c r="D7" s="324" t="s">
        <v>2093</v>
      </c>
      <c r="E7" s="324"/>
    </row>
    <row r="8" spans="2:5" ht="13.5" customHeight="1" x14ac:dyDescent="0.2">
      <c r="B8" s="1471" t="s">
        <v>2095</v>
      </c>
      <c r="C8" s="324" t="s">
        <v>2141</v>
      </c>
      <c r="D8" s="324" t="s">
        <v>2096</v>
      </c>
      <c r="E8" s="324"/>
    </row>
    <row r="9" spans="2:5" ht="13.5" customHeight="1" x14ac:dyDescent="0.2">
      <c r="B9" s="1472"/>
      <c r="C9" s="323" t="s">
        <v>2142</v>
      </c>
      <c r="D9" s="323"/>
      <c r="E9" s="323"/>
    </row>
    <row r="10" spans="2:5" ht="13.5" customHeight="1" x14ac:dyDescent="0.2">
      <c r="B10" s="1471" t="s">
        <v>2097</v>
      </c>
      <c r="C10" s="323" t="s">
        <v>2098</v>
      </c>
      <c r="D10" s="323" t="s">
        <v>2099</v>
      </c>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1996" customWidth="1"/>
    <col min="2" max="2" width="11.28515625" style="1996" customWidth="1"/>
    <col min="3" max="3" width="6.42578125" style="1996" customWidth="1"/>
    <col min="4" max="4" width="5.42578125" style="1996" customWidth="1"/>
    <col min="5" max="5" width="74.7109375" style="1996" customWidth="1"/>
    <col min="6" max="6" width="1.5703125" style="1996" customWidth="1"/>
    <col min="7" max="8" width="2.42578125" style="1996" customWidth="1"/>
    <col min="9" max="9" width="9.28515625" style="1996" customWidth="1"/>
    <col min="10" max="10" width="14.42578125" style="1996" customWidth="1"/>
    <col min="11" max="11" width="7.28515625" style="1996" customWidth="1"/>
    <col min="12" max="12" width="3.140625" style="1996" customWidth="1"/>
    <col min="13" max="16384" width="9.140625" style="1996"/>
  </cols>
  <sheetData>
    <row r="1" spans="2:12" ht="13.5" customHeight="1" x14ac:dyDescent="0.2">
      <c r="B1" s="2572" t="s">
        <v>2075</v>
      </c>
      <c r="C1" s="2572"/>
      <c r="D1" s="2572"/>
      <c r="E1" s="2572"/>
      <c r="F1" s="1995"/>
      <c r="G1" s="1995"/>
      <c r="H1" s="1995"/>
      <c r="I1" s="1995"/>
      <c r="J1" s="1995"/>
      <c r="K1" s="1995"/>
      <c r="L1" s="1995"/>
    </row>
    <row r="2" spans="2:12" ht="13.5" customHeight="1" x14ac:dyDescent="0.2">
      <c r="B2" s="2573">
        <f>SSPAF!B2</f>
        <v>28037190002</v>
      </c>
      <c r="C2" s="2573"/>
      <c r="D2" s="2573"/>
      <c r="E2" s="2573"/>
      <c r="F2" s="1997"/>
      <c r="G2" s="1997"/>
      <c r="H2" s="1997"/>
      <c r="I2" s="1997"/>
      <c r="J2" s="1997"/>
      <c r="K2" s="1997"/>
      <c r="L2" s="1997"/>
    </row>
    <row r="3" spans="2:12" ht="13.5" customHeight="1" x14ac:dyDescent="0.2">
      <c r="B3" s="2574" t="s">
        <v>2120</v>
      </c>
      <c r="C3" s="2574"/>
      <c r="D3" s="2574"/>
      <c r="E3" s="2574"/>
      <c r="F3" s="1998"/>
      <c r="G3" s="1998"/>
      <c r="H3" s="1998"/>
      <c r="I3" s="1998"/>
      <c r="J3" s="1998"/>
      <c r="K3" s="1998"/>
      <c r="L3" s="1998"/>
    </row>
    <row r="4" spans="2:12" ht="13.5" customHeight="1" x14ac:dyDescent="0.2">
      <c r="B4" s="2575" t="s">
        <v>1989</v>
      </c>
      <c r="C4" s="2575"/>
      <c r="D4" s="2575"/>
      <c r="E4" s="2575"/>
      <c r="F4" s="1999"/>
      <c r="G4" s="1999"/>
      <c r="H4" s="1999"/>
      <c r="I4" s="1999"/>
      <c r="J4" s="1999"/>
      <c r="K4" s="1999"/>
      <c r="L4" s="1999"/>
    </row>
    <row r="5" spans="2:12" ht="29.85" customHeight="1" x14ac:dyDescent="0.2"/>
    <row r="6" spans="2:12" ht="13.5" customHeight="1" x14ac:dyDescent="0.2">
      <c r="B6" s="2000" t="s">
        <v>2121</v>
      </c>
      <c r="C6" s="2000"/>
      <c r="D6" s="2001"/>
      <c r="E6" s="2002"/>
      <c r="F6" s="2002"/>
      <c r="G6" s="2003"/>
      <c r="H6" s="2003"/>
      <c r="I6" s="2003"/>
    </row>
    <row r="7" spans="2:12" ht="13.5" customHeight="1" x14ac:dyDescent="0.2">
      <c r="B7" s="1996" t="s">
        <v>1169</v>
      </c>
    </row>
    <row r="8" spans="2:12" ht="13.5" customHeight="1" x14ac:dyDescent="0.2">
      <c r="B8" s="2004" t="s">
        <v>2122</v>
      </c>
      <c r="C8" s="2005" t="s">
        <v>1991</v>
      </c>
      <c r="D8" s="2006">
        <v>1</v>
      </c>
    </row>
    <row r="9" spans="2:12" ht="13.5" customHeight="1" x14ac:dyDescent="0.2">
      <c r="B9" s="2007"/>
      <c r="C9" s="2007"/>
      <c r="D9" s="2007"/>
    </row>
    <row r="10" spans="2:12" ht="13.5" customHeight="1" x14ac:dyDescent="0.2">
      <c r="B10" s="2004" t="s">
        <v>2123</v>
      </c>
      <c r="C10" s="2004"/>
    </row>
    <row r="11" spans="2:12" ht="66.75" customHeight="1" x14ac:dyDescent="0.2">
      <c r="B11" s="2571" t="s">
        <v>2124</v>
      </c>
      <c r="C11" s="2571"/>
      <c r="D11" s="2571"/>
      <c r="E11" s="2571"/>
    </row>
    <row r="12" spans="2:12" ht="13.5" customHeight="1" x14ac:dyDescent="0.2"/>
    <row r="13" spans="2:12" ht="13.5" customHeight="1" x14ac:dyDescent="0.2">
      <c r="B13" s="2004" t="s">
        <v>2125</v>
      </c>
      <c r="C13" s="2004"/>
    </row>
    <row r="14" spans="2:12" ht="76.5" customHeight="1" x14ac:dyDescent="0.2">
      <c r="B14" s="2571" t="s">
        <v>2126</v>
      </c>
      <c r="C14" s="2571"/>
      <c r="D14" s="2571"/>
      <c r="E14" s="2571"/>
    </row>
    <row r="15" spans="2:12" ht="13.5" customHeight="1" x14ac:dyDescent="0.2"/>
    <row r="16" spans="2:12" ht="13.5" customHeight="1" x14ac:dyDescent="0.2">
      <c r="B16" s="2004" t="s">
        <v>2127</v>
      </c>
      <c r="C16" s="2004"/>
      <c r="E16" s="2008" t="s">
        <v>2128</v>
      </c>
    </row>
    <row r="17" spans="2:5" ht="13.5" customHeight="1" x14ac:dyDescent="0.2"/>
    <row r="18" spans="2:5" ht="13.5" customHeight="1" x14ac:dyDescent="0.2">
      <c r="B18" s="2004" t="s">
        <v>2129</v>
      </c>
      <c r="C18" s="2004"/>
      <c r="E18" s="2009" t="s">
        <v>2134</v>
      </c>
    </row>
    <row r="19" spans="2:5" ht="13.5" customHeight="1" x14ac:dyDescent="0.2"/>
    <row r="20" spans="2:5" ht="13.5" customHeight="1" x14ac:dyDescent="0.2">
      <c r="B20" s="2004" t="s">
        <v>2130</v>
      </c>
      <c r="C20" s="2004"/>
      <c r="E20" s="2009" t="s">
        <v>2131</v>
      </c>
    </row>
    <row r="21" spans="2:5" ht="13.5" customHeight="1" x14ac:dyDescent="0.2">
      <c r="E21" s="2009" t="s">
        <v>2132</v>
      </c>
    </row>
    <row r="22" spans="2:5" ht="13.5" customHeight="1" x14ac:dyDescent="0.2">
      <c r="E22" s="2009"/>
    </row>
    <row r="23" spans="2:5" ht="13.5" customHeight="1" x14ac:dyDescent="0.2"/>
    <row r="24" spans="2:5" ht="13.5" customHeight="1" x14ac:dyDescent="0.2"/>
    <row r="25" spans="2:5" ht="13.5" customHeight="1" x14ac:dyDescent="0.2">
      <c r="B25" s="2010"/>
      <c r="C25" s="2010"/>
      <c r="D25" s="2010"/>
    </row>
    <row r="26" spans="2:5" ht="13.5" customHeight="1" x14ac:dyDescent="0.2">
      <c r="B26" s="2010"/>
      <c r="C26" s="2010"/>
      <c r="D26" s="2010"/>
    </row>
    <row r="27" spans="2:5" ht="13.5" customHeight="1" x14ac:dyDescent="0.2">
      <c r="B27" s="2010"/>
      <c r="C27" s="2010"/>
      <c r="D27" s="201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11"/>
      <c r="C35" s="2011"/>
      <c r="D35" s="2011"/>
    </row>
    <row r="36" spans="2:5" ht="13.5" customHeight="1" x14ac:dyDescent="0.2"/>
    <row r="37" spans="2:5" ht="13.5" customHeight="1" x14ac:dyDescent="0.2">
      <c r="B37" s="2011"/>
      <c r="C37" s="2011"/>
      <c r="D37" s="2011"/>
    </row>
    <row r="38" spans="2:5" ht="13.5" customHeight="1" x14ac:dyDescent="0.2">
      <c r="B38" s="2011"/>
      <c r="C38" s="2011"/>
      <c r="D38" s="2011"/>
    </row>
    <row r="39" spans="2:5" ht="13.5" customHeight="1" x14ac:dyDescent="0.2">
      <c r="B39" s="2011"/>
      <c r="C39" s="2011"/>
      <c r="D39" s="2011"/>
    </row>
    <row r="40" spans="2:5" ht="13.5" customHeight="1" x14ac:dyDescent="0.2">
      <c r="B40" s="2011"/>
      <c r="C40" s="2011"/>
      <c r="D40" s="2011"/>
    </row>
    <row r="41" spans="2:5" ht="13.5" customHeight="1" x14ac:dyDescent="0.2">
      <c r="B41" s="2012"/>
      <c r="C41" s="2012"/>
      <c r="D41" s="2012"/>
      <c r="E41" s="2012"/>
    </row>
    <row r="42" spans="2:5" ht="12.2" customHeight="1" x14ac:dyDescent="0.2">
      <c r="B42" s="2013" t="s">
        <v>2133</v>
      </c>
      <c r="C42" s="2013"/>
      <c r="D42" s="2013"/>
    </row>
    <row r="43" spans="2:5" ht="12.2" customHeight="1" x14ac:dyDescent="0.2">
      <c r="B43" s="2014"/>
      <c r="C43" s="2014"/>
      <c r="D43" s="2014"/>
    </row>
    <row r="44" spans="2:5" ht="12.75" customHeight="1" x14ac:dyDescent="0.2">
      <c r="B44" s="2004"/>
      <c r="C44" s="2004"/>
      <c r="D44" s="2004"/>
    </row>
    <row r="45" spans="2:5" ht="12.75" customHeight="1" x14ac:dyDescent="0.2">
      <c r="B45" s="2004"/>
      <c r="C45" s="2004"/>
      <c r="D45" s="2004"/>
    </row>
    <row r="46" spans="2:5" x14ac:dyDescent="0.2">
      <c r="B46" s="2004"/>
      <c r="C46" s="2004"/>
      <c r="D46" s="2004"/>
    </row>
    <row r="47" spans="2:5" x14ac:dyDescent="0.2">
      <c r="B47" s="2004"/>
      <c r="C47" s="2004"/>
      <c r="D47" s="2004"/>
    </row>
    <row r="51" spans="2:4" x14ac:dyDescent="0.2">
      <c r="B51" s="2015"/>
      <c r="C51" s="2015"/>
      <c r="D51" s="201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16"/>
      <c r="C64" s="2016"/>
      <c r="D64" s="2016"/>
    </row>
    <row r="65" spans="2:4" x14ac:dyDescent="0.2">
      <c r="B65" s="2004"/>
      <c r="C65" s="2004"/>
      <c r="D65" s="2004"/>
    </row>
    <row r="66" spans="2:4" x14ac:dyDescent="0.2">
      <c r="B66" s="2004"/>
      <c r="C66" s="2004"/>
      <c r="D66" s="2004"/>
    </row>
    <row r="67" spans="2:4" x14ac:dyDescent="0.2">
      <c r="B67" s="2016"/>
      <c r="C67" s="2016"/>
      <c r="D67" s="2016"/>
    </row>
    <row r="68" spans="2:4" x14ac:dyDescent="0.2">
      <c r="B68" s="2016"/>
      <c r="C68" s="2016"/>
      <c r="D68" s="2016"/>
    </row>
    <row r="69" spans="2:4" x14ac:dyDescent="0.2">
      <c r="B69" s="2016"/>
      <c r="C69" s="2016"/>
      <c r="D69" s="2016"/>
    </row>
    <row r="70" spans="2:4" x14ac:dyDescent="0.2">
      <c r="B70" s="2004"/>
      <c r="C70" s="2004"/>
      <c r="D70" s="2004"/>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996" customWidth="1"/>
    <col min="2" max="2" width="11.28515625" style="1996" customWidth="1"/>
    <col min="3" max="3" width="6.42578125" style="1996" customWidth="1"/>
    <col min="4" max="4" width="5.42578125" style="1996" customWidth="1"/>
    <col min="5" max="5" width="74.7109375" style="1996" customWidth="1"/>
    <col min="6" max="6" width="1.5703125" style="1996" customWidth="1"/>
    <col min="7" max="8" width="2.42578125" style="1996" customWidth="1"/>
    <col min="9" max="9" width="9.28515625" style="1996" customWidth="1"/>
    <col min="10" max="10" width="14.42578125" style="1996" customWidth="1"/>
    <col min="11" max="11" width="7.28515625" style="1996" customWidth="1"/>
    <col min="12" max="12" width="3.140625" style="1996" customWidth="1"/>
    <col min="13" max="16384" width="9.140625" style="1996"/>
  </cols>
  <sheetData>
    <row r="1" spans="2:12" hidden="1" x14ac:dyDescent="0.2">
      <c r="B1" s="1996" t="str">
        <f>'CAP 2019-002'!B11:E11</f>
        <v>Colona Grade School District No. 190</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572" t="str">
        <f>'CAP 2019-001'!B1:E1</f>
        <v>Colona Grade School District No. 190</v>
      </c>
      <c r="C11" s="2572"/>
      <c r="D11" s="2572"/>
      <c r="E11" s="2572"/>
      <c r="F11" s="1995"/>
      <c r="G11" s="1995"/>
      <c r="H11" s="1995"/>
      <c r="I11" s="1995"/>
      <c r="J11" s="1995"/>
      <c r="K11" s="1995"/>
      <c r="L11" s="1995"/>
    </row>
    <row r="12" spans="2:12" ht="13.5" customHeight="1" x14ac:dyDescent="0.2">
      <c r="B12" s="2576">
        <f>'CAP 2019-001'!B2:E2</f>
        <v>28037190002</v>
      </c>
      <c r="C12" s="2576"/>
      <c r="D12" s="2576"/>
      <c r="E12" s="2576"/>
      <c r="F12" s="1997"/>
      <c r="G12" s="1997"/>
      <c r="H12" s="1997"/>
      <c r="I12" s="1997"/>
      <c r="J12" s="1997"/>
      <c r="K12" s="1997"/>
      <c r="L12" s="1997"/>
    </row>
    <row r="13" spans="2:12" ht="13.5" customHeight="1" x14ac:dyDescent="0.2">
      <c r="B13" s="2574" t="str">
        <f>'CAP 2019-001'!B3:E3</f>
        <v>CORRECTIVE ACTION PLAN FOR CURRENT YEAR AUDIT FINDINGS21</v>
      </c>
      <c r="C13" s="2574"/>
      <c r="D13" s="2574"/>
      <c r="E13" s="2574"/>
      <c r="F13" s="1998"/>
      <c r="G13" s="1998"/>
      <c r="H13" s="1998"/>
      <c r="I13" s="1998"/>
      <c r="J13" s="1998"/>
      <c r="K13" s="1998"/>
      <c r="L13" s="1998"/>
    </row>
    <row r="14" spans="2:12" ht="13.5" customHeight="1" x14ac:dyDescent="0.2">
      <c r="B14" s="2575" t="s">
        <v>1989</v>
      </c>
      <c r="C14" s="2575"/>
      <c r="D14" s="2575"/>
      <c r="E14" s="2575"/>
      <c r="F14" s="1999"/>
      <c r="G14" s="1999"/>
      <c r="H14" s="1999"/>
      <c r="I14" s="1999"/>
      <c r="J14" s="1999"/>
      <c r="K14" s="1999"/>
      <c r="L14" s="1999"/>
    </row>
    <row r="15" spans="2:12" ht="29.85" customHeight="1" x14ac:dyDescent="0.2"/>
    <row r="16" spans="2:12" ht="13.5" customHeight="1" x14ac:dyDescent="0.2">
      <c r="B16" s="2000" t="s">
        <v>2121</v>
      </c>
      <c r="C16" s="2000"/>
      <c r="D16" s="2001"/>
      <c r="E16" s="2002"/>
      <c r="F16" s="2002"/>
      <c r="G16" s="2003"/>
      <c r="H16" s="2003"/>
      <c r="I16" s="2003"/>
    </row>
    <row r="17" spans="2:5" ht="13.5" customHeight="1" x14ac:dyDescent="0.2">
      <c r="B17" s="1996" t="s">
        <v>1169</v>
      </c>
    </row>
    <row r="18" spans="2:5" ht="13.5" customHeight="1" x14ac:dyDescent="0.2">
      <c r="B18" s="2004" t="s">
        <v>2122</v>
      </c>
      <c r="C18" s="2005" t="s">
        <v>1991</v>
      </c>
      <c r="D18" s="2006">
        <v>2</v>
      </c>
    </row>
    <row r="19" spans="2:5" ht="13.5" customHeight="1" x14ac:dyDescent="0.2">
      <c r="B19" s="2007"/>
      <c r="C19" s="2007"/>
      <c r="D19" s="2007"/>
    </row>
    <row r="20" spans="2:5" ht="13.5" customHeight="1" x14ac:dyDescent="0.2">
      <c r="B20" s="2004" t="s">
        <v>2123</v>
      </c>
      <c r="C20" s="2004"/>
    </row>
    <row r="21" spans="2:5" ht="66.75" customHeight="1" x14ac:dyDescent="0.2">
      <c r="B21" s="2577" t="s">
        <v>2135</v>
      </c>
      <c r="C21" s="2571"/>
      <c r="D21" s="2571"/>
      <c r="E21" s="2571"/>
    </row>
    <row r="22" spans="2:5" ht="13.5" customHeight="1" x14ac:dyDescent="0.2"/>
    <row r="23" spans="2:5" ht="13.5" customHeight="1" x14ac:dyDescent="0.2">
      <c r="B23" s="2004" t="s">
        <v>2125</v>
      </c>
      <c r="C23" s="2004"/>
    </row>
    <row r="24" spans="2:5" ht="76.5" customHeight="1" x14ac:dyDescent="0.2">
      <c r="B24" s="2571" t="s">
        <v>2136</v>
      </c>
      <c r="C24" s="2571"/>
      <c r="D24" s="2571"/>
      <c r="E24" s="2571"/>
    </row>
    <row r="25" spans="2:5" ht="13.5" customHeight="1" x14ac:dyDescent="0.2"/>
    <row r="26" spans="2:5" ht="13.5" customHeight="1" x14ac:dyDescent="0.2">
      <c r="B26" s="2004" t="s">
        <v>2127</v>
      </c>
      <c r="C26" s="2004"/>
      <c r="E26" s="2017" t="s">
        <v>2128</v>
      </c>
    </row>
    <row r="27" spans="2:5" ht="13.5" customHeight="1" x14ac:dyDescent="0.2"/>
    <row r="28" spans="2:5" ht="13.5" customHeight="1" x14ac:dyDescent="0.2">
      <c r="B28" s="2004" t="s">
        <v>2129</v>
      </c>
      <c r="C28" s="2004"/>
      <c r="E28" s="2009" t="str">
        <f>'CAP 2019-001'!E18</f>
        <v>Carl Johnson, Superintendent</v>
      </c>
    </row>
    <row r="29" spans="2:5" ht="13.5" customHeight="1" x14ac:dyDescent="0.2"/>
    <row r="30" spans="2:5" ht="13.5" customHeight="1" x14ac:dyDescent="0.2">
      <c r="B30" s="2004" t="s">
        <v>2130</v>
      </c>
      <c r="C30" s="2004"/>
      <c r="E30" s="2009" t="s">
        <v>2137</v>
      </c>
    </row>
    <row r="31" spans="2:5" ht="13.5" customHeight="1" x14ac:dyDescent="0.2">
      <c r="E31" s="2009" t="s">
        <v>2138</v>
      </c>
    </row>
    <row r="32" spans="2:5" ht="13.5" customHeight="1" x14ac:dyDescent="0.2">
      <c r="E32" s="1996" t="s">
        <v>2139</v>
      </c>
    </row>
    <row r="33" spans="1:6" ht="13.5" customHeight="1" x14ac:dyDescent="0.2"/>
    <row r="34" spans="1:6" ht="13.5" customHeight="1" x14ac:dyDescent="0.2"/>
    <row r="35" spans="1:6" ht="13.5" customHeight="1" x14ac:dyDescent="0.2"/>
    <row r="36" spans="1:6" ht="13.5" customHeight="1" x14ac:dyDescent="0.2"/>
    <row r="37" spans="1:6" ht="13.5" customHeight="1" x14ac:dyDescent="0.2">
      <c r="B37" s="2011"/>
      <c r="C37" s="2011"/>
      <c r="D37" s="2011"/>
    </row>
    <row r="38" spans="1:6" ht="13.5" customHeight="1" x14ac:dyDescent="0.2"/>
    <row r="39" spans="1:6" ht="13.5" customHeight="1" x14ac:dyDescent="0.2">
      <c r="B39" s="2011"/>
      <c r="C39" s="2011"/>
      <c r="D39" s="2011"/>
    </row>
    <row r="40" spans="1:6" ht="13.5" customHeight="1" x14ac:dyDescent="0.2">
      <c r="B40" s="2011"/>
      <c r="C40" s="2011"/>
      <c r="D40" s="2011"/>
    </row>
    <row r="41" spans="1:6" ht="13.5" customHeight="1" x14ac:dyDescent="0.2">
      <c r="A41" s="2018"/>
      <c r="B41" s="2019"/>
      <c r="C41" s="2019"/>
      <c r="D41" s="2019"/>
      <c r="E41" s="2018"/>
      <c r="F41" s="2018"/>
    </row>
    <row r="42" spans="1:6" ht="13.5" customHeight="1" x14ac:dyDescent="0.2">
      <c r="C42" s="2011"/>
      <c r="D42" s="2011"/>
    </row>
    <row r="43" spans="1:6" ht="12.2" customHeight="1" x14ac:dyDescent="0.2">
      <c r="B43" s="2014"/>
      <c r="C43" s="2014"/>
      <c r="D43" s="2014"/>
    </row>
    <row r="44" spans="1:6" ht="12.75" customHeight="1" x14ac:dyDescent="0.2">
      <c r="B44" s="2004"/>
      <c r="C44" s="2004"/>
      <c r="D44" s="2004"/>
    </row>
    <row r="45" spans="1:6" ht="12.75" customHeight="1" x14ac:dyDescent="0.2">
      <c r="B45" s="2004"/>
      <c r="C45" s="2004"/>
      <c r="D45" s="2004"/>
    </row>
    <row r="46" spans="1:6" x14ac:dyDescent="0.2">
      <c r="B46" s="2004"/>
      <c r="C46" s="2004"/>
      <c r="D46" s="2004"/>
    </row>
    <row r="47" spans="1:6" x14ac:dyDescent="0.2">
      <c r="B47" s="2004"/>
      <c r="C47" s="2004"/>
      <c r="D47" s="2004"/>
    </row>
    <row r="51" spans="1:7" x14ac:dyDescent="0.2">
      <c r="A51" s="2012"/>
      <c r="B51" s="2020"/>
      <c r="C51" s="2020"/>
      <c r="D51" s="2020"/>
      <c r="E51" s="2012"/>
      <c r="F51" s="2012"/>
      <c r="G51" s="2012"/>
    </row>
    <row r="52" spans="1:7" ht="12.75" customHeight="1" x14ac:dyDescent="0.2">
      <c r="B52" s="2013" t="s">
        <v>2133</v>
      </c>
    </row>
    <row r="53" spans="1:7" ht="12.75" customHeight="1" x14ac:dyDescent="0.2"/>
    <row r="54" spans="1:7" ht="12.75" customHeight="1" x14ac:dyDescent="0.2"/>
    <row r="55" spans="1:7" ht="12.75" customHeight="1" x14ac:dyDescent="0.2"/>
    <row r="56" spans="1:7" ht="12.75" customHeight="1" x14ac:dyDescent="0.2"/>
    <row r="57" spans="1:7" ht="12.75" customHeight="1" x14ac:dyDescent="0.2"/>
    <row r="58" spans="1:7" ht="12.75" customHeight="1" x14ac:dyDescent="0.2"/>
    <row r="59" spans="1:7" ht="12.75" customHeight="1" x14ac:dyDescent="0.2"/>
    <row r="60" spans="1:7" ht="12.75" customHeight="1" x14ac:dyDescent="0.2"/>
    <row r="64" spans="1:7" x14ac:dyDescent="0.2">
      <c r="B64" s="2016"/>
      <c r="C64" s="2016"/>
      <c r="D64" s="2016"/>
    </row>
    <row r="65" spans="2:4" x14ac:dyDescent="0.2">
      <c r="B65" s="2004"/>
      <c r="C65" s="2004"/>
      <c r="D65" s="2004"/>
    </row>
    <row r="66" spans="2:4" x14ac:dyDescent="0.2">
      <c r="B66" s="2004"/>
      <c r="C66" s="2004"/>
      <c r="D66" s="2004"/>
    </row>
    <row r="67" spans="2:4" x14ac:dyDescent="0.2">
      <c r="B67" s="2016"/>
      <c r="C67" s="2016"/>
      <c r="D67" s="2016"/>
    </row>
    <row r="68" spans="2:4" x14ac:dyDescent="0.2">
      <c r="B68" s="2016"/>
      <c r="C68" s="2016"/>
      <c r="D68" s="2016"/>
    </row>
    <row r="69" spans="2:4" x14ac:dyDescent="0.2">
      <c r="B69" s="2016"/>
      <c r="C69" s="2016"/>
      <c r="D69" s="2016"/>
    </row>
    <row r="70" spans="2:4" x14ac:dyDescent="0.2">
      <c r="B70" s="2004"/>
      <c r="C70" s="2004"/>
      <c r="D70" s="2004"/>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386</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40820269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2.01E-2</v>
      </c>
      <c r="E10" s="356" t="s">
        <v>1005</v>
      </c>
      <c r="F10" s="355">
        <v>5.4999999999999997E-3</v>
      </c>
      <c r="G10" s="356" t="s">
        <v>1005</v>
      </c>
      <c r="H10" s="355">
        <v>1.1999999999999999E-3</v>
      </c>
      <c r="I10" s="356" t="s">
        <v>1006</v>
      </c>
      <c r="J10" s="1729">
        <f>ROUND(D10+F10+H10,5)</f>
        <v>2.6800000000000001E-2</v>
      </c>
      <c r="K10" s="222"/>
      <c r="L10" s="355">
        <v>5.0000000000000001E-4</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4249271</v>
      </c>
      <c r="E16" s="356"/>
      <c r="F16" s="1730">
        <f>SUM('Acct Summary 7-8'!C17,'Acct Summary 7-8'!D17,'Acct Summary 7-8'!F17)</f>
        <v>3680009</v>
      </c>
      <c r="G16" s="356"/>
      <c r="H16" s="1730">
        <f>SUM(D16-F16)</f>
        <v>569262</v>
      </c>
      <c r="I16" s="222"/>
      <c r="J16" s="1730">
        <f>SUM('Acct Summary 7-8'!C81,'Acct Summary 7-8'!D81,'Acct Summary 7-8'!F81,'Acct Summary 7-8'!I81)</f>
        <v>3675808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586</v>
      </c>
      <c r="D31" s="237" t="s">
        <v>1072</v>
      </c>
      <c r="E31" s="222"/>
      <c r="F31" s="222"/>
      <c r="G31" s="363"/>
      <c r="H31" s="1732">
        <f>IF(B31="X",(J7*0.069),IF(B32="X",(J7*0.138),"Enter x in a.or b."))</f>
        <v>2816598.5610000002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385000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556</v>
      </c>
      <c r="B2" s="2186"/>
      <c r="C2" s="2186"/>
      <c r="D2" s="2186"/>
      <c r="E2" s="2186"/>
      <c r="F2" s="2186"/>
      <c r="G2" s="2186"/>
      <c r="H2" s="2186"/>
      <c r="I2" s="2186"/>
      <c r="J2" s="2186"/>
      <c r="K2" s="2186"/>
      <c r="L2" s="2186"/>
      <c r="M2" s="2186"/>
      <c r="N2" s="2186"/>
      <c r="O2" s="2186"/>
      <c r="P2" s="2186"/>
      <c r="Q2" s="2186"/>
      <c r="R2" s="2186"/>
    </row>
    <row r="3" spans="1:18" ht="12.75" x14ac:dyDescent="0.2">
      <c r="A3" s="2187" t="s">
        <v>1413</v>
      </c>
      <c r="B3" s="2187"/>
      <c r="C3" s="2187"/>
      <c r="D3" s="2187"/>
      <c r="E3" s="2187"/>
      <c r="F3" s="2187"/>
      <c r="G3" s="2187"/>
      <c r="H3" s="2187"/>
      <c r="I3" s="2187"/>
      <c r="J3" s="2187"/>
      <c r="K3" s="2187"/>
      <c r="L3" s="2187"/>
      <c r="M3" s="2187"/>
      <c r="N3" s="2187"/>
      <c r="O3" s="2187"/>
      <c r="P3" s="2187"/>
      <c r="Q3" s="2187"/>
      <c r="R3" s="2187"/>
    </row>
    <row r="4" spans="1:18" x14ac:dyDescent="0.2">
      <c r="A4" s="2188" t="s">
        <v>1554</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Colona SD 190</v>
      </c>
      <c r="E7" s="391"/>
      <c r="G7" s="252"/>
      <c r="H7" s="387"/>
      <c r="I7" s="387"/>
      <c r="J7" s="387"/>
      <c r="K7" s="387"/>
      <c r="L7" s="329"/>
      <c r="M7" s="329"/>
      <c r="N7" s="329"/>
      <c r="O7" s="329"/>
      <c r="P7" s="329"/>
    </row>
    <row r="8" spans="1:18" ht="12.75" x14ac:dyDescent="0.2">
      <c r="A8" s="329"/>
      <c r="B8" s="329"/>
      <c r="C8" s="389" t="s">
        <v>1125</v>
      </c>
      <c r="D8" s="392">
        <f>COVER!A13</f>
        <v>28037190002</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3675808</v>
      </c>
      <c r="I12" s="404"/>
      <c r="J12" s="404"/>
      <c r="K12" s="405">
        <f>TRUNC((H12/H13*100000),5)/100000</f>
        <v>0.86504438049999999</v>
      </c>
      <c r="L12" s="406"/>
      <c r="M12" s="360" t="s">
        <v>1144</v>
      </c>
      <c r="N12" s="360"/>
      <c r="O12" s="407">
        <v>0.35</v>
      </c>
      <c r="P12" s="218"/>
      <c r="Q12" s="218"/>
    </row>
    <row r="13" spans="1:18" s="408" customFormat="1" ht="12.75" x14ac:dyDescent="0.2">
      <c r="A13" s="218"/>
      <c r="B13" s="401"/>
      <c r="C13" s="2184" t="s">
        <v>1324</v>
      </c>
      <c r="D13" s="2185"/>
      <c r="E13" s="218"/>
      <c r="F13" s="409" t="s">
        <v>793</v>
      </c>
      <c r="G13" s="402"/>
      <c r="H13" s="403">
        <f>SUM('Acct Summary 7-8'!C8+'Acct Summary 7-8'!D8+'Acct Summary 7-8'!F8+'Acct Summary 7-8'!I8)+H14</f>
        <v>4249271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3680009</v>
      </c>
      <c r="I17" s="404"/>
      <c r="J17" s="416"/>
      <c r="K17" s="405">
        <f>TRUNC((H17/H18*100000),5)/100000</f>
        <v>0.8660330207000001</v>
      </c>
      <c r="L17" s="406"/>
      <c r="M17" s="417" t="s">
        <v>1171</v>
      </c>
      <c r="O17" s="418" t="str">
        <f>IF(AND(O16="2", J20 &gt; 2),"1",IF(AND(O16 = "1", J20 &gt; 2),"2",IF(AND(O16="1", J20 &gt;1),"1","0")))</f>
        <v>0</v>
      </c>
      <c r="P17" s="218"/>
    </row>
    <row r="18" spans="1:18" s="408" customFormat="1" ht="11.25" x14ac:dyDescent="0.2">
      <c r="A18" s="218"/>
      <c r="B18" s="401"/>
      <c r="C18" s="2184" t="s">
        <v>1317</v>
      </c>
      <c r="D18" s="2185"/>
      <c r="E18" s="218"/>
      <c r="F18" s="419" t="s">
        <v>794</v>
      </c>
      <c r="G18" s="402"/>
      <c r="H18" s="403">
        <f>SUM('Acct Summary 7-8'!C8+'Acct Summary 7-8'!D8+'Acct Summary 7-8'!F8+'Acct Summary 7-8'!I8)+H19</f>
        <v>4249271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81" t="s">
        <v>1412</v>
      </c>
      <c r="D24" s="2181"/>
      <c r="E24" s="218"/>
      <c r="F24" s="218" t="s">
        <v>445</v>
      </c>
      <c r="G24" s="402"/>
      <c r="H24" s="403">
        <f>SUM('Assets-Liab 5-6'!C4+'Assets-Liab 5-6'!D4+'Assets-Liab 5-6'!F4+'Assets-Liab 5-6'!I4+'Assets-Liab 5-6'!C5+'Assets-Liab 5-6'!D5+'Assets-Liab 5-6'!F5+'Assets-Liab 5-6'!I5)</f>
        <v>3675808</v>
      </c>
      <c r="I24" s="422"/>
      <c r="J24" s="422"/>
      <c r="K24" s="423">
        <f>TRUNC(((H24/H25*100000)/100000),2)</f>
        <v>359.58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10222.247219999999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929885.72782000003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385000</v>
      </c>
      <c r="I32" s="420"/>
      <c r="J32" s="420"/>
      <c r="K32" s="423">
        <f>TRUNC(100-((((H32/H33*100))*100)/100),2)</f>
        <v>86.33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2816598.5610000002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J30" sqref="J30"/>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8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1" t="s">
        <v>973</v>
      </c>
      <c r="B3" s="2192"/>
      <c r="C3" s="1556"/>
      <c r="D3" s="1557"/>
      <c r="E3" s="1557"/>
      <c r="F3" s="1557"/>
      <c r="G3" s="1557"/>
      <c r="H3" s="1557"/>
      <c r="I3" s="1557"/>
      <c r="J3" s="1557"/>
      <c r="K3" s="1557"/>
      <c r="L3" s="1557"/>
      <c r="M3" s="1558"/>
      <c r="N3" s="1559"/>
    </row>
    <row r="4" spans="1:14" ht="13.5" customHeight="1" x14ac:dyDescent="0.2">
      <c r="A4" s="463" t="s">
        <v>1651</v>
      </c>
      <c r="B4" s="464"/>
      <c r="C4" s="465">
        <v>2974128</v>
      </c>
      <c r="D4" s="465">
        <v>346293</v>
      </c>
      <c r="E4" s="465">
        <v>266777</v>
      </c>
      <c r="F4" s="465">
        <v>120609</v>
      </c>
      <c r="G4" s="465">
        <v>241834</v>
      </c>
      <c r="H4" s="465">
        <v>292631</v>
      </c>
      <c r="I4" s="465">
        <v>234778</v>
      </c>
      <c r="J4" s="465">
        <v>178957</v>
      </c>
      <c r="K4" s="465">
        <v>240057</v>
      </c>
      <c r="L4" s="465">
        <v>73124</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2974128</v>
      </c>
      <c r="D13" s="1734">
        <f t="shared" ref="D13:L13" si="0">SUM(D4:D12)</f>
        <v>346293</v>
      </c>
      <c r="E13" s="1734">
        <f t="shared" si="0"/>
        <v>266777</v>
      </c>
      <c r="F13" s="1734">
        <f t="shared" si="0"/>
        <v>120609</v>
      </c>
      <c r="G13" s="1734">
        <f t="shared" si="0"/>
        <v>241834</v>
      </c>
      <c r="H13" s="1734">
        <f t="shared" si="0"/>
        <v>292631</v>
      </c>
      <c r="I13" s="1734">
        <f t="shared" si="0"/>
        <v>234778</v>
      </c>
      <c r="J13" s="1734">
        <f t="shared" si="0"/>
        <v>178957</v>
      </c>
      <c r="K13" s="1734">
        <f t="shared" si="0"/>
        <v>240057</v>
      </c>
      <c r="L13" s="1734">
        <f t="shared" si="0"/>
        <v>73124</v>
      </c>
      <c r="M13" s="468"/>
      <c r="N13" s="469"/>
    </row>
    <row r="14" spans="1:14" ht="18" customHeight="1" thickTop="1" x14ac:dyDescent="0.2">
      <c r="A14" s="2193" t="s">
        <v>147</v>
      </c>
      <c r="B14" s="2194"/>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252069</v>
      </c>
      <c r="N16" s="482"/>
    </row>
    <row r="17" spans="1:14" s="483" customFormat="1" ht="12.75" customHeight="1" x14ac:dyDescent="0.2">
      <c r="A17" s="480" t="s">
        <v>1403</v>
      </c>
      <c r="B17" s="481">
        <v>230</v>
      </c>
      <c r="C17" s="475"/>
      <c r="D17" s="475"/>
      <c r="E17" s="475"/>
      <c r="F17" s="475"/>
      <c r="G17" s="475"/>
      <c r="H17" s="475"/>
      <c r="I17" s="475"/>
      <c r="J17" s="475"/>
      <c r="K17" s="475"/>
      <c r="L17" s="475"/>
      <c r="M17" s="465">
        <v>6332178</v>
      </c>
      <c r="N17" s="482"/>
    </row>
    <row r="18" spans="1:14" s="483" customFormat="1" ht="12.75" customHeight="1" x14ac:dyDescent="0.2">
      <c r="A18" s="480" t="s">
        <v>1404</v>
      </c>
      <c r="B18" s="481">
        <v>240</v>
      </c>
      <c r="C18" s="475"/>
      <c r="D18" s="475"/>
      <c r="E18" s="475"/>
      <c r="F18" s="475"/>
      <c r="G18" s="475"/>
      <c r="H18" s="475"/>
      <c r="I18" s="475"/>
      <c r="J18" s="475"/>
      <c r="K18" s="475"/>
      <c r="L18" s="475"/>
      <c r="M18" s="465">
        <v>316837</v>
      </c>
      <c r="N18" s="482"/>
    </row>
    <row r="19" spans="1:14" s="483" customFormat="1" ht="12.75" customHeight="1" x14ac:dyDescent="0.2">
      <c r="A19" s="480" t="s">
        <v>1405</v>
      </c>
      <c r="B19" s="481">
        <v>250</v>
      </c>
      <c r="C19" s="475"/>
      <c r="D19" s="475"/>
      <c r="E19" s="475"/>
      <c r="F19" s="475"/>
      <c r="G19" s="475"/>
      <c r="H19" s="475"/>
      <c r="I19" s="475"/>
      <c r="J19" s="475"/>
      <c r="K19" s="475"/>
      <c r="L19" s="475"/>
      <c r="M19" s="465">
        <v>535003</v>
      </c>
      <c r="N19" s="482"/>
    </row>
    <row r="20" spans="1:14" s="483" customFormat="1" ht="12.75" customHeight="1" x14ac:dyDescent="0.2">
      <c r="A20" s="480" t="s">
        <v>1406</v>
      </c>
      <c r="B20" s="481">
        <v>260</v>
      </c>
      <c r="C20" s="475"/>
      <c r="D20" s="475"/>
      <c r="E20" s="475"/>
      <c r="F20" s="475"/>
      <c r="G20" s="475"/>
      <c r="H20" s="475"/>
      <c r="I20" s="475"/>
      <c r="J20" s="475"/>
      <c r="K20" s="475"/>
      <c r="L20" s="475"/>
      <c r="M20" s="465">
        <v>14900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266777</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118223</v>
      </c>
    </row>
    <row r="23" spans="1:14" ht="13.5" customHeight="1" thickBot="1" x14ac:dyDescent="0.25">
      <c r="A23" s="1733" t="s">
        <v>643</v>
      </c>
      <c r="B23" s="1738"/>
      <c r="C23" s="468"/>
      <c r="D23" s="468"/>
      <c r="E23" s="468"/>
      <c r="F23" s="468"/>
      <c r="G23" s="468"/>
      <c r="H23" s="468"/>
      <c r="I23" s="468"/>
      <c r="J23" s="468"/>
      <c r="K23" s="468"/>
      <c r="L23" s="468"/>
      <c r="M23" s="1685">
        <f>SUM(M15:M22)</f>
        <v>7450987</v>
      </c>
      <c r="N23" s="1685">
        <f>SUM(N21:N22)</f>
        <v>385000</v>
      </c>
    </row>
    <row r="24" spans="1:14" ht="18" customHeight="1" thickTop="1" x14ac:dyDescent="0.2">
      <c r="A24" s="2195" t="s">
        <v>598</v>
      </c>
      <c r="B24" s="2196"/>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47970</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47970</v>
      </c>
      <c r="M34" s="468"/>
      <c r="N34" s="478"/>
    </row>
    <row r="35" spans="1:14" ht="18" customHeight="1" thickTop="1" x14ac:dyDescent="0.2">
      <c r="A35" s="2197" t="s">
        <v>529</v>
      </c>
      <c r="B35" s="2198"/>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385000</v>
      </c>
    </row>
    <row r="37" spans="1:14" ht="13.5" thickBot="1" x14ac:dyDescent="0.25">
      <c r="A37" s="1733" t="s">
        <v>653</v>
      </c>
      <c r="B37" s="1738"/>
      <c r="C37" s="475"/>
      <c r="D37" s="475"/>
      <c r="E37" s="475"/>
      <c r="F37" s="475"/>
      <c r="G37" s="475"/>
      <c r="H37" s="475"/>
      <c r="I37" s="475"/>
      <c r="J37" s="475"/>
      <c r="K37" s="475"/>
      <c r="L37" s="478"/>
      <c r="M37" s="468"/>
      <c r="N37" s="1685">
        <f>SUM(N36:N36)</f>
        <v>385000</v>
      </c>
    </row>
    <row r="38" spans="1:14" s="329" customFormat="1" ht="13.5" customHeight="1" thickTop="1" x14ac:dyDescent="0.2">
      <c r="A38" s="493" t="s">
        <v>420</v>
      </c>
      <c r="B38" s="481">
        <v>714</v>
      </c>
      <c r="C38" s="465">
        <v>96399</v>
      </c>
      <c r="D38" s="465">
        <v>0</v>
      </c>
      <c r="E38" s="465">
        <v>76242</v>
      </c>
      <c r="F38" s="465">
        <v>0</v>
      </c>
      <c r="G38" s="465">
        <v>67351</v>
      </c>
      <c r="H38" s="465">
        <v>292631</v>
      </c>
      <c r="I38" s="465">
        <v>0</v>
      </c>
      <c r="J38" s="465">
        <v>0</v>
      </c>
      <c r="K38" s="465">
        <v>0</v>
      </c>
      <c r="L38" s="465">
        <v>25154</v>
      </c>
      <c r="M38" s="494"/>
      <c r="N38" s="494"/>
    </row>
    <row r="39" spans="1:14" s="329" customFormat="1" ht="13.5" customHeight="1" x14ac:dyDescent="0.2">
      <c r="A39" s="493" t="s">
        <v>342</v>
      </c>
      <c r="B39" s="481">
        <v>730</v>
      </c>
      <c r="C39" s="465">
        <v>2877729</v>
      </c>
      <c r="D39" s="465">
        <v>346293</v>
      </c>
      <c r="E39" s="465">
        <v>190535</v>
      </c>
      <c r="F39" s="465">
        <v>120609</v>
      </c>
      <c r="G39" s="465">
        <v>174483</v>
      </c>
      <c r="H39" s="465">
        <v>0</v>
      </c>
      <c r="I39" s="465">
        <v>234778</v>
      </c>
      <c r="J39" s="465">
        <v>178957</v>
      </c>
      <c r="K39" s="465">
        <v>240057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7450987</v>
      </c>
      <c r="N40" s="494"/>
    </row>
    <row r="41" spans="1:14" ht="13.5" customHeight="1" thickBot="1" x14ac:dyDescent="0.25">
      <c r="A41" s="1733" t="s">
        <v>655</v>
      </c>
      <c r="B41" s="1703"/>
      <c r="C41" s="1685">
        <f>(SUM(C34,C37,C38,C39))</f>
        <v>2974128</v>
      </c>
      <c r="D41" s="1685">
        <f t="shared" ref="D41:L41" si="2">SUM(D34,D37,D38:D39)</f>
        <v>346293</v>
      </c>
      <c r="E41" s="1685">
        <f t="shared" si="2"/>
        <v>266777</v>
      </c>
      <c r="F41" s="1685">
        <f t="shared" si="2"/>
        <v>120609</v>
      </c>
      <c r="G41" s="1685">
        <f t="shared" si="2"/>
        <v>241834</v>
      </c>
      <c r="H41" s="1685">
        <f t="shared" si="2"/>
        <v>292631</v>
      </c>
      <c r="I41" s="1685">
        <f t="shared" si="2"/>
        <v>234778</v>
      </c>
      <c r="J41" s="1685">
        <f t="shared" si="2"/>
        <v>178957</v>
      </c>
      <c r="K41" s="1685">
        <f t="shared" si="2"/>
        <v>240057</v>
      </c>
      <c r="L41" s="1685">
        <f t="shared" si="2"/>
        <v>73124</v>
      </c>
      <c r="M41" s="1685">
        <f>SUM(M40)</f>
        <v>7450987</v>
      </c>
      <c r="N41" s="1685">
        <f>SUM(N37)</f>
        <v>385000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J30" sqref="J30"/>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0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0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19" t="s">
        <v>1175</v>
      </c>
      <c r="B3" s="2220"/>
      <c r="C3" s="1570"/>
      <c r="D3" s="1571"/>
      <c r="E3" s="1571"/>
      <c r="F3" s="1571"/>
      <c r="G3" s="1571"/>
      <c r="H3" s="1571"/>
      <c r="I3" s="1571"/>
      <c r="J3" s="1571"/>
      <c r="K3" s="1572"/>
      <c r="L3" s="503"/>
    </row>
    <row r="4" spans="1:13" ht="15.75" customHeight="1" x14ac:dyDescent="0.2">
      <c r="A4" s="1925" t="s">
        <v>1499</v>
      </c>
      <c r="B4" s="1926">
        <v>1000</v>
      </c>
      <c r="C4" s="1739">
        <f>'Revenues 9-14'!C109</f>
        <v>1199315</v>
      </c>
      <c r="D4" s="1739">
        <f>'Revenues 9-14'!D109</f>
        <v>250362</v>
      </c>
      <c r="E4" s="1739">
        <f>'Revenues 9-14'!E109</f>
        <v>279405</v>
      </c>
      <c r="F4" s="1739">
        <f>'Revenues 9-14'!F109</f>
        <v>53629</v>
      </c>
      <c r="G4" s="1739">
        <f>'Revenues 9-14'!G109</f>
        <v>158083</v>
      </c>
      <c r="H4" s="1739">
        <f>'Revenues 9-14'!H109</f>
        <v>121708</v>
      </c>
      <c r="I4" s="1739">
        <f>'Revenues 9-14'!I109</f>
        <v>28172</v>
      </c>
      <c r="J4" s="1739">
        <f>'Revenues 9-14'!J109</f>
        <v>118048</v>
      </c>
      <c r="K4" s="1739">
        <f>'Revenues 9-14'!K109</f>
        <v>25773</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2194182</v>
      </c>
      <c r="D6" s="1740">
        <f>'Revenues 9-14'!D170</f>
        <v>0</v>
      </c>
      <c r="E6" s="1740">
        <f>'Revenues 9-14'!E170</f>
        <v>0</v>
      </c>
      <c r="F6" s="1740">
        <f>'Revenues 9-14'!F170</f>
        <v>29375</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494236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3887733</v>
      </c>
      <c r="D8" s="1685">
        <f t="shared" ref="D8:K8" si="0">SUM(D4:D7)</f>
        <v>250362</v>
      </c>
      <c r="E8" s="1685">
        <f t="shared" si="0"/>
        <v>279405</v>
      </c>
      <c r="F8" s="1685">
        <f t="shared" si="0"/>
        <v>83004</v>
      </c>
      <c r="G8" s="1685">
        <f t="shared" si="0"/>
        <v>158083</v>
      </c>
      <c r="H8" s="1685">
        <f t="shared" si="0"/>
        <v>121708</v>
      </c>
      <c r="I8" s="1685">
        <f t="shared" si="0"/>
        <v>28172</v>
      </c>
      <c r="J8" s="1685">
        <f t="shared" si="0"/>
        <v>118048</v>
      </c>
      <c r="K8" s="1685">
        <f t="shared" si="0"/>
        <v>25773</v>
      </c>
      <c r="L8" s="347"/>
    </row>
    <row r="9" spans="1:13" ht="15.75" thickTop="1" x14ac:dyDescent="0.2">
      <c r="A9" s="511" t="s">
        <v>1653</v>
      </c>
      <c r="B9" s="512">
        <v>3998</v>
      </c>
      <c r="C9" s="465">
        <v>925370</v>
      </c>
      <c r="D9" s="513"/>
      <c r="E9" s="479"/>
      <c r="F9" s="479"/>
      <c r="G9" s="514"/>
      <c r="H9" s="479"/>
      <c r="I9" s="506" t="s">
        <v>1169</v>
      </c>
      <c r="J9" s="476"/>
      <c r="K9" s="479"/>
      <c r="L9" s="347"/>
    </row>
    <row r="10" spans="1:13" s="516" customFormat="1" ht="13.5" thickBot="1" x14ac:dyDescent="0.25">
      <c r="A10" s="1733" t="s">
        <v>1173</v>
      </c>
      <c r="B10" s="1706"/>
      <c r="C10" s="1685">
        <f>SUM(C8:C9)</f>
        <v>4813103</v>
      </c>
      <c r="D10" s="1685">
        <f t="shared" ref="D10:K10" si="1">SUM(D8:D9)</f>
        <v>250362</v>
      </c>
      <c r="E10" s="1685">
        <f t="shared" si="1"/>
        <v>279405</v>
      </c>
      <c r="F10" s="1685">
        <f t="shared" si="1"/>
        <v>83004</v>
      </c>
      <c r="G10" s="1685">
        <f t="shared" si="1"/>
        <v>158083</v>
      </c>
      <c r="H10" s="1685">
        <f t="shared" si="1"/>
        <v>121708</v>
      </c>
      <c r="I10" s="1685">
        <f t="shared" si="1"/>
        <v>28172</v>
      </c>
      <c r="J10" s="1685">
        <f t="shared" si="1"/>
        <v>118048</v>
      </c>
      <c r="K10" s="1685">
        <f t="shared" si="1"/>
        <v>25773</v>
      </c>
      <c r="L10" s="515"/>
    </row>
    <row r="11" spans="1:13" s="516" customFormat="1" ht="16.7" customHeight="1" thickTop="1" x14ac:dyDescent="0.2">
      <c r="A11" s="2193" t="s">
        <v>1176</v>
      </c>
      <c r="B11" s="2194"/>
      <c r="C11" s="1567"/>
      <c r="D11" s="1568"/>
      <c r="E11" s="1568"/>
      <c r="F11" s="1568"/>
      <c r="G11" s="1568"/>
      <c r="H11" s="1568"/>
      <c r="I11" s="1568"/>
      <c r="J11" s="1568"/>
      <c r="K11" s="1569"/>
      <c r="L11" s="515"/>
    </row>
    <row r="12" spans="1:13" ht="15.75" customHeight="1" x14ac:dyDescent="0.2">
      <c r="A12" s="1573" t="s">
        <v>456</v>
      </c>
      <c r="B12" s="1575">
        <v>1000</v>
      </c>
      <c r="C12" s="1739">
        <f>'Expenditures 15-22'!K33</f>
        <v>2090191</v>
      </c>
      <c r="D12" s="517" t="s">
        <v>1169</v>
      </c>
      <c r="E12" s="468" t="s">
        <v>1169</v>
      </c>
      <c r="F12" s="468" t="s">
        <v>1169</v>
      </c>
      <c r="G12" s="1739">
        <f>'Expenditures 15-22'!K229</f>
        <v>61816</v>
      </c>
      <c r="H12" s="518"/>
      <c r="I12" s="468" t="s">
        <v>1169</v>
      </c>
      <c r="J12" s="468" t="s">
        <v>1169</v>
      </c>
      <c r="K12" s="518" t="s">
        <v>1169</v>
      </c>
      <c r="L12" s="347"/>
    </row>
    <row r="13" spans="1:13" ht="15.75" customHeight="1" x14ac:dyDescent="0.2">
      <c r="A13" s="1573" t="s">
        <v>457</v>
      </c>
      <c r="B13" s="1575">
        <v>2000</v>
      </c>
      <c r="C13" s="1740">
        <f>'Expenditures 15-22'!K74</f>
        <v>881806</v>
      </c>
      <c r="D13" s="1740">
        <f>'Expenditures 15-22'!K129</f>
        <v>395434</v>
      </c>
      <c r="E13" s="469" t="s">
        <v>1169</v>
      </c>
      <c r="F13" s="1740">
        <f>'Expenditures 15-22'!K184</f>
        <v>68102</v>
      </c>
      <c r="G13" s="1740">
        <f>'Expenditures 15-22'!K279</f>
        <v>64202</v>
      </c>
      <c r="H13" s="1740">
        <f>'Expenditures 15-22'!K303</f>
        <v>24054</v>
      </c>
      <c r="I13" s="468" t="s">
        <v>1169</v>
      </c>
      <c r="J13" s="1740">
        <f>'Expenditures 15-22'!K330</f>
        <v>95730</v>
      </c>
      <c r="K13" s="1744">
        <f>'Expenditures 15-22'!K352</f>
        <v>24600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244476</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258597</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3216473</v>
      </c>
      <c r="D17" s="1685">
        <f t="shared" si="2"/>
        <v>395434</v>
      </c>
      <c r="E17" s="1685">
        <f t="shared" si="2"/>
        <v>258597</v>
      </c>
      <c r="F17" s="1685">
        <f t="shared" si="2"/>
        <v>68102</v>
      </c>
      <c r="G17" s="1685">
        <f t="shared" si="2"/>
        <v>126018</v>
      </c>
      <c r="H17" s="1685">
        <f t="shared" si="2"/>
        <v>24054</v>
      </c>
      <c r="I17" s="468"/>
      <c r="J17" s="1685">
        <f>SUM(J12:J16)</f>
        <v>95730</v>
      </c>
      <c r="K17" s="1685">
        <f>SUM(K12:K16)</f>
        <v>24600</v>
      </c>
      <c r="L17" s="347"/>
    </row>
    <row r="18" spans="1:12" ht="15" customHeight="1" thickTop="1" x14ac:dyDescent="0.2">
      <c r="A18" s="1741" t="s">
        <v>1654</v>
      </c>
      <c r="B18" s="1742">
        <v>4180</v>
      </c>
      <c r="C18" s="1739">
        <f t="shared" ref="C18:H18" si="3">C9</f>
        <v>925370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4141843</v>
      </c>
      <c r="D19" s="1685">
        <f t="shared" si="4"/>
        <v>395434</v>
      </c>
      <c r="E19" s="1685">
        <f t="shared" si="4"/>
        <v>258597</v>
      </c>
      <c r="F19" s="1685">
        <f t="shared" si="4"/>
        <v>68102</v>
      </c>
      <c r="G19" s="1685">
        <f t="shared" si="4"/>
        <v>126018</v>
      </c>
      <c r="H19" s="1685">
        <f t="shared" si="4"/>
        <v>24054</v>
      </c>
      <c r="I19" s="468"/>
      <c r="J19" s="1685">
        <f>SUM(J17:J18)</f>
        <v>95730</v>
      </c>
      <c r="K19" s="1685">
        <f>SUM(K17:K18)</f>
        <v>24600</v>
      </c>
      <c r="L19" s="347"/>
    </row>
    <row r="20" spans="1:12" ht="16.5" thickTop="1" thickBot="1" x14ac:dyDescent="0.25">
      <c r="A20" s="2209" t="s">
        <v>1655</v>
      </c>
      <c r="B20" s="2210"/>
      <c r="C20" s="1743">
        <f>C8-C17</f>
        <v>671260</v>
      </c>
      <c r="D20" s="1743">
        <f t="shared" ref="D20:K20" si="5">D8-D17</f>
        <v>-145072</v>
      </c>
      <c r="E20" s="1743">
        <f t="shared" si="5"/>
        <v>20808</v>
      </c>
      <c r="F20" s="1743">
        <f t="shared" si="5"/>
        <v>14902</v>
      </c>
      <c r="G20" s="1743">
        <f t="shared" si="5"/>
        <v>32065</v>
      </c>
      <c r="H20" s="1743">
        <f t="shared" si="5"/>
        <v>97654</v>
      </c>
      <c r="I20" s="1743">
        <f t="shared" si="5"/>
        <v>28172</v>
      </c>
      <c r="J20" s="1743">
        <f t="shared" si="5"/>
        <v>22318</v>
      </c>
      <c r="K20" s="1743">
        <f t="shared" si="5"/>
        <v>1173</v>
      </c>
      <c r="L20" s="347"/>
    </row>
    <row r="21" spans="1:12" ht="16.7" customHeight="1" thickTop="1" x14ac:dyDescent="0.2">
      <c r="A21" s="2221" t="s">
        <v>595</v>
      </c>
      <c r="B21" s="2222"/>
      <c r="C21" s="1567"/>
      <c r="D21" s="1568"/>
      <c r="E21" s="1568"/>
      <c r="F21" s="1568"/>
      <c r="G21" s="1568"/>
      <c r="H21" s="1568"/>
      <c r="I21" s="1568"/>
      <c r="J21" s="1568"/>
      <c r="K21" s="1569"/>
      <c r="L21" s="521"/>
    </row>
    <row r="22" spans="1:12" ht="15.75" customHeight="1" collapsed="1" x14ac:dyDescent="0.2">
      <c r="A22" s="2217" t="s">
        <v>596</v>
      </c>
      <c r="B22" s="2218"/>
      <c r="C22" s="475"/>
      <c r="D22" s="475"/>
      <c r="E22" s="475"/>
      <c r="F22" s="475"/>
      <c r="G22" s="475"/>
      <c r="H22" s="475"/>
      <c r="I22" s="475"/>
      <c r="J22" s="475"/>
      <c r="K22" s="475"/>
      <c r="L22" s="347"/>
    </row>
    <row r="23" spans="1:12" s="483" customFormat="1" ht="15.75" customHeight="1" x14ac:dyDescent="0.2">
      <c r="A23" s="2213" t="s">
        <v>293</v>
      </c>
      <c r="B23" s="2214"/>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175000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215" t="s">
        <v>981</v>
      </c>
      <c r="B32" s="2216"/>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23" t="s">
        <v>374</v>
      </c>
      <c r="B44" s="2224"/>
      <c r="C44" s="1700">
        <f>SUM(C24:C43)</f>
        <v>0</v>
      </c>
      <c r="D44" s="1700">
        <f t="shared" ref="D44:K44" si="6">SUM(D24:D43)</f>
        <v>175000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17" t="s">
        <v>108</v>
      </c>
      <c r="B45" s="2218"/>
      <c r="C45" s="525"/>
      <c r="D45" s="525"/>
      <c r="E45" s="525"/>
      <c r="F45" s="525"/>
      <c r="G45" s="525"/>
      <c r="H45" s="525"/>
      <c r="I45" s="525"/>
      <c r="J45" s="525"/>
      <c r="K45" s="525"/>
      <c r="L45" s="347"/>
    </row>
    <row r="46" spans="1:12" s="483" customFormat="1" ht="15.75" customHeight="1" x14ac:dyDescent="0.2">
      <c r="A46" s="2225" t="s">
        <v>109</v>
      </c>
      <c r="B46" s="2226"/>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175000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99" t="s">
        <v>440</v>
      </c>
      <c r="B76" s="2200"/>
      <c r="C76" s="1700">
        <f t="shared" ref="C76:K76" si="7">SUM(C47:C75)</f>
        <v>0</v>
      </c>
      <c r="D76" s="1700">
        <f t="shared" si="7"/>
        <v>0</v>
      </c>
      <c r="E76" s="1700">
        <f t="shared" si="7"/>
        <v>0</v>
      </c>
      <c r="F76" s="1700">
        <f t="shared" si="7"/>
        <v>0</v>
      </c>
      <c r="G76" s="1700">
        <f t="shared" si="7"/>
        <v>0</v>
      </c>
      <c r="H76" s="1700">
        <f t="shared" si="7"/>
        <v>0</v>
      </c>
      <c r="I76" s="1700">
        <f t="shared" si="7"/>
        <v>175000</v>
      </c>
      <c r="J76" s="1700">
        <f t="shared" si="7"/>
        <v>0</v>
      </c>
      <c r="K76" s="1700">
        <f t="shared" si="7"/>
        <v>0</v>
      </c>
      <c r="L76" s="521"/>
    </row>
    <row r="77" spans="1:12" ht="14.25" thickTop="1" thickBot="1" x14ac:dyDescent="0.25">
      <c r="A77" s="2201" t="s">
        <v>1177</v>
      </c>
      <c r="B77" s="2202"/>
      <c r="C77" s="1700">
        <f t="shared" ref="C77:K77" si="8">C44-C76</f>
        <v>0</v>
      </c>
      <c r="D77" s="1700">
        <f t="shared" si="8"/>
        <v>175000</v>
      </c>
      <c r="E77" s="1700">
        <f t="shared" si="8"/>
        <v>0</v>
      </c>
      <c r="F77" s="1700">
        <f t="shared" si="8"/>
        <v>0</v>
      </c>
      <c r="G77" s="1700">
        <f t="shared" si="8"/>
        <v>0</v>
      </c>
      <c r="H77" s="1700">
        <f t="shared" si="8"/>
        <v>0</v>
      </c>
      <c r="I77" s="1700">
        <f t="shared" si="8"/>
        <v>-175000</v>
      </c>
      <c r="J77" s="1700">
        <f t="shared" si="8"/>
        <v>0</v>
      </c>
      <c r="K77" s="1700">
        <f t="shared" si="8"/>
        <v>0</v>
      </c>
      <c r="L77" s="347"/>
    </row>
    <row r="78" spans="1:12" ht="21.75" customHeight="1" thickTop="1" thickBot="1" x14ac:dyDescent="0.25">
      <c r="A78" s="2205" t="s">
        <v>597</v>
      </c>
      <c r="B78" s="2206"/>
      <c r="C78" s="1699">
        <f t="shared" ref="C78:K78" si="9">C20+C77</f>
        <v>671260</v>
      </c>
      <c r="D78" s="1699">
        <f t="shared" si="9"/>
        <v>29928</v>
      </c>
      <c r="E78" s="1699">
        <f t="shared" si="9"/>
        <v>20808</v>
      </c>
      <c r="F78" s="1699">
        <f t="shared" si="9"/>
        <v>14902</v>
      </c>
      <c r="G78" s="1699">
        <f t="shared" si="9"/>
        <v>32065</v>
      </c>
      <c r="H78" s="1699">
        <f t="shared" si="9"/>
        <v>97654</v>
      </c>
      <c r="I78" s="1699">
        <f t="shared" si="9"/>
        <v>-146828</v>
      </c>
      <c r="J78" s="1699">
        <f t="shared" si="9"/>
        <v>22318</v>
      </c>
      <c r="K78" s="1699">
        <f t="shared" si="9"/>
        <v>1173</v>
      </c>
      <c r="L78" s="530"/>
    </row>
    <row r="79" spans="1:12" ht="13.5" thickTop="1" x14ac:dyDescent="0.2">
      <c r="A79" s="1491" t="s">
        <v>1949</v>
      </c>
      <c r="B79" s="531"/>
      <c r="C79" s="476">
        <v>2302868</v>
      </c>
      <c r="D79" s="476">
        <v>316365</v>
      </c>
      <c r="E79" s="476">
        <v>245969</v>
      </c>
      <c r="F79" s="476">
        <v>105707</v>
      </c>
      <c r="G79" s="476">
        <v>209769</v>
      </c>
      <c r="H79" s="476">
        <v>194977</v>
      </c>
      <c r="I79" s="476">
        <v>381606</v>
      </c>
      <c r="J79" s="476">
        <v>156639</v>
      </c>
      <c r="K79" s="476">
        <v>238884</v>
      </c>
      <c r="L79" s="347"/>
    </row>
    <row r="80" spans="1:12" x14ac:dyDescent="0.2">
      <c r="A80" s="2211" t="s">
        <v>1795</v>
      </c>
      <c r="B80" s="2212"/>
      <c r="C80" s="467">
        <v>0</v>
      </c>
      <c r="D80" s="467">
        <v>0</v>
      </c>
      <c r="E80" s="467">
        <v>0</v>
      </c>
      <c r="F80" s="467">
        <v>0</v>
      </c>
      <c r="G80" s="467">
        <v>0</v>
      </c>
      <c r="H80" s="467">
        <v>0</v>
      </c>
      <c r="I80" s="467">
        <v>0</v>
      </c>
      <c r="J80" s="467">
        <v>0</v>
      </c>
      <c r="K80" s="467">
        <v>0</v>
      </c>
      <c r="L80" s="347"/>
    </row>
    <row r="81" spans="1:12" ht="13.5" thickBot="1" x14ac:dyDescent="0.25">
      <c r="A81" s="2203" t="s">
        <v>1950</v>
      </c>
      <c r="B81" s="2204"/>
      <c r="C81" s="1685">
        <f>(SUM(C78:C80))</f>
        <v>2974128</v>
      </c>
      <c r="D81" s="1685">
        <f>SUM(D78:D80)</f>
        <v>346293</v>
      </c>
      <c r="E81" s="1685">
        <f t="shared" ref="E81:K81" si="10">SUM(E78:E80)</f>
        <v>266777</v>
      </c>
      <c r="F81" s="1685">
        <f t="shared" si="10"/>
        <v>120609</v>
      </c>
      <c r="G81" s="1685">
        <f t="shared" si="10"/>
        <v>241834</v>
      </c>
      <c r="H81" s="1685">
        <f t="shared" si="10"/>
        <v>292631</v>
      </c>
      <c r="I81" s="1685">
        <f t="shared" si="10"/>
        <v>234778</v>
      </c>
      <c r="J81" s="1685">
        <f t="shared" si="10"/>
        <v>178957</v>
      </c>
      <c r="K81" s="1685">
        <f t="shared" si="10"/>
        <v>240057</v>
      </c>
      <c r="L81" s="347"/>
    </row>
    <row r="82" spans="1:12" ht="0.75" customHeight="1" thickTop="1" thickBot="1" x14ac:dyDescent="0.25">
      <c r="A82" s="533" t="s">
        <v>343</v>
      </c>
      <c r="B82" s="534"/>
      <c r="C82" s="535">
        <f>(C81-C79)</f>
        <v>671260</v>
      </c>
      <c r="D82" s="535">
        <f t="shared" ref="D82:K82" si="11">(D81-D79)</f>
        <v>29928</v>
      </c>
      <c r="E82" s="535">
        <f t="shared" si="11"/>
        <v>20808</v>
      </c>
      <c r="F82" s="535">
        <f t="shared" si="11"/>
        <v>14902</v>
      </c>
      <c r="G82" s="535">
        <f t="shared" si="11"/>
        <v>32065</v>
      </c>
      <c r="H82" s="535">
        <f t="shared" si="11"/>
        <v>97654</v>
      </c>
      <c r="I82" s="535">
        <f t="shared" si="11"/>
        <v>-146828</v>
      </c>
      <c r="J82" s="535">
        <f t="shared" si="11"/>
        <v>22318</v>
      </c>
      <c r="K82" s="535">
        <f t="shared" si="11"/>
        <v>1173</v>
      </c>
    </row>
    <row r="83" spans="1:12" ht="14.25" hidden="1" thickTop="1" thickBot="1" x14ac:dyDescent="0.25">
      <c r="A83" s="536" t="s">
        <v>344</v>
      </c>
      <c r="B83" s="464"/>
      <c r="C83" s="537">
        <f>C82/C81</f>
        <v>0.22569976813371853</v>
      </c>
      <c r="D83" s="537">
        <f t="shared" ref="D83:K83" si="12">D82/D81</f>
        <v>8.6423924249118517E-2</v>
      </c>
      <c r="E83" s="537">
        <f t="shared" si="12"/>
        <v>7.7997728439858013E-2</v>
      </c>
      <c r="F83" s="537">
        <f t="shared" si="12"/>
        <v>0.12355628518601432</v>
      </c>
      <c r="G83" s="537">
        <f t="shared" si="12"/>
        <v>0.13259095081750291</v>
      </c>
      <c r="H83" s="537">
        <f t="shared" si="12"/>
        <v>0.3337103724485786</v>
      </c>
      <c r="I83" s="537">
        <f t="shared" si="12"/>
        <v>-0.62539079470819237</v>
      </c>
      <c r="J83" s="537">
        <f t="shared" si="12"/>
        <v>0.12471152287979793</v>
      </c>
      <c r="K83" s="537">
        <f t="shared" si="12"/>
        <v>4.8863394943700874E-3</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30" sqref="J30"/>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07" t="s">
        <v>1802</v>
      </c>
      <c r="B1" s="452"/>
      <c r="C1" s="453" t="s">
        <v>425</v>
      </c>
      <c r="D1" s="453" t="s">
        <v>426</v>
      </c>
      <c r="E1" s="453" t="s">
        <v>427</v>
      </c>
      <c r="F1" s="453" t="s">
        <v>428</v>
      </c>
      <c r="G1" s="453" t="s">
        <v>429</v>
      </c>
      <c r="H1" s="453" t="s">
        <v>430</v>
      </c>
      <c r="I1" s="453" t="s">
        <v>431</v>
      </c>
      <c r="J1" s="453" t="s">
        <v>432</v>
      </c>
      <c r="K1" s="453" t="s">
        <v>756</v>
      </c>
    </row>
    <row r="2" spans="1:12" ht="36" x14ac:dyDescent="0.2">
      <c r="A2" s="220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804852</v>
      </c>
      <c r="D5" s="479">
        <v>220233</v>
      </c>
      <c r="E5" s="466">
        <v>182407</v>
      </c>
      <c r="F5" s="545">
        <v>48051</v>
      </c>
      <c r="G5" s="466">
        <v>66902</v>
      </c>
      <c r="H5" s="466">
        <v>0</v>
      </c>
      <c r="I5" s="466">
        <v>20021</v>
      </c>
      <c r="J5" s="467">
        <v>106722</v>
      </c>
      <c r="K5" s="466">
        <v>20021</v>
      </c>
    </row>
    <row r="6" spans="1:12" ht="15" x14ac:dyDescent="0.2">
      <c r="A6" s="463" t="s">
        <v>1662</v>
      </c>
      <c r="B6" s="470">
        <v>1130</v>
      </c>
      <c r="C6" s="466">
        <v>20021</v>
      </c>
      <c r="D6" s="466">
        <v>0</v>
      </c>
      <c r="E6" s="474"/>
      <c r="F6" s="474"/>
      <c r="G6" s="468"/>
      <c r="H6" s="468"/>
      <c r="I6" s="468"/>
      <c r="J6" s="468"/>
      <c r="K6" s="468"/>
    </row>
    <row r="7" spans="1:12" x14ac:dyDescent="0.2">
      <c r="A7" s="463" t="s">
        <v>110</v>
      </c>
      <c r="B7" s="546">
        <v>1140</v>
      </c>
      <c r="C7" s="466">
        <v>8008</v>
      </c>
      <c r="D7" s="466">
        <v>0</v>
      </c>
      <c r="E7" s="468"/>
      <c r="F7" s="467">
        <v>0</v>
      </c>
      <c r="G7" s="467">
        <v>0</v>
      </c>
      <c r="H7" s="467">
        <v>0</v>
      </c>
      <c r="I7" s="468"/>
      <c r="J7" s="468"/>
      <c r="K7" s="468"/>
    </row>
    <row r="8" spans="1:12" x14ac:dyDescent="0.2">
      <c r="A8" s="463" t="s">
        <v>413</v>
      </c>
      <c r="B8" s="470">
        <v>1150</v>
      </c>
      <c r="C8" s="474"/>
      <c r="D8" s="474"/>
      <c r="E8" s="475"/>
      <c r="F8" s="475"/>
      <c r="G8" s="479">
        <v>63661</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832881</v>
      </c>
      <c r="D12" s="1704">
        <f t="shared" si="0"/>
        <v>220233</v>
      </c>
      <c r="E12" s="1704">
        <f t="shared" si="0"/>
        <v>182407</v>
      </c>
      <c r="F12" s="1704">
        <f t="shared" si="0"/>
        <v>48051</v>
      </c>
      <c r="G12" s="1704">
        <f t="shared" si="0"/>
        <v>130563</v>
      </c>
      <c r="H12" s="1704">
        <f t="shared" si="0"/>
        <v>0</v>
      </c>
      <c r="I12" s="1704">
        <f t="shared" si="0"/>
        <v>20021</v>
      </c>
      <c r="J12" s="1704">
        <f t="shared" si="0"/>
        <v>106722</v>
      </c>
      <c r="K12" s="1685">
        <f t="shared" si="0"/>
        <v>20021</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58630</v>
      </c>
      <c r="D16" s="466">
        <v>0</v>
      </c>
      <c r="E16" s="466">
        <v>0</v>
      </c>
      <c r="F16" s="466">
        <v>0</v>
      </c>
      <c r="G16" s="466">
        <v>14155</v>
      </c>
      <c r="H16" s="466">
        <v>0</v>
      </c>
      <c r="I16" s="466">
        <v>0</v>
      </c>
      <c r="J16" s="467">
        <v>0</v>
      </c>
      <c r="K16" s="466">
        <v>0</v>
      </c>
    </row>
    <row r="17" spans="1:11" ht="12.75" customHeight="1" x14ac:dyDescent="0.2">
      <c r="A17" s="463" t="s">
        <v>807</v>
      </c>
      <c r="B17" s="470">
        <v>1290</v>
      </c>
      <c r="C17" s="548">
        <v>36</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58666</v>
      </c>
      <c r="D18" s="1707">
        <f t="shared" ref="D18:K18" si="1">SUM(D14:D17)</f>
        <v>0</v>
      </c>
      <c r="E18" s="1707">
        <f t="shared" si="1"/>
        <v>0</v>
      </c>
      <c r="F18" s="1707">
        <f t="shared" si="1"/>
        <v>0</v>
      </c>
      <c r="G18" s="1707">
        <f t="shared" si="1"/>
        <v>14155</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41537</v>
      </c>
      <c r="D65" s="466">
        <v>4263</v>
      </c>
      <c r="E65" s="466">
        <v>3608</v>
      </c>
      <c r="F65" s="467">
        <v>1920</v>
      </c>
      <c r="G65" s="466">
        <v>3677</v>
      </c>
      <c r="H65" s="466">
        <v>4291</v>
      </c>
      <c r="I65" s="466">
        <v>6627</v>
      </c>
      <c r="J65" s="467">
        <v>3135</v>
      </c>
      <c r="K65" s="466">
        <v>4228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41537</v>
      </c>
      <c r="D67" s="1685">
        <f t="shared" ref="D67:K67" si="2">SUM(D65:D66)</f>
        <v>4263</v>
      </c>
      <c r="E67" s="1685">
        <f t="shared" si="2"/>
        <v>3608</v>
      </c>
      <c r="F67" s="1685">
        <f t="shared" si="2"/>
        <v>1920</v>
      </c>
      <c r="G67" s="1685">
        <f t="shared" si="2"/>
        <v>3677</v>
      </c>
      <c r="H67" s="1685">
        <f t="shared" si="2"/>
        <v>4291</v>
      </c>
      <c r="I67" s="1685">
        <f t="shared" si="2"/>
        <v>6627</v>
      </c>
      <c r="J67" s="1685">
        <f t="shared" si="2"/>
        <v>3135</v>
      </c>
      <c r="K67" s="1685">
        <f t="shared" si="2"/>
        <v>4228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2201</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4291</v>
      </c>
      <c r="D73" s="468"/>
      <c r="E73" s="468"/>
      <c r="F73" s="468"/>
      <c r="G73" s="468"/>
      <c r="H73" s="468"/>
      <c r="I73" s="468"/>
      <c r="J73" s="468"/>
      <c r="K73" s="468"/>
    </row>
    <row r="74" spans="1:11" ht="12.75" customHeight="1" x14ac:dyDescent="0.2">
      <c r="A74" s="463" t="s">
        <v>25</v>
      </c>
      <c r="B74" s="470">
        <v>1690</v>
      </c>
      <c r="C74" s="548">
        <v>49469</v>
      </c>
      <c r="D74" s="468"/>
      <c r="E74" s="468"/>
      <c r="F74" s="468"/>
      <c r="G74" s="468"/>
      <c r="H74" s="468"/>
      <c r="I74" s="468"/>
      <c r="J74" s="468"/>
      <c r="K74" s="468"/>
    </row>
    <row r="75" spans="1:11" ht="12.75" customHeight="1" thickBot="1" x14ac:dyDescent="0.25">
      <c r="A75" s="1705" t="s">
        <v>548</v>
      </c>
      <c r="B75" s="1706"/>
      <c r="C75" s="1685">
        <f>SUM(C69:C74)</f>
        <v>55961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8974</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8974</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9100</v>
      </c>
      <c r="E95" s="518"/>
      <c r="F95" s="518"/>
      <c r="G95" s="518"/>
      <c r="H95" s="518"/>
      <c r="I95" s="518"/>
      <c r="J95" s="518"/>
      <c r="K95" s="518"/>
    </row>
    <row r="96" spans="1:11" ht="12.75" customHeight="1" x14ac:dyDescent="0.2">
      <c r="A96" s="463" t="s">
        <v>391</v>
      </c>
      <c r="B96" s="470">
        <v>1920</v>
      </c>
      <c r="C96" s="548">
        <v>500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56121</v>
      </c>
      <c r="D99" s="466">
        <v>0</v>
      </c>
      <c r="E99" s="466">
        <v>0</v>
      </c>
      <c r="F99" s="466">
        <v>0</v>
      </c>
      <c r="G99" s="466">
        <v>0</v>
      </c>
      <c r="H99" s="466">
        <v>0</v>
      </c>
      <c r="I99" s="468"/>
      <c r="J99" s="467">
        <v>0</v>
      </c>
      <c r="K99" s="466">
        <v>0</v>
      </c>
    </row>
    <row r="100" spans="1:12" ht="12.75" customHeight="1" x14ac:dyDescent="0.2">
      <c r="A100" s="463" t="s">
        <v>245</v>
      </c>
      <c r="B100" s="470">
        <v>1960</v>
      </c>
      <c r="C100" s="486">
        <v>63407</v>
      </c>
      <c r="D100" s="486">
        <v>16766</v>
      </c>
      <c r="E100" s="486">
        <v>14023</v>
      </c>
      <c r="F100" s="486">
        <v>3658</v>
      </c>
      <c r="G100" s="486">
        <v>9688</v>
      </c>
      <c r="H100" s="486">
        <v>0</v>
      </c>
      <c r="I100" s="467">
        <v>1524</v>
      </c>
      <c r="J100" s="486">
        <v>8191</v>
      </c>
      <c r="K100" s="467">
        <v>1524</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79367</v>
      </c>
      <c r="F103" s="468"/>
      <c r="G103" s="468"/>
      <c r="H103" s="486">
        <v>117417</v>
      </c>
      <c r="I103" s="468"/>
      <c r="J103" s="507"/>
      <c r="K103" s="507"/>
    </row>
    <row r="104" spans="1:12" ht="12.75" customHeight="1" x14ac:dyDescent="0.2">
      <c r="A104" s="463" t="s">
        <v>830</v>
      </c>
      <c r="B104" s="470">
        <v>1991</v>
      </c>
      <c r="C104" s="486">
        <v>73258</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8010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201296</v>
      </c>
      <c r="D108" s="1704">
        <f t="shared" ref="D108:K108" si="3">SUM(D95:D107)</f>
        <v>25866</v>
      </c>
      <c r="E108" s="1704">
        <f t="shared" si="3"/>
        <v>93390</v>
      </c>
      <c r="F108" s="1704">
        <f t="shared" si="3"/>
        <v>3658</v>
      </c>
      <c r="G108" s="1704">
        <f t="shared" si="3"/>
        <v>9688</v>
      </c>
      <c r="H108" s="1704">
        <f t="shared" si="3"/>
        <v>117417</v>
      </c>
      <c r="I108" s="1704">
        <f t="shared" si="3"/>
        <v>1524</v>
      </c>
      <c r="J108" s="1704">
        <f t="shared" si="3"/>
        <v>8191</v>
      </c>
      <c r="K108" s="1685">
        <f t="shared" si="3"/>
        <v>1524</v>
      </c>
    </row>
    <row r="109" spans="1:12" ht="14.25" thickTop="1" thickBot="1" x14ac:dyDescent="0.25">
      <c r="A109" s="1710" t="s">
        <v>248</v>
      </c>
      <c r="B109" s="1711" t="s">
        <v>570</v>
      </c>
      <c r="C109" s="1712">
        <f t="shared" ref="C109:K109" si="4">SUM(C12,C18,C40,C63,C67,C75,C82,C93,C108,)</f>
        <v>1199315</v>
      </c>
      <c r="D109" s="1712">
        <f t="shared" si="4"/>
        <v>250362</v>
      </c>
      <c r="E109" s="1712">
        <f t="shared" si="4"/>
        <v>279405</v>
      </c>
      <c r="F109" s="1712">
        <f t="shared" si="4"/>
        <v>53629</v>
      </c>
      <c r="G109" s="1712">
        <f t="shared" si="4"/>
        <v>158083</v>
      </c>
      <c r="H109" s="1712">
        <f t="shared" si="4"/>
        <v>121708</v>
      </c>
      <c r="I109" s="1712">
        <f t="shared" si="4"/>
        <v>28172</v>
      </c>
      <c r="J109" s="1712">
        <f t="shared" si="4"/>
        <v>118048</v>
      </c>
      <c r="K109" s="1699">
        <f t="shared" si="4"/>
        <v>25773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2055158</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2055158</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6667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6667</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3446</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30</v>
      </c>
      <c r="G152" s="467">
        <v>0</v>
      </c>
      <c r="H152" s="468"/>
      <c r="I152" s="468"/>
      <c r="J152" s="468"/>
      <c r="K152" s="468"/>
    </row>
    <row r="153" spans="1:11" ht="12.75" customHeight="1" x14ac:dyDescent="0.2">
      <c r="A153" s="463" t="s">
        <v>1057</v>
      </c>
      <c r="B153" s="559">
        <v>3510</v>
      </c>
      <c r="C153" s="548">
        <v>0</v>
      </c>
      <c r="D153" s="466">
        <v>0</v>
      </c>
      <c r="E153" s="558"/>
      <c r="F153" s="466">
        <v>29345</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29375</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128161</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227" t="s">
        <v>398</v>
      </c>
      <c r="B169" s="2228"/>
      <c r="C169" s="1719">
        <f t="shared" ref="C169:K169" si="6">SUM(C132,C141,C145,C146:C150,C155,C156:C167,C168)</f>
        <v>139024</v>
      </c>
      <c r="D169" s="1719">
        <f t="shared" si="6"/>
        <v>0</v>
      </c>
      <c r="E169" s="1719">
        <f t="shared" si="6"/>
        <v>0</v>
      </c>
      <c r="F169" s="1719">
        <f t="shared" si="6"/>
        <v>29375</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2194182</v>
      </c>
      <c r="D170" s="1712">
        <f t="shared" si="7"/>
        <v>0</v>
      </c>
      <c r="E170" s="1712">
        <f t="shared" si="7"/>
        <v>0</v>
      </c>
      <c r="F170" s="1712">
        <f t="shared" si="7"/>
        <v>29375</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29" t="s">
        <v>1492</v>
      </c>
      <c r="B172" s="2230"/>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33" t="s">
        <v>1665</v>
      </c>
      <c r="B175" s="2234"/>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37" t="s">
        <v>1664</v>
      </c>
      <c r="B176" s="2238"/>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35" t="s">
        <v>785</v>
      </c>
      <c r="B181" s="2236"/>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31" t="s">
        <v>1803</v>
      </c>
      <c r="B182" s="2232"/>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150888</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41104</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191992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114334</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114334</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140606</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140606</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4491</v>
      </c>
      <c r="D263" s="573">
        <v>0</v>
      </c>
      <c r="E263" s="468"/>
      <c r="F263" s="573">
        <v>0</v>
      </c>
      <c r="G263" s="573">
        <v>0</v>
      </c>
      <c r="H263" s="468"/>
      <c r="I263" s="468"/>
      <c r="J263" s="468"/>
      <c r="K263" s="468"/>
    </row>
    <row r="264" spans="1:11" ht="12.75" customHeight="1" thickTop="1" thickBot="1" x14ac:dyDescent="0.25">
      <c r="A264" s="463" t="s">
        <v>377</v>
      </c>
      <c r="B264" s="470">
        <v>4992</v>
      </c>
      <c r="C264" s="572">
        <v>42813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494236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494236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3887733</v>
      </c>
      <c r="D268" s="1712">
        <f t="shared" si="12"/>
        <v>250362</v>
      </c>
      <c r="E268" s="1712">
        <f t="shared" si="12"/>
        <v>279405</v>
      </c>
      <c r="F268" s="1712">
        <f t="shared" si="12"/>
        <v>83004</v>
      </c>
      <c r="G268" s="1712">
        <f t="shared" si="12"/>
        <v>158083</v>
      </c>
      <c r="H268" s="1712">
        <f t="shared" si="12"/>
        <v>121708</v>
      </c>
      <c r="I268" s="1712">
        <f t="shared" si="12"/>
        <v>28172</v>
      </c>
      <c r="J268" s="1712">
        <f t="shared" si="12"/>
        <v>118048</v>
      </c>
      <c r="K268" s="1699">
        <f t="shared" si="12"/>
        <v>25773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30" sqref="J30"/>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07"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4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47" t="s">
        <v>297</v>
      </c>
      <c r="B3" s="2248"/>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1208219</v>
      </c>
      <c r="D5" s="466">
        <v>208049</v>
      </c>
      <c r="E5" s="466">
        <v>12457</v>
      </c>
      <c r="F5" s="466">
        <v>33011</v>
      </c>
      <c r="G5" s="466">
        <v>60940</v>
      </c>
      <c r="H5" s="466">
        <v>6076</v>
      </c>
      <c r="I5" s="467">
        <v>0</v>
      </c>
      <c r="J5" s="467">
        <v>0</v>
      </c>
      <c r="K5" s="1668">
        <f>SUM(C5:J5)</f>
        <v>1528752</v>
      </c>
      <c r="L5" s="471">
        <v>1681850</v>
      </c>
    </row>
    <row r="6" spans="1:14" x14ac:dyDescent="0.2">
      <c r="A6" s="1501" t="s">
        <v>1433</v>
      </c>
      <c r="B6" s="611" t="s">
        <v>1431</v>
      </c>
      <c r="C6" s="475"/>
      <c r="D6" s="475"/>
      <c r="E6" s="466">
        <v>0</v>
      </c>
      <c r="F6" s="475"/>
      <c r="G6" s="475"/>
      <c r="H6" s="475"/>
      <c r="I6" s="475"/>
      <c r="J6" s="475"/>
      <c r="K6" s="1668">
        <f>SUM(C6,E6)</f>
        <v>0</v>
      </c>
      <c r="L6" s="471">
        <v>300</v>
      </c>
    </row>
    <row r="7" spans="1:14" x14ac:dyDescent="0.2">
      <c r="A7" s="1501" t="s">
        <v>163</v>
      </c>
      <c r="B7" s="611" t="s">
        <v>967</v>
      </c>
      <c r="C7" s="467">
        <v>82408</v>
      </c>
      <c r="D7" s="467">
        <v>803</v>
      </c>
      <c r="E7" s="467">
        <v>2356</v>
      </c>
      <c r="F7" s="467">
        <v>18820</v>
      </c>
      <c r="G7" s="467">
        <v>0</v>
      </c>
      <c r="H7" s="467">
        <v>0</v>
      </c>
      <c r="I7" s="467">
        <v>0</v>
      </c>
      <c r="J7" s="467">
        <v>0</v>
      </c>
      <c r="K7" s="1668">
        <f t="shared" ref="K7:K32" si="0">SUM(C7:J7)</f>
        <v>104387</v>
      </c>
      <c r="L7" s="471">
        <v>170568</v>
      </c>
    </row>
    <row r="8" spans="1:14" x14ac:dyDescent="0.2">
      <c r="A8" s="1501" t="s">
        <v>164</v>
      </c>
      <c r="B8" s="611">
        <v>1200</v>
      </c>
      <c r="C8" s="466">
        <v>292173</v>
      </c>
      <c r="D8" s="466">
        <v>28520</v>
      </c>
      <c r="E8" s="466">
        <v>0</v>
      </c>
      <c r="F8" s="466">
        <v>0</v>
      </c>
      <c r="G8" s="466">
        <v>0</v>
      </c>
      <c r="H8" s="466">
        <v>0</v>
      </c>
      <c r="I8" s="467">
        <v>0</v>
      </c>
      <c r="J8" s="467">
        <v>0</v>
      </c>
      <c r="K8" s="1668">
        <f t="shared" si="0"/>
        <v>320693</v>
      </c>
      <c r="L8" s="471">
        <v>329200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67552</v>
      </c>
      <c r="D10" s="466">
        <v>24</v>
      </c>
      <c r="E10" s="466">
        <v>2741</v>
      </c>
      <c r="F10" s="466">
        <v>29012</v>
      </c>
      <c r="G10" s="466">
        <v>0</v>
      </c>
      <c r="H10" s="466">
        <v>0</v>
      </c>
      <c r="I10" s="467">
        <v>0</v>
      </c>
      <c r="J10" s="467">
        <v>0</v>
      </c>
      <c r="K10" s="1668">
        <f t="shared" si="0"/>
        <v>99329</v>
      </c>
      <c r="L10" s="471">
        <v>139500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30294</v>
      </c>
      <c r="D14" s="466">
        <v>2241</v>
      </c>
      <c r="E14" s="466">
        <v>2385</v>
      </c>
      <c r="F14" s="466">
        <v>2110</v>
      </c>
      <c r="G14" s="466">
        <v>0</v>
      </c>
      <c r="H14" s="466">
        <v>0</v>
      </c>
      <c r="I14" s="467">
        <v>0</v>
      </c>
      <c r="J14" s="467">
        <v>0</v>
      </c>
      <c r="K14" s="1668">
        <f t="shared" si="0"/>
        <v>37030</v>
      </c>
      <c r="L14" s="471">
        <v>38810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1680646</v>
      </c>
      <c r="D33" s="1667">
        <f t="shared" ref="D33:L33" si="1">SUM(D5:D32)</f>
        <v>239637</v>
      </c>
      <c r="E33" s="1667">
        <f t="shared" si="1"/>
        <v>19939</v>
      </c>
      <c r="F33" s="1667">
        <f t="shared" si="1"/>
        <v>82953</v>
      </c>
      <c r="G33" s="1667">
        <f t="shared" si="1"/>
        <v>60940</v>
      </c>
      <c r="H33" s="1667">
        <f t="shared" si="1"/>
        <v>6076</v>
      </c>
      <c r="I33" s="1667">
        <f t="shared" si="1"/>
        <v>0</v>
      </c>
      <c r="J33" s="1667">
        <f t="shared" si="1"/>
        <v>0</v>
      </c>
      <c r="K33" s="1667">
        <f t="shared" si="1"/>
        <v>2090191</v>
      </c>
      <c r="L33" s="1667">
        <f t="shared" si="1"/>
        <v>2360228</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13864</v>
      </c>
      <c r="D38" s="466">
        <v>6</v>
      </c>
      <c r="E38" s="466">
        <v>0</v>
      </c>
      <c r="F38" s="466">
        <v>924</v>
      </c>
      <c r="G38" s="466">
        <v>0</v>
      </c>
      <c r="H38" s="466">
        <v>0</v>
      </c>
      <c r="I38" s="467">
        <v>0</v>
      </c>
      <c r="J38" s="467">
        <v>0</v>
      </c>
      <c r="K38" s="1668">
        <f t="shared" si="2"/>
        <v>14794</v>
      </c>
      <c r="L38" s="466">
        <v>41400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4065</v>
      </c>
      <c r="D40" s="466">
        <v>956</v>
      </c>
      <c r="E40" s="466">
        <v>0</v>
      </c>
      <c r="F40" s="466">
        <v>0</v>
      </c>
      <c r="G40" s="466">
        <v>0</v>
      </c>
      <c r="H40" s="466">
        <v>0</v>
      </c>
      <c r="I40" s="467">
        <v>0</v>
      </c>
      <c r="J40" s="467">
        <v>0</v>
      </c>
      <c r="K40" s="1668">
        <f t="shared" si="2"/>
        <v>5021</v>
      </c>
      <c r="L40" s="466">
        <v>-46860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17929</v>
      </c>
      <c r="D42" s="1667">
        <f t="shared" ref="D42:L42" si="3">SUM(D36:D41)</f>
        <v>962</v>
      </c>
      <c r="E42" s="1667">
        <f t="shared" si="3"/>
        <v>0</v>
      </c>
      <c r="F42" s="1667">
        <f t="shared" si="3"/>
        <v>924</v>
      </c>
      <c r="G42" s="1667">
        <f t="shared" si="3"/>
        <v>0</v>
      </c>
      <c r="H42" s="1667">
        <f t="shared" si="3"/>
        <v>0</v>
      </c>
      <c r="I42" s="1667">
        <f t="shared" si="3"/>
        <v>0</v>
      </c>
      <c r="J42" s="1667">
        <f t="shared" si="3"/>
        <v>0</v>
      </c>
      <c r="K42" s="1667">
        <f t="shared" si="3"/>
        <v>19815</v>
      </c>
      <c r="L42" s="1667">
        <f t="shared" si="3"/>
        <v>-5460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686</v>
      </c>
      <c r="F44" s="479">
        <v>0</v>
      </c>
      <c r="G44" s="479">
        <v>0</v>
      </c>
      <c r="H44" s="479">
        <v>0</v>
      </c>
      <c r="I44" s="467">
        <v>0</v>
      </c>
      <c r="J44" s="467">
        <v>0</v>
      </c>
      <c r="K44" s="1669">
        <f>SUM(C44:J44)</f>
        <v>686</v>
      </c>
      <c r="L44" s="479">
        <v>8000</v>
      </c>
    </row>
    <row r="45" spans="1:14" x14ac:dyDescent="0.2">
      <c r="A45" s="1501" t="s">
        <v>815</v>
      </c>
      <c r="B45" s="611">
        <v>2220</v>
      </c>
      <c r="C45" s="466">
        <v>12786</v>
      </c>
      <c r="D45" s="466">
        <v>6</v>
      </c>
      <c r="E45" s="466">
        <v>1099</v>
      </c>
      <c r="F45" s="466">
        <v>0</v>
      </c>
      <c r="G45" s="466">
        <v>0</v>
      </c>
      <c r="H45" s="466">
        <v>0</v>
      </c>
      <c r="I45" s="467">
        <v>0</v>
      </c>
      <c r="J45" s="467">
        <v>0</v>
      </c>
      <c r="K45" s="1669">
        <f>SUM(C45:J45)</f>
        <v>13891</v>
      </c>
      <c r="L45" s="466">
        <v>14200</v>
      </c>
    </row>
    <row r="46" spans="1:14" x14ac:dyDescent="0.2">
      <c r="A46" s="1501" t="s">
        <v>816</v>
      </c>
      <c r="B46" s="611">
        <v>2230</v>
      </c>
      <c r="C46" s="466">
        <v>0</v>
      </c>
      <c r="D46" s="466">
        <v>0</v>
      </c>
      <c r="E46" s="466">
        <v>0</v>
      </c>
      <c r="F46" s="466">
        <v>5000</v>
      </c>
      <c r="G46" s="466">
        <v>0</v>
      </c>
      <c r="H46" s="466">
        <v>0</v>
      </c>
      <c r="I46" s="467">
        <v>0</v>
      </c>
      <c r="J46" s="467">
        <v>0</v>
      </c>
      <c r="K46" s="1669">
        <f>SUM(C46:J46)</f>
        <v>5000</v>
      </c>
      <c r="L46" s="466">
        <v>0</v>
      </c>
    </row>
    <row r="47" spans="1:14" ht="12.75" customHeight="1" thickBot="1" x14ac:dyDescent="0.25">
      <c r="A47" s="1665" t="s">
        <v>561</v>
      </c>
      <c r="B47" s="1666" t="s">
        <v>32</v>
      </c>
      <c r="C47" s="1667">
        <f>SUM(C44:C46)</f>
        <v>12786</v>
      </c>
      <c r="D47" s="1667">
        <f t="shared" ref="D47:K47" si="4">SUM(D44:D46)</f>
        <v>6</v>
      </c>
      <c r="E47" s="1667">
        <f t="shared" si="4"/>
        <v>1785</v>
      </c>
      <c r="F47" s="1667">
        <f t="shared" si="4"/>
        <v>5000</v>
      </c>
      <c r="G47" s="1667">
        <f t="shared" si="4"/>
        <v>0</v>
      </c>
      <c r="H47" s="1667">
        <f t="shared" si="4"/>
        <v>0</v>
      </c>
      <c r="I47" s="1667">
        <f t="shared" si="4"/>
        <v>0</v>
      </c>
      <c r="J47" s="1667">
        <f t="shared" si="4"/>
        <v>0</v>
      </c>
      <c r="K47" s="1667">
        <f t="shared" si="4"/>
        <v>19577</v>
      </c>
      <c r="L47" s="1667">
        <f>SUM(L44:L46)</f>
        <v>22200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1788</v>
      </c>
      <c r="D49" s="479">
        <v>3254</v>
      </c>
      <c r="E49" s="479">
        <v>26071</v>
      </c>
      <c r="F49" s="479">
        <v>2796</v>
      </c>
      <c r="G49" s="479">
        <v>0</v>
      </c>
      <c r="H49" s="479">
        <v>7956</v>
      </c>
      <c r="I49" s="467">
        <v>0</v>
      </c>
      <c r="J49" s="467">
        <v>0</v>
      </c>
      <c r="K49" s="1669">
        <f>SUM(C49:J49)</f>
        <v>41865</v>
      </c>
      <c r="L49" s="479">
        <v>47459</v>
      </c>
    </row>
    <row r="50" spans="1:14" x14ac:dyDescent="0.2">
      <c r="A50" s="1501" t="s">
        <v>818</v>
      </c>
      <c r="B50" s="611">
        <v>2320</v>
      </c>
      <c r="C50" s="467">
        <v>167744</v>
      </c>
      <c r="D50" s="466">
        <v>44379</v>
      </c>
      <c r="E50" s="466">
        <v>2379</v>
      </c>
      <c r="F50" s="466">
        <v>4962</v>
      </c>
      <c r="G50" s="466">
        <v>0</v>
      </c>
      <c r="H50" s="466">
        <v>819</v>
      </c>
      <c r="I50" s="467">
        <v>0</v>
      </c>
      <c r="J50" s="467">
        <v>0</v>
      </c>
      <c r="K50" s="1669">
        <f>SUM(C50:J50)</f>
        <v>220283</v>
      </c>
      <c r="L50" s="466">
        <v>240525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169532</v>
      </c>
      <c r="D53" s="1667">
        <f t="shared" ref="D53:L53" si="5">SUM(D49:D52)</f>
        <v>47633</v>
      </c>
      <c r="E53" s="1667">
        <f t="shared" si="5"/>
        <v>28450</v>
      </c>
      <c r="F53" s="1667">
        <f t="shared" si="5"/>
        <v>7758</v>
      </c>
      <c r="G53" s="1667">
        <f t="shared" si="5"/>
        <v>0</v>
      </c>
      <c r="H53" s="1667">
        <f t="shared" si="5"/>
        <v>8775</v>
      </c>
      <c r="I53" s="1667">
        <f t="shared" si="5"/>
        <v>0</v>
      </c>
      <c r="J53" s="1667">
        <f t="shared" si="5"/>
        <v>0</v>
      </c>
      <c r="K53" s="1667">
        <f t="shared" si="5"/>
        <v>262148</v>
      </c>
      <c r="L53" s="1667">
        <f t="shared" si="5"/>
        <v>287984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124661</v>
      </c>
      <c r="D55" s="479">
        <v>29381</v>
      </c>
      <c r="E55" s="479">
        <v>69</v>
      </c>
      <c r="F55" s="479">
        <v>815</v>
      </c>
      <c r="G55" s="479">
        <v>0</v>
      </c>
      <c r="H55" s="479">
        <v>790</v>
      </c>
      <c r="I55" s="467">
        <v>0</v>
      </c>
      <c r="J55" s="467">
        <v>0</v>
      </c>
      <c r="K55" s="1669">
        <f>SUM(C55:J55)</f>
        <v>155716</v>
      </c>
      <c r="L55" s="479">
        <v>168600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124661</v>
      </c>
      <c r="D57" s="1671">
        <f t="shared" ref="D57:K57" si="6">SUM(D55:D56)</f>
        <v>29381</v>
      </c>
      <c r="E57" s="1671">
        <f t="shared" si="6"/>
        <v>69</v>
      </c>
      <c r="F57" s="1671">
        <f t="shared" si="6"/>
        <v>815</v>
      </c>
      <c r="G57" s="1671">
        <f t="shared" si="6"/>
        <v>0</v>
      </c>
      <c r="H57" s="1671">
        <f t="shared" si="6"/>
        <v>790</v>
      </c>
      <c r="I57" s="1671">
        <f t="shared" si="6"/>
        <v>0</v>
      </c>
      <c r="J57" s="1671">
        <f t="shared" si="6"/>
        <v>0</v>
      </c>
      <c r="K57" s="1671">
        <f t="shared" si="6"/>
        <v>155716</v>
      </c>
      <c r="L57" s="1667">
        <f>SUM(L55:L56)</f>
        <v>168600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40719</v>
      </c>
      <c r="D60" s="466">
        <v>552</v>
      </c>
      <c r="E60" s="466">
        <v>0</v>
      </c>
      <c r="F60" s="466">
        <v>7044</v>
      </c>
      <c r="G60" s="466">
        <v>0</v>
      </c>
      <c r="H60" s="466">
        <v>0</v>
      </c>
      <c r="I60" s="467">
        <v>0</v>
      </c>
      <c r="J60" s="467">
        <v>0</v>
      </c>
      <c r="K60" s="1669">
        <f t="shared" si="7"/>
        <v>48315</v>
      </c>
      <c r="L60" s="466">
        <v>59290</v>
      </c>
      <c r="M60" s="606"/>
      <c r="N60" s="606"/>
    </row>
    <row r="61" spans="1:14" s="343" customFormat="1" x14ac:dyDescent="0.2">
      <c r="A61" s="1501" t="s">
        <v>197</v>
      </c>
      <c r="B61" s="611">
        <v>2540</v>
      </c>
      <c r="C61" s="466">
        <v>0</v>
      </c>
      <c r="D61" s="466">
        <v>0</v>
      </c>
      <c r="E61" s="466">
        <v>66408</v>
      </c>
      <c r="F61" s="466">
        <v>49748</v>
      </c>
      <c r="G61" s="466">
        <v>0</v>
      </c>
      <c r="H61" s="466">
        <v>0</v>
      </c>
      <c r="I61" s="467">
        <v>0</v>
      </c>
      <c r="J61" s="467">
        <v>0</v>
      </c>
      <c r="K61" s="1669">
        <f t="shared" si="7"/>
        <v>116156</v>
      </c>
      <c r="L61" s="466">
        <v>137000</v>
      </c>
      <c r="M61" s="606"/>
      <c r="N61" s="606"/>
    </row>
    <row r="62" spans="1:14" s="343" customFormat="1" x14ac:dyDescent="0.2">
      <c r="A62" s="1501" t="s">
        <v>953</v>
      </c>
      <c r="B62" s="611">
        <v>2550</v>
      </c>
      <c r="C62" s="466">
        <v>0</v>
      </c>
      <c r="D62" s="466">
        <v>0</v>
      </c>
      <c r="E62" s="466">
        <v>2390</v>
      </c>
      <c r="F62" s="466">
        <v>0</v>
      </c>
      <c r="G62" s="466">
        <v>0</v>
      </c>
      <c r="H62" s="466">
        <v>0</v>
      </c>
      <c r="I62" s="467">
        <v>0</v>
      </c>
      <c r="J62" s="467">
        <v>0</v>
      </c>
      <c r="K62" s="1669">
        <f t="shared" si="7"/>
        <v>2390</v>
      </c>
      <c r="L62" s="466">
        <v>3500</v>
      </c>
      <c r="M62" s="606"/>
      <c r="N62" s="606"/>
    </row>
    <row r="63" spans="1:14" s="606" customFormat="1" x14ac:dyDescent="0.2">
      <c r="A63" s="1501" t="s">
        <v>100</v>
      </c>
      <c r="B63" s="611">
        <v>2560</v>
      </c>
      <c r="C63" s="466">
        <v>78649</v>
      </c>
      <c r="D63" s="466">
        <v>12800</v>
      </c>
      <c r="E63" s="466">
        <v>994</v>
      </c>
      <c r="F63" s="466">
        <v>160827</v>
      </c>
      <c r="G63" s="466">
        <v>0</v>
      </c>
      <c r="H63" s="466">
        <v>1890</v>
      </c>
      <c r="I63" s="467">
        <v>0</v>
      </c>
      <c r="J63" s="467">
        <v>0</v>
      </c>
      <c r="K63" s="1669">
        <f t="shared" si="7"/>
        <v>255160</v>
      </c>
      <c r="L63" s="466">
        <v>280780</v>
      </c>
    </row>
    <row r="64" spans="1:14" s="606" customFormat="1" x14ac:dyDescent="0.2">
      <c r="A64" s="1506" t="s">
        <v>101</v>
      </c>
      <c r="B64" s="627">
        <v>2570</v>
      </c>
      <c r="C64" s="467">
        <v>0</v>
      </c>
      <c r="D64" s="479">
        <v>0</v>
      </c>
      <c r="E64" s="479">
        <v>2529</v>
      </c>
      <c r="F64" s="479">
        <v>0</v>
      </c>
      <c r="G64" s="479">
        <v>0</v>
      </c>
      <c r="H64" s="479">
        <v>0</v>
      </c>
      <c r="I64" s="467">
        <v>0</v>
      </c>
      <c r="J64" s="467">
        <v>0</v>
      </c>
      <c r="K64" s="1669">
        <f t="shared" si="7"/>
        <v>2529</v>
      </c>
      <c r="L64" s="479">
        <v>1000</v>
      </c>
    </row>
    <row r="65" spans="1:14" s="343" customFormat="1" ht="12.75" customHeight="1" thickBot="1" x14ac:dyDescent="0.25">
      <c r="A65" s="1665" t="s">
        <v>719</v>
      </c>
      <c r="B65" s="1666" t="s">
        <v>35</v>
      </c>
      <c r="C65" s="1667">
        <f>SUM(C59:C64)</f>
        <v>119368</v>
      </c>
      <c r="D65" s="1667">
        <f t="shared" ref="D65:L65" si="8">SUM(D59:D64)</f>
        <v>13352</v>
      </c>
      <c r="E65" s="1667">
        <f t="shared" si="8"/>
        <v>72321</v>
      </c>
      <c r="F65" s="1667">
        <f t="shared" si="8"/>
        <v>217619</v>
      </c>
      <c r="G65" s="1667">
        <f t="shared" si="8"/>
        <v>0</v>
      </c>
      <c r="H65" s="1667">
        <f t="shared" si="8"/>
        <v>1890</v>
      </c>
      <c r="I65" s="1667">
        <f t="shared" si="8"/>
        <v>0</v>
      </c>
      <c r="J65" s="1667">
        <f t="shared" si="8"/>
        <v>0</v>
      </c>
      <c r="K65" s="1667">
        <f t="shared" si="8"/>
        <v>424550</v>
      </c>
      <c r="L65" s="1667">
        <f t="shared" si="8"/>
        <v>481570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444276</v>
      </c>
      <c r="D74" s="1674">
        <f t="shared" ref="D74:K74" si="10">SUM(D42,D47,D53,D57,D65,D72,D73)</f>
        <v>91334</v>
      </c>
      <c r="E74" s="1674">
        <f t="shared" si="10"/>
        <v>102625</v>
      </c>
      <c r="F74" s="1674">
        <f t="shared" si="10"/>
        <v>232116</v>
      </c>
      <c r="G74" s="1674">
        <f t="shared" si="10"/>
        <v>0</v>
      </c>
      <c r="H74" s="1674">
        <f t="shared" si="10"/>
        <v>11455</v>
      </c>
      <c r="I74" s="1674">
        <f t="shared" si="10"/>
        <v>0</v>
      </c>
      <c r="J74" s="1674">
        <f t="shared" si="10"/>
        <v>0</v>
      </c>
      <c r="K74" s="1674">
        <f t="shared" si="10"/>
        <v>881806</v>
      </c>
      <c r="L74" s="1674">
        <f>SUM(L42,L47,L53,L57,L65,L72,L73)</f>
        <v>954894</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5324</v>
      </c>
      <c r="F78" s="613"/>
      <c r="G78" s="613"/>
      <c r="H78" s="631">
        <v>0</v>
      </c>
      <c r="I78" s="475"/>
      <c r="J78" s="475"/>
      <c r="K78" s="1668">
        <f t="shared" ref="K78:K83" si="11">SUM(C78:J78)</f>
        <v>5324</v>
      </c>
      <c r="L78" s="479">
        <v>5500</v>
      </c>
    </row>
    <row r="79" spans="1:14" x14ac:dyDescent="0.2">
      <c r="A79" s="1501" t="s">
        <v>304</v>
      </c>
      <c r="B79" s="611">
        <v>4120</v>
      </c>
      <c r="C79" s="613"/>
      <c r="D79" s="613"/>
      <c r="E79" s="466">
        <v>144677</v>
      </c>
      <c r="F79" s="613"/>
      <c r="G79" s="613"/>
      <c r="H79" s="466">
        <v>7098</v>
      </c>
      <c r="I79" s="475"/>
      <c r="J79" s="475"/>
      <c r="K79" s="1668">
        <f t="shared" si="11"/>
        <v>151775</v>
      </c>
      <c r="L79" s="466">
        <v>216300</v>
      </c>
    </row>
    <row r="80" spans="1:14" x14ac:dyDescent="0.2">
      <c r="A80" s="1501" t="s">
        <v>305</v>
      </c>
      <c r="B80" s="611">
        <v>4130</v>
      </c>
      <c r="C80" s="613"/>
      <c r="D80" s="613"/>
      <c r="E80" s="466">
        <v>0</v>
      </c>
      <c r="F80" s="613"/>
      <c r="G80" s="613"/>
      <c r="H80" s="466">
        <v>0</v>
      </c>
      <c r="I80" s="475"/>
      <c r="J80" s="475"/>
      <c r="K80" s="1668">
        <f t="shared" si="11"/>
        <v>0</v>
      </c>
      <c r="L80" s="466">
        <v>500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1714</v>
      </c>
      <c r="I83" s="475"/>
      <c r="J83" s="475"/>
      <c r="K83" s="1668">
        <f t="shared" si="11"/>
        <v>1714</v>
      </c>
      <c r="L83" s="466">
        <v>0</v>
      </c>
    </row>
    <row r="84" spans="1:12" ht="13.5" thickBot="1" x14ac:dyDescent="0.25">
      <c r="A84" s="1665" t="s">
        <v>1485</v>
      </c>
      <c r="B84" s="1675">
        <v>4100</v>
      </c>
      <c r="C84" s="613"/>
      <c r="D84" s="613"/>
      <c r="E84" s="1667">
        <f>SUM(E78:E83)</f>
        <v>150001</v>
      </c>
      <c r="F84" s="613"/>
      <c r="G84" s="613"/>
      <c r="H84" s="1667">
        <f>SUM(H78:H83)</f>
        <v>8812</v>
      </c>
      <c r="I84" s="475"/>
      <c r="J84" s="475"/>
      <c r="K84" s="1667">
        <f>SUM(K78:K83)</f>
        <v>158813</v>
      </c>
      <c r="L84" s="1667">
        <f>SUM(L78:L83)</f>
        <v>222300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85663</v>
      </c>
      <c r="I86" s="475"/>
      <c r="J86" s="475"/>
      <c r="K86" s="1674">
        <f t="shared" ref="K86:K98" si="12">H86</f>
        <v>85663</v>
      </c>
      <c r="L86" s="527">
        <v>120000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85663</v>
      </c>
      <c r="I92" s="475"/>
      <c r="J92" s="475"/>
      <c r="K92" s="1674">
        <f t="shared" si="12"/>
        <v>85663</v>
      </c>
      <c r="L92" s="1667">
        <f>SUM(L85:L91)</f>
        <v>120000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150001</v>
      </c>
      <c r="F102" s="613"/>
      <c r="G102" s="613"/>
      <c r="H102" s="1674">
        <f>SUM(H84,H92,H100,H101)</f>
        <v>94475</v>
      </c>
      <c r="I102" s="475"/>
      <c r="J102" s="475"/>
      <c r="K102" s="1674">
        <f>SUM(K84,K92,K100,K101)</f>
        <v>244476</v>
      </c>
      <c r="L102" s="1674">
        <f>SUM(L84,L92,L100,L101)</f>
        <v>342300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2124922</v>
      </c>
      <c r="D114" s="1667">
        <f t="shared" ref="D114:K114" si="13">SUM(D33,D74,D75,D102,D112,D113)</f>
        <v>330971</v>
      </c>
      <c r="E114" s="1667">
        <f t="shared" si="13"/>
        <v>272565</v>
      </c>
      <c r="F114" s="1667">
        <f t="shared" si="13"/>
        <v>315069</v>
      </c>
      <c r="G114" s="1667">
        <f t="shared" si="13"/>
        <v>60940</v>
      </c>
      <c r="H114" s="1667">
        <f>SUM(H33,H74,H75,H102,H112,H113)</f>
        <v>112006</v>
      </c>
      <c r="I114" s="1667">
        <f t="shared" si="13"/>
        <v>0</v>
      </c>
      <c r="J114" s="1667">
        <f t="shared" si="13"/>
        <v>0</v>
      </c>
      <c r="K114" s="1667">
        <f t="shared" si="13"/>
        <v>3216473</v>
      </c>
      <c r="L114" s="1667">
        <f>SUM(L33,L74,L75,L102,L112,L113)</f>
        <v>3657422</v>
      </c>
    </row>
    <row r="115" spans="1:14" ht="13.5" thickTop="1" x14ac:dyDescent="0.2">
      <c r="A115" s="2239" t="s">
        <v>996</v>
      </c>
      <c r="B115" s="2240"/>
      <c r="C115" s="615"/>
      <c r="D115" s="615"/>
      <c r="E115" s="615"/>
      <c r="F115" s="615"/>
      <c r="G115" s="615"/>
      <c r="H115" s="615"/>
      <c r="I115" s="615"/>
      <c r="J115" s="615"/>
      <c r="K115" s="1681">
        <f>'Revenues 9-14'!C268-'Expenditures 15-22'!K114</f>
        <v>671260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44" t="s">
        <v>296</v>
      </c>
      <c r="B117" s="2245"/>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165436</v>
      </c>
      <c r="H123" s="466">
        <v>0</v>
      </c>
      <c r="I123" s="467">
        <v>0</v>
      </c>
      <c r="J123" s="467">
        <v>0</v>
      </c>
      <c r="K123" s="1667">
        <f>SUM(C123:J123)</f>
        <v>165436</v>
      </c>
      <c r="L123" s="466">
        <v>3500</v>
      </c>
    </row>
    <row r="124" spans="1:14" ht="14.25" thickTop="1" thickBot="1" x14ac:dyDescent="0.25">
      <c r="A124" s="1501" t="s">
        <v>197</v>
      </c>
      <c r="B124" s="611">
        <v>2540</v>
      </c>
      <c r="C124" s="466">
        <v>148853</v>
      </c>
      <c r="D124" s="466">
        <v>4919</v>
      </c>
      <c r="E124" s="466">
        <v>21213</v>
      </c>
      <c r="F124" s="466">
        <v>37625</v>
      </c>
      <c r="G124" s="466">
        <v>17388</v>
      </c>
      <c r="H124" s="466">
        <v>0</v>
      </c>
      <c r="I124" s="467">
        <v>0</v>
      </c>
      <c r="J124" s="467">
        <v>0</v>
      </c>
      <c r="K124" s="1667">
        <f>SUM(C124:J124)</f>
        <v>229998</v>
      </c>
      <c r="L124" s="466">
        <v>471563</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148853</v>
      </c>
      <c r="D127" s="1667">
        <f t="shared" ref="D127:L127" si="14">SUM(D122:D126)</f>
        <v>4919</v>
      </c>
      <c r="E127" s="1667">
        <f t="shared" si="14"/>
        <v>21213</v>
      </c>
      <c r="F127" s="1667">
        <f t="shared" si="14"/>
        <v>37625</v>
      </c>
      <c r="G127" s="1667">
        <f t="shared" si="14"/>
        <v>182824</v>
      </c>
      <c r="H127" s="1667">
        <f t="shared" si="14"/>
        <v>0</v>
      </c>
      <c r="I127" s="1667">
        <f t="shared" si="14"/>
        <v>0</v>
      </c>
      <c r="J127" s="1667">
        <f t="shared" si="14"/>
        <v>0</v>
      </c>
      <c r="K127" s="1667">
        <f t="shared" si="14"/>
        <v>395434</v>
      </c>
      <c r="L127" s="1667">
        <f t="shared" si="14"/>
        <v>475063</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148853</v>
      </c>
      <c r="D129" s="1674">
        <f t="shared" ref="D129:L129" si="15">SUM(D120,D127,D128)</f>
        <v>4919</v>
      </c>
      <c r="E129" s="1674">
        <f t="shared" si="15"/>
        <v>21213</v>
      </c>
      <c r="F129" s="1674">
        <f t="shared" si="15"/>
        <v>37625</v>
      </c>
      <c r="G129" s="1674">
        <f t="shared" si="15"/>
        <v>182824</v>
      </c>
      <c r="H129" s="1674">
        <f t="shared" si="15"/>
        <v>0</v>
      </c>
      <c r="I129" s="1674">
        <f t="shared" si="15"/>
        <v>0</v>
      </c>
      <c r="J129" s="1674">
        <f t="shared" si="15"/>
        <v>0</v>
      </c>
      <c r="K129" s="1674">
        <f t="shared" si="15"/>
        <v>395434</v>
      </c>
      <c r="L129" s="1674">
        <f t="shared" si="15"/>
        <v>475063</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5000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5000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5000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56" t="s">
        <v>620</v>
      </c>
      <c r="B151" s="2236"/>
      <c r="C151" s="1667">
        <f>SUM(C129,C130,C139,C149,C150)</f>
        <v>148853</v>
      </c>
      <c r="D151" s="1667">
        <f t="shared" ref="D151:K151" si="16">SUM(D129,D130,D139,D149,D150)</f>
        <v>4919</v>
      </c>
      <c r="E151" s="1667">
        <f t="shared" si="16"/>
        <v>21213</v>
      </c>
      <c r="F151" s="1667">
        <f t="shared" si="16"/>
        <v>37625</v>
      </c>
      <c r="G151" s="1667">
        <f t="shared" si="16"/>
        <v>182824</v>
      </c>
      <c r="H151" s="1667">
        <f t="shared" si="16"/>
        <v>0</v>
      </c>
      <c r="I151" s="1667">
        <f t="shared" si="16"/>
        <v>0</v>
      </c>
      <c r="J151" s="1667">
        <f t="shared" si="16"/>
        <v>0</v>
      </c>
      <c r="K151" s="1667">
        <f t="shared" si="16"/>
        <v>395434</v>
      </c>
      <c r="L151" s="1667">
        <f>SUM(L129,L130,L139,L149,L150)</f>
        <v>480063</v>
      </c>
    </row>
    <row r="152" spans="1:14" ht="12.75" customHeight="1" thickTop="1" x14ac:dyDescent="0.2">
      <c r="A152" s="2259" t="s">
        <v>1178</v>
      </c>
      <c r="B152" s="2260"/>
      <c r="C152" s="615"/>
      <c r="D152" s="615"/>
      <c r="E152" s="615"/>
      <c r="F152" s="615"/>
      <c r="G152" s="615"/>
      <c r="H152" s="615"/>
      <c r="I152" s="615"/>
      <c r="J152" s="613"/>
      <c r="K152" s="1681">
        <f>'Revenues 9-14'!D268-'Expenditures 15-22'!K151</f>
        <v>-145072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44" t="s">
        <v>621</v>
      </c>
      <c r="B154" s="2246"/>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18597</v>
      </c>
      <c r="I169" s="613"/>
      <c r="J169" s="613"/>
      <c r="K169" s="1668">
        <f>SUM(C169:H169)</f>
        <v>18597</v>
      </c>
      <c r="L169" s="653">
        <v>28200</v>
      </c>
    </row>
    <row r="170" spans="1:14" ht="33.75" customHeight="1" x14ac:dyDescent="0.2">
      <c r="A170" s="666" t="s">
        <v>1670</v>
      </c>
      <c r="B170" s="668" t="s">
        <v>31</v>
      </c>
      <c r="C170" s="613"/>
      <c r="D170" s="613"/>
      <c r="E170" s="613"/>
      <c r="F170" s="613"/>
      <c r="G170" s="613"/>
      <c r="H170" s="566">
        <v>240000</v>
      </c>
      <c r="I170" s="613"/>
      <c r="J170" s="613"/>
      <c r="K170" s="1668">
        <f>SUM(C170:J170)</f>
        <v>240000</v>
      </c>
      <c r="L170" s="566">
        <v>235000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258597</v>
      </c>
      <c r="I172" s="635"/>
      <c r="J172" s="613"/>
      <c r="K172" s="1674">
        <f>SUM(K168,K169,K170,K171)</f>
        <v>258597</v>
      </c>
      <c r="L172" s="1674">
        <f>SUM(L168,L169,L170,L171)</f>
        <v>263200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258597</v>
      </c>
      <c r="I174" s="635"/>
      <c r="J174" s="613"/>
      <c r="K174" s="1674">
        <f>SUM(K160,K172,K173)</f>
        <v>258597</v>
      </c>
      <c r="L174" s="1674">
        <f>SUM(L160,L172,L173)</f>
        <v>263200</v>
      </c>
    </row>
    <row r="175" spans="1:14" ht="13.5" thickTop="1" x14ac:dyDescent="0.2">
      <c r="A175" s="2239" t="s">
        <v>996</v>
      </c>
      <c r="B175" s="2240"/>
      <c r="C175" s="613"/>
      <c r="D175" s="613"/>
      <c r="E175" s="613"/>
      <c r="F175" s="613"/>
      <c r="G175" s="613"/>
      <c r="H175" s="615"/>
      <c r="I175" s="613"/>
      <c r="J175" s="613"/>
      <c r="K175" s="1681">
        <f>'Revenues 9-14'!E268-'Expenditures 15-22'!K174</f>
        <v>20808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68102</v>
      </c>
      <c r="F182" s="466">
        <v>0</v>
      </c>
      <c r="G182" s="466">
        <v>0</v>
      </c>
      <c r="H182" s="466">
        <v>0</v>
      </c>
      <c r="I182" s="467">
        <v>0</v>
      </c>
      <c r="J182" s="467">
        <v>0</v>
      </c>
      <c r="K182" s="1668">
        <f>SUM(C182:J182)</f>
        <v>68102</v>
      </c>
      <c r="L182" s="466">
        <v>77500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68102</v>
      </c>
      <c r="F184" s="1674">
        <f t="shared" si="17"/>
        <v>0</v>
      </c>
      <c r="G184" s="1674">
        <f t="shared" si="17"/>
        <v>0</v>
      </c>
      <c r="H184" s="1674">
        <f t="shared" si="17"/>
        <v>0</v>
      </c>
      <c r="I184" s="1674">
        <f t="shared" si="17"/>
        <v>0</v>
      </c>
      <c r="J184" s="1674">
        <f t="shared" si="17"/>
        <v>0</v>
      </c>
      <c r="K184" s="1674">
        <f>SUM(K180,K182,K183)</f>
        <v>68102</v>
      </c>
      <c r="L184" s="1674">
        <f>SUM(L180, L182:L183)</f>
        <v>77500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68102</v>
      </c>
      <c r="F210" s="1667">
        <f>SUM(F184,F185)</f>
        <v>0</v>
      </c>
      <c r="G210" s="1667">
        <f>SUM(G184,G185)</f>
        <v>0</v>
      </c>
      <c r="H210" s="1667">
        <f>SUM(H184,H185,H196,H208,H209)</f>
        <v>0</v>
      </c>
      <c r="I210" s="1667">
        <f>SUM(I184,I185)</f>
        <v>0</v>
      </c>
      <c r="J210" s="1667">
        <f>SUM(J184,J185)</f>
        <v>0</v>
      </c>
      <c r="K210" s="1668">
        <f>SUM(K184,K185,K196,K208,K209)</f>
        <v>68102</v>
      </c>
      <c r="L210" s="1667">
        <f>SUM(L184,L185,L196,L208,L209)</f>
        <v>77500</v>
      </c>
    </row>
    <row r="211" spans="1:14" ht="13.5" thickTop="1" x14ac:dyDescent="0.2">
      <c r="A211" s="2239" t="s">
        <v>996</v>
      </c>
      <c r="B211" s="2240"/>
      <c r="C211" s="615"/>
      <c r="D211" s="615"/>
      <c r="E211" s="615"/>
      <c r="F211" s="615"/>
      <c r="G211" s="615"/>
      <c r="H211" s="615"/>
      <c r="I211" s="613"/>
      <c r="J211" s="613"/>
      <c r="K211" s="1681">
        <f>'Revenues 9-14'!F268-'Expenditures 15-22'!K210</f>
        <v>14902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61" t="s">
        <v>965</v>
      </c>
      <c r="B213" s="2262"/>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24589</v>
      </c>
      <c r="E215" s="613"/>
      <c r="F215" s="613"/>
      <c r="G215" s="613"/>
      <c r="H215" s="613"/>
      <c r="I215" s="613"/>
      <c r="J215" s="613"/>
      <c r="K215" s="1668">
        <f>D215</f>
        <v>24589</v>
      </c>
      <c r="L215" s="466">
        <v>31025</v>
      </c>
    </row>
    <row r="216" spans="1:14" x14ac:dyDescent="0.2">
      <c r="A216" s="1501" t="s">
        <v>163</v>
      </c>
      <c r="B216" s="611" t="s">
        <v>967</v>
      </c>
      <c r="C216" s="613"/>
      <c r="D216" s="467">
        <v>5079</v>
      </c>
      <c r="E216" s="613"/>
      <c r="F216" s="613"/>
      <c r="G216" s="613"/>
      <c r="H216" s="613"/>
      <c r="I216" s="613"/>
      <c r="J216" s="613"/>
      <c r="K216" s="1668">
        <f t="shared" ref="K216:K228" si="19">D216</f>
        <v>5079</v>
      </c>
      <c r="L216" s="466">
        <v>11850</v>
      </c>
    </row>
    <row r="217" spans="1:14" x14ac:dyDescent="0.2">
      <c r="A217" s="1501" t="s">
        <v>164</v>
      </c>
      <c r="B217" s="611">
        <v>1200</v>
      </c>
      <c r="C217" s="613"/>
      <c r="D217" s="466">
        <v>19903</v>
      </c>
      <c r="E217" s="613"/>
      <c r="F217" s="613"/>
      <c r="G217" s="613"/>
      <c r="H217" s="613"/>
      <c r="I217" s="613"/>
      <c r="J217" s="613"/>
      <c r="K217" s="1668">
        <f t="shared" si="19"/>
        <v>19903</v>
      </c>
      <c r="L217" s="466">
        <v>23500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11130</v>
      </c>
      <c r="E219" s="613"/>
      <c r="F219" s="613"/>
      <c r="G219" s="613"/>
      <c r="H219" s="613"/>
      <c r="I219" s="613"/>
      <c r="J219" s="613"/>
      <c r="K219" s="1668">
        <f t="shared" si="19"/>
        <v>11130</v>
      </c>
      <c r="L219" s="466">
        <v>14750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1115</v>
      </c>
      <c r="E223" s="613"/>
      <c r="F223" s="613"/>
      <c r="G223" s="613"/>
      <c r="H223" s="613"/>
      <c r="I223" s="613"/>
      <c r="J223" s="613"/>
      <c r="K223" s="1668">
        <f t="shared" si="19"/>
        <v>1115</v>
      </c>
      <c r="L223" s="466">
        <v>2350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61816</v>
      </c>
      <c r="E229" s="613"/>
      <c r="F229" s="613"/>
      <c r="G229" s="613"/>
      <c r="H229" s="613"/>
      <c r="I229" s="613"/>
      <c r="J229" s="613"/>
      <c r="K229" s="1667">
        <f>SUM(K215:K228)</f>
        <v>61816</v>
      </c>
      <c r="L229" s="1667">
        <f>SUM(L215:L228)</f>
        <v>83475</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4958</v>
      </c>
      <c r="E234" s="613"/>
      <c r="F234" s="613"/>
      <c r="G234" s="613"/>
      <c r="H234" s="613"/>
      <c r="I234" s="613"/>
      <c r="J234" s="613"/>
      <c r="K234" s="1668">
        <f t="shared" si="20"/>
        <v>4958</v>
      </c>
      <c r="L234" s="466">
        <v>6750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54</v>
      </c>
      <c r="E236" s="613"/>
      <c r="F236" s="613"/>
      <c r="G236" s="613"/>
      <c r="H236" s="613"/>
      <c r="I236" s="613"/>
      <c r="J236" s="613"/>
      <c r="K236" s="1668">
        <f t="shared" si="20"/>
        <v>54</v>
      </c>
      <c r="L236" s="466">
        <v>750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5012</v>
      </c>
      <c r="E238" s="613"/>
      <c r="F238" s="613"/>
      <c r="G238" s="613"/>
      <c r="H238" s="613"/>
      <c r="I238" s="613"/>
      <c r="J238" s="613"/>
      <c r="K238" s="1667">
        <f>SUM(K232:K237)</f>
        <v>5012</v>
      </c>
      <c r="L238" s="1667">
        <f>SUM(L232:L237)</f>
        <v>7500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2112</v>
      </c>
      <c r="E241" s="613"/>
      <c r="F241" s="613"/>
      <c r="G241" s="613"/>
      <c r="H241" s="613"/>
      <c r="I241" s="613"/>
      <c r="J241" s="613"/>
      <c r="K241" s="1669">
        <f>D241</f>
        <v>2112</v>
      </c>
      <c r="L241" s="466">
        <v>3000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2112</v>
      </c>
      <c r="E243" s="613"/>
      <c r="F243" s="613"/>
      <c r="G243" s="613"/>
      <c r="H243" s="613"/>
      <c r="I243" s="613"/>
      <c r="J243" s="613"/>
      <c r="K243" s="1667">
        <f>SUM(K240:K242)</f>
        <v>2112</v>
      </c>
      <c r="L243" s="1667">
        <f>SUM(L240:L242)</f>
        <v>3000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283</v>
      </c>
      <c r="E245" s="613"/>
      <c r="F245" s="613"/>
      <c r="G245" s="613"/>
      <c r="H245" s="613"/>
      <c r="I245" s="613"/>
      <c r="J245" s="613"/>
      <c r="K245" s="1669">
        <f>D245</f>
        <v>283</v>
      </c>
      <c r="L245" s="479">
        <v>1275</v>
      </c>
    </row>
    <row r="246" spans="1:12" x14ac:dyDescent="0.2">
      <c r="A246" s="1501" t="s">
        <v>818</v>
      </c>
      <c r="B246" s="611">
        <v>2320</v>
      </c>
      <c r="C246" s="613"/>
      <c r="D246" s="466">
        <v>7063</v>
      </c>
      <c r="E246" s="613"/>
      <c r="F246" s="613"/>
      <c r="G246" s="613"/>
      <c r="H246" s="613"/>
      <c r="I246" s="613"/>
      <c r="J246" s="613"/>
      <c r="K246" s="1669">
        <f t="shared" ref="K246:K256" si="21">D246</f>
        <v>7063</v>
      </c>
      <c r="L246" s="466">
        <v>9500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407</v>
      </c>
      <c r="E254" s="613"/>
      <c r="F254" s="613"/>
      <c r="G254" s="613"/>
      <c r="H254" s="613"/>
      <c r="I254" s="613"/>
      <c r="J254" s="613"/>
      <c r="K254" s="1669">
        <f t="shared" si="21"/>
        <v>407</v>
      </c>
      <c r="L254" s="466">
        <v>4250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7753</v>
      </c>
      <c r="E257" s="613"/>
      <c r="F257" s="613"/>
      <c r="G257" s="613"/>
      <c r="H257" s="613"/>
      <c r="I257" s="613"/>
      <c r="J257" s="613"/>
      <c r="K257" s="1667">
        <f>SUM(K245:K256)</f>
        <v>7753</v>
      </c>
      <c r="L257" s="1667">
        <f>SUM(L245:L256)</f>
        <v>15025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6506</v>
      </c>
      <c r="E259" s="613"/>
      <c r="F259" s="613"/>
      <c r="G259" s="613"/>
      <c r="H259" s="613"/>
      <c r="I259" s="613"/>
      <c r="J259" s="613"/>
      <c r="K259" s="1669">
        <f>D259</f>
        <v>6506</v>
      </c>
      <c r="L259" s="479">
        <v>8750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6506</v>
      </c>
      <c r="E261" s="613"/>
      <c r="F261" s="613"/>
      <c r="G261" s="613"/>
      <c r="H261" s="613"/>
      <c r="I261" s="613"/>
      <c r="J261" s="613"/>
      <c r="K261" s="1667">
        <f>SUM(K259:K260)</f>
        <v>6506</v>
      </c>
      <c r="L261" s="1667">
        <f>SUM(L259:L260)</f>
        <v>8750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8138</v>
      </c>
      <c r="E264" s="613"/>
      <c r="F264" s="613"/>
      <c r="G264" s="613"/>
      <c r="H264" s="613"/>
      <c r="I264" s="613"/>
      <c r="J264" s="613"/>
      <c r="K264" s="1669">
        <f t="shared" ref="K264:K269" si="22">D264</f>
        <v>8138</v>
      </c>
      <c r="L264" s="466">
        <v>10250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21750</v>
      </c>
      <c r="E266" s="613"/>
      <c r="F266" s="613"/>
      <c r="G266" s="613"/>
      <c r="H266" s="613"/>
      <c r="I266" s="613"/>
      <c r="J266" s="613"/>
      <c r="K266" s="1669">
        <f t="shared" si="22"/>
        <v>21750</v>
      </c>
      <c r="L266" s="466">
        <v>38500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12931</v>
      </c>
      <c r="E268" s="613"/>
      <c r="F268" s="613"/>
      <c r="G268" s="613"/>
      <c r="H268" s="613"/>
      <c r="I268" s="613"/>
      <c r="J268" s="613"/>
      <c r="K268" s="1669">
        <f t="shared" si="22"/>
        <v>12931</v>
      </c>
      <c r="L268" s="466">
        <v>15500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42819</v>
      </c>
      <c r="E270" s="613"/>
      <c r="F270" s="613"/>
      <c r="G270" s="613"/>
      <c r="H270" s="613"/>
      <c r="I270" s="613"/>
      <c r="J270" s="613"/>
      <c r="K270" s="1667">
        <f>SUM(K263:K269)</f>
        <v>42819</v>
      </c>
      <c r="L270" s="1667">
        <f>SUM(L263:L269)</f>
        <v>64250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64202</v>
      </c>
      <c r="E279" s="613"/>
      <c r="F279" s="613"/>
      <c r="G279" s="613"/>
      <c r="H279" s="613"/>
      <c r="I279" s="613"/>
      <c r="J279" s="613"/>
      <c r="K279" s="1674">
        <f>SUM(K238,K243,K257,K261,K270,K277,K278)</f>
        <v>64202</v>
      </c>
      <c r="L279" s="1674">
        <f>SUM(L238,L243,L257,L261,L270,L277,L278)</f>
        <v>98525</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57" t="s">
        <v>505</v>
      </c>
      <c r="B295" s="2258"/>
      <c r="C295" s="613"/>
      <c r="D295" s="1667">
        <f>SUM(D229,D279,D280,D285)</f>
        <v>126018</v>
      </c>
      <c r="E295" s="613"/>
      <c r="F295" s="613"/>
      <c r="G295" s="613"/>
      <c r="H295" s="1667">
        <f>H293</f>
        <v>0</v>
      </c>
      <c r="I295" s="613"/>
      <c r="J295" s="613"/>
      <c r="K295" s="1667">
        <f>SUM(K229,K279,K280,K285,K293,K294)</f>
        <v>126018</v>
      </c>
      <c r="L295" s="1667">
        <f>SUM(L229,L279,L280,L285,L293,L294)</f>
        <v>182000</v>
      </c>
    </row>
    <row r="296" spans="1:14" ht="13.5" thickTop="1" x14ac:dyDescent="0.2">
      <c r="A296" s="2239" t="s">
        <v>996</v>
      </c>
      <c r="B296" s="2240"/>
      <c r="C296" s="613"/>
      <c r="D296" s="615"/>
      <c r="E296" s="613"/>
      <c r="F296" s="613"/>
      <c r="G296" s="613"/>
      <c r="H296" s="684"/>
      <c r="I296" s="613"/>
      <c r="J296" s="613"/>
      <c r="K296" s="1681">
        <f>'Revenues 9-14'!G268-'Expenditures 15-22'!K295</f>
        <v>32065</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49" t="s">
        <v>143</v>
      </c>
      <c r="B298" s="2243"/>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196</v>
      </c>
      <c r="F301" s="466">
        <v>0</v>
      </c>
      <c r="G301" s="466">
        <v>23858</v>
      </c>
      <c r="H301" s="466">
        <v>0</v>
      </c>
      <c r="I301" s="467">
        <v>0</v>
      </c>
      <c r="J301" s="467">
        <v>0</v>
      </c>
      <c r="K301" s="1668">
        <f>SUM(C301:J301)</f>
        <v>24054</v>
      </c>
      <c r="L301" s="467">
        <v>30000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196</v>
      </c>
      <c r="F303" s="1674">
        <f t="shared" si="23"/>
        <v>0</v>
      </c>
      <c r="G303" s="1674">
        <f t="shared" si="23"/>
        <v>23858</v>
      </c>
      <c r="H303" s="1674">
        <f t="shared" si="23"/>
        <v>0</v>
      </c>
      <c r="I303" s="1674">
        <f t="shared" si="23"/>
        <v>0</v>
      </c>
      <c r="J303" s="1674">
        <f t="shared" si="23"/>
        <v>0</v>
      </c>
      <c r="K303" s="1674">
        <f t="shared" si="23"/>
        <v>24054</v>
      </c>
      <c r="L303" s="1674">
        <f t="shared" si="23"/>
        <v>30000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54" t="s">
        <v>277</v>
      </c>
      <c r="B312" s="2255"/>
      <c r="C312" s="1667">
        <f>SUM(C303)</f>
        <v>0</v>
      </c>
      <c r="D312" s="1667">
        <f>SUM(D303)</f>
        <v>0</v>
      </c>
      <c r="E312" s="1667">
        <f>SUM(E303,E310)</f>
        <v>196</v>
      </c>
      <c r="F312" s="1667">
        <f>SUM(F303)</f>
        <v>0</v>
      </c>
      <c r="G312" s="1667">
        <f>SUM(G303)</f>
        <v>23858</v>
      </c>
      <c r="H312" s="1667">
        <f>SUM(H303,H310)</f>
        <v>0</v>
      </c>
      <c r="I312" s="1667">
        <f>SUM(I303)</f>
        <v>0</v>
      </c>
      <c r="J312" s="1667">
        <f>SUM(J303)</f>
        <v>0</v>
      </c>
      <c r="K312" s="1667">
        <f>SUM(K303,K310,K311)</f>
        <v>24054</v>
      </c>
      <c r="L312" s="1667">
        <f>SUM(L303,L310,L311)</f>
        <v>30000</v>
      </c>
      <c r="M312" s="662"/>
      <c r="N312" s="662"/>
    </row>
    <row r="313" spans="1:14" ht="13.5" thickTop="1" x14ac:dyDescent="0.2">
      <c r="A313" s="2250" t="s">
        <v>996</v>
      </c>
      <c r="B313" s="2251"/>
      <c r="C313" s="623"/>
      <c r="D313" s="623"/>
      <c r="E313" s="623"/>
      <c r="F313" s="623"/>
      <c r="G313" s="623"/>
      <c r="H313" s="623"/>
      <c r="I313" s="623"/>
      <c r="J313" s="623"/>
      <c r="K313" s="1682">
        <f>'Revenues 9-14'!H268-'Expenditures 15-22'!K312</f>
        <v>97654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63" t="s">
        <v>149</v>
      </c>
      <c r="B315" s="2264"/>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65" t="s">
        <v>898</v>
      </c>
      <c r="B317" s="2264"/>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12657</v>
      </c>
      <c r="F320" s="467">
        <v>0</v>
      </c>
      <c r="G320" s="467">
        <v>0</v>
      </c>
      <c r="H320" s="467">
        <v>0</v>
      </c>
      <c r="I320" s="467">
        <v>0</v>
      </c>
      <c r="J320" s="467">
        <v>0</v>
      </c>
      <c r="K320" s="1668">
        <f t="shared" ref="K320:K327" si="24">SUM(C320:J320)</f>
        <v>12657</v>
      </c>
      <c r="L320" s="467">
        <v>55000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500</v>
      </c>
      <c r="M321" s="662"/>
      <c r="N321" s="662"/>
    </row>
    <row r="322" spans="1:14" s="671" customFormat="1" x14ac:dyDescent="0.2">
      <c r="A322" s="1516" t="s">
        <v>238</v>
      </c>
      <c r="B322" s="694" t="s">
        <v>284</v>
      </c>
      <c r="C322" s="467">
        <v>0</v>
      </c>
      <c r="D322" s="467">
        <v>0</v>
      </c>
      <c r="E322" s="467">
        <v>31956</v>
      </c>
      <c r="F322" s="467">
        <v>0</v>
      </c>
      <c r="G322" s="467">
        <v>0</v>
      </c>
      <c r="H322" s="467">
        <v>0</v>
      </c>
      <c r="I322" s="467">
        <v>0</v>
      </c>
      <c r="J322" s="467">
        <v>0</v>
      </c>
      <c r="K322" s="1668">
        <f t="shared" si="24"/>
        <v>31956</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45517</v>
      </c>
      <c r="D325" s="467">
        <v>189</v>
      </c>
      <c r="E325" s="467">
        <v>5305</v>
      </c>
      <c r="F325" s="467">
        <v>0</v>
      </c>
      <c r="G325" s="467">
        <v>0</v>
      </c>
      <c r="H325" s="467">
        <v>0</v>
      </c>
      <c r="I325" s="467">
        <v>0</v>
      </c>
      <c r="J325" s="467">
        <v>0</v>
      </c>
      <c r="K325" s="1668">
        <f t="shared" si="24"/>
        <v>51011</v>
      </c>
      <c r="L325" s="467">
        <v>21450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106</v>
      </c>
      <c r="F327" s="467">
        <v>0</v>
      </c>
      <c r="G327" s="467">
        <v>0</v>
      </c>
      <c r="H327" s="467">
        <v>0</v>
      </c>
      <c r="I327" s="467">
        <v>0</v>
      </c>
      <c r="J327" s="467">
        <v>0</v>
      </c>
      <c r="K327" s="1668">
        <f t="shared" si="24"/>
        <v>106</v>
      </c>
      <c r="L327" s="467">
        <v>2500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45517</v>
      </c>
      <c r="D330" s="1667">
        <f t="shared" ref="D330:J330" si="25">SUM(D319:D329)</f>
        <v>189</v>
      </c>
      <c r="E330" s="1667">
        <f t="shared" si="25"/>
        <v>50024</v>
      </c>
      <c r="F330" s="1667">
        <f t="shared" si="25"/>
        <v>0</v>
      </c>
      <c r="G330" s="1667">
        <f t="shared" si="25"/>
        <v>0</v>
      </c>
      <c r="H330" s="1667">
        <f t="shared" si="25"/>
        <v>0</v>
      </c>
      <c r="I330" s="1667">
        <f t="shared" si="25"/>
        <v>0</v>
      </c>
      <c r="J330" s="1667">
        <f t="shared" si="25"/>
        <v>0</v>
      </c>
      <c r="K330" s="1667">
        <f>SUM(K319:K329)</f>
        <v>95730</v>
      </c>
      <c r="L330" s="1667">
        <f>SUM(L319:L329)</f>
        <v>79450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616</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616</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45517</v>
      </c>
      <c r="D342" s="1667">
        <f>SUM(D330)</f>
        <v>189</v>
      </c>
      <c r="E342" s="1667">
        <f>SUM(E330)</f>
        <v>50024</v>
      </c>
      <c r="F342" s="1667">
        <f>SUM(F330)</f>
        <v>0</v>
      </c>
      <c r="G342" s="1667">
        <f>SUM(G330)</f>
        <v>0</v>
      </c>
      <c r="H342" s="1667">
        <f>SUM(H330,H334,H340)</f>
        <v>0</v>
      </c>
      <c r="I342" s="1667">
        <f>SUM(I330)</f>
        <v>0</v>
      </c>
      <c r="J342" s="1667">
        <f>SUM(J330)</f>
        <v>0</v>
      </c>
      <c r="K342" s="1667">
        <f>SUM(K330,K334,K340)</f>
        <v>95730</v>
      </c>
      <c r="L342" s="1674">
        <f>SUM(L330,L340,L341)</f>
        <v>80066</v>
      </c>
    </row>
    <row r="343" spans="1:14" ht="12.75" customHeight="1" thickTop="1" x14ac:dyDescent="0.2">
      <c r="A343" s="2252" t="s">
        <v>996</v>
      </c>
      <c r="B343" s="2253"/>
      <c r="C343" s="613"/>
      <c r="D343" s="613"/>
      <c r="E343" s="613"/>
      <c r="F343" s="613"/>
      <c r="G343" s="613"/>
      <c r="H343" s="613"/>
      <c r="I343" s="613"/>
      <c r="J343" s="613"/>
      <c r="K343" s="1681">
        <f>'Revenues 9-14'!J268-'Expenditures 15-22'!K342</f>
        <v>22318</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42" t="s">
        <v>966</v>
      </c>
      <c r="B345" s="2243"/>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24600</v>
      </c>
      <c r="H348" s="466">
        <v>0</v>
      </c>
      <c r="I348" s="467">
        <v>0</v>
      </c>
      <c r="J348" s="467">
        <v>0</v>
      </c>
      <c r="K348" s="1668">
        <f>SUM(C348:J348)</f>
        <v>24600</v>
      </c>
      <c r="L348" s="466">
        <v>27500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24600</v>
      </c>
      <c r="H350" s="1667">
        <f t="shared" si="26"/>
        <v>0</v>
      </c>
      <c r="I350" s="1667">
        <f t="shared" si="26"/>
        <v>0</v>
      </c>
      <c r="J350" s="1667">
        <f t="shared" si="26"/>
        <v>0</v>
      </c>
      <c r="K350" s="1667">
        <f t="shared" si="26"/>
        <v>24600</v>
      </c>
      <c r="L350" s="1667">
        <f t="shared" si="26"/>
        <v>27500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24600</v>
      </c>
      <c r="H352" s="1667">
        <f t="shared" si="27"/>
        <v>0</v>
      </c>
      <c r="I352" s="1667">
        <f t="shared" si="27"/>
        <v>0</v>
      </c>
      <c r="J352" s="1667">
        <f t="shared" si="27"/>
        <v>0</v>
      </c>
      <c r="K352" s="1667">
        <f t="shared" si="27"/>
        <v>24600</v>
      </c>
      <c r="L352" s="1667">
        <f t="shared" si="27"/>
        <v>27500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24600</v>
      </c>
      <c r="H367" s="1667">
        <f t="shared" si="28"/>
        <v>0</v>
      </c>
      <c r="I367" s="1667">
        <f t="shared" si="28"/>
        <v>0</v>
      </c>
      <c r="J367" s="1667">
        <f t="shared" si="28"/>
        <v>0</v>
      </c>
      <c r="K367" s="1667">
        <f t="shared" si="28"/>
        <v>24600</v>
      </c>
      <c r="L367" s="1667">
        <f t="shared" si="28"/>
        <v>27500</v>
      </c>
    </row>
    <row r="368" spans="1:14" ht="13.5" thickTop="1" x14ac:dyDescent="0.2">
      <c r="A368" s="2239" t="s">
        <v>996</v>
      </c>
      <c r="B368" s="2240"/>
      <c r="C368" s="651"/>
      <c r="D368" s="651"/>
      <c r="E368" s="623"/>
      <c r="F368" s="623"/>
      <c r="G368" s="623"/>
      <c r="H368" s="623"/>
      <c r="I368" s="623"/>
      <c r="J368" s="620"/>
      <c r="K368" s="1668">
        <f>'Revenues 9-14'!K268-'Expenditures 15-22'!K367</f>
        <v>1173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http://schemas.microsoft.com/office/2006/metadata/properties"/>
    <ds:schemaRef ds:uri="http://www.w3.org/XML/1998/namespace"/>
    <ds:schemaRef ds:uri="http://purl.org/dc/terms/"/>
    <ds:schemaRef ds:uri="http://schemas.microsoft.com/sharepoint/v3"/>
    <ds:schemaRef ds:uri="http://purl.org/dc/dcmitype/"/>
    <ds:schemaRef ds:uri="6ce3111e-7420-4802-b50a-75d4e9a0b980"/>
    <ds:schemaRef ds:uri="http://schemas.microsoft.com/office/2006/documentManagement/types"/>
    <ds:schemaRef ds:uri="http://schemas.openxmlformats.org/package/2006/metadata/core-properties"/>
    <ds:schemaRef ds:uri="d21dc803-237d-4c68-8692-8d731fd29118"/>
    <ds:schemaRef ds:uri="http://purl.org/dc/elements/1.1/"/>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Finding 2019-002</vt:lpstr>
      <vt:lpstr>SF&amp;QC Sec-2</vt:lpstr>
      <vt:lpstr>SF&amp;QC Sec-3</vt:lpstr>
      <vt:lpstr>SSPAF</vt:lpstr>
      <vt:lpstr>CAP 2019-001</vt:lpstr>
      <vt:lpstr>CAP 2019-002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2019-10-01T20:32:03Z</cp:lastPrinted>
  <dcterms:created xsi:type="dcterms:W3CDTF">2003-10-29T19:06:34Z</dcterms:created>
  <dcterms:modified xsi:type="dcterms:W3CDTF">2019-11-19T22:06:47Z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